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4670" windowHeight="8625" activeTab="1"/>
  </bookViews>
  <sheets>
    <sheet name="Fab Project" sheetId="1" r:id="rId1"/>
    <sheet name="Engr" sheetId="2" r:id="rId2"/>
    <sheet name="R&amp;D" sheetId="3" r:id="rId3"/>
    <sheet name="M&amp;S" sheetId="4" r:id="rId4"/>
    <sheet name="Fab_assy" sheetId="5" r:id="rId5"/>
    <sheet name="Installation" sheetId="6" r:id="rId6"/>
  </sheets>
  <definedNames>
    <definedName name="_xlnm.Print_Area" localSheetId="1">'Engr'!$A$1:$Q$36,'Engr'!$A$47:$S$65</definedName>
    <definedName name="_xlnm.Print_Area" localSheetId="0">'Fab Project'!$A$1:$K$117</definedName>
    <definedName name="_xlnm.Print_Area" localSheetId="4">'Fab_assy'!$A$1:$O$47</definedName>
    <definedName name="_xlnm.Print_Area" localSheetId="5">'Installation'!$A$1:$M$33</definedName>
    <definedName name="_xlnm.Print_Area" localSheetId="3">'M&amp;S'!$A$1:$L$31,'M&amp;S'!$A$34:$L$62,'M&amp;S'!$A$67:$L$95,'M&amp;S'!$A$98:$L$125,'M&amp;S'!$A$129:$L$157</definedName>
    <definedName name="_xlnm.Print_Area" localSheetId="2">'R&amp;D'!$A$1:$Q$72</definedName>
    <definedName name="_xlnm.Print_Titles" localSheetId="1">'Engr'!$1:$3</definedName>
    <definedName name="_xlnm.Print_Titles" localSheetId="0">'Fab Project'!$1:$1</definedName>
    <definedName name="_xlnm.Print_Titles" localSheetId="4">'Fab_assy'!$1:$3</definedName>
    <definedName name="_xlnm.Print_Titles" localSheetId="5">'Installation'!$1:$3</definedName>
    <definedName name="_xlnm.Print_Titles" localSheetId="3">'M&amp;S'!$1:$3</definedName>
    <definedName name="_xlnm.Print_Titles" localSheetId="2">'R&amp;D'!$1:$3</definedName>
  </definedNames>
  <calcPr fullCalcOnLoad="1"/>
</workbook>
</file>

<file path=xl/sharedStrings.xml><?xml version="1.0" encoding="utf-8"?>
<sst xmlns="http://schemas.openxmlformats.org/spreadsheetml/2006/main" count="476" uniqueCount="255">
  <si>
    <t>Activity Title</t>
  </si>
  <si>
    <t>Manhours</t>
  </si>
  <si>
    <t>Labor Type</t>
  </si>
  <si>
    <t>Comments</t>
  </si>
  <si>
    <t>Preliminary Design (Title I)</t>
  </si>
  <si>
    <t>Final Design (Title II)</t>
  </si>
  <si>
    <t>EAEM</t>
  </si>
  <si>
    <t>EASM</t>
  </si>
  <si>
    <t>EADM</t>
  </si>
  <si>
    <t>ORNL Eng</t>
  </si>
  <si>
    <t>M&amp;S Costs</t>
  </si>
  <si>
    <t>Procured Hardware/Material</t>
  </si>
  <si>
    <t>Purchased Design Services</t>
  </si>
  <si>
    <t>Procured Installation/Assembly Costs</t>
  </si>
  <si>
    <t>Other Costs</t>
  </si>
  <si>
    <t>Travel</t>
  </si>
  <si>
    <t>Lab Fab/Assembly/Installation (Title III)</t>
  </si>
  <si>
    <t>Labor</t>
  </si>
  <si>
    <t xml:space="preserve"> </t>
  </si>
  <si>
    <t xml:space="preserve">Level of Effort </t>
  </si>
  <si>
    <t>FY2003</t>
  </si>
  <si>
    <t>FY2004</t>
  </si>
  <si>
    <t>FY2005</t>
  </si>
  <si>
    <t>FY2006</t>
  </si>
  <si>
    <t>FY2007</t>
  </si>
  <si>
    <t>ORNL Physics</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</si>
  <si>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</si>
  <si>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</si>
  <si>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</si>
  <si>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</si>
  <si>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</si>
  <si>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</si>
  <si>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</si>
  <si>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</si>
  <si>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</si>
  <si>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</si>
  <si>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</si>
  <si>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</si>
  <si>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</si>
  <si>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</si>
  <si>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</si>
  <si>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</si>
  <si>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</si>
  <si>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</si>
  <si>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</si>
  <si>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</si>
  <si>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</si>
  <si>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in-house fab/assy oversight and inspection</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</si>
  <si>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</si>
  <si>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</si>
  <si>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</si>
  <si>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</si>
  <si>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</si>
  <si>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</si>
  <si>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</si>
  <si>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</si>
  <si>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</si>
  <si>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</si>
  <si>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</si>
  <si>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</si>
  <si>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</si>
  <si>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</si>
  <si>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Installation oversight and inspection</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</si>
  <si>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</si>
  <si>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</si>
  <si>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</si>
  <si>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</si>
  <si>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</si>
  <si>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</si>
  <si>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</si>
  <si>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</si>
  <si>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</si>
  <si>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</si>
  <si>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</si>
  <si>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</si>
  <si>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</si>
  <si>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</si>
  <si>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</si>
  <si>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</si>
  <si>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</si>
  <si>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</si>
  <si>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</si>
  <si>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Title I Design, R&amp;D</t>
  </si>
  <si>
    <t>duration
(weeks)</t>
  </si>
  <si>
    <t>FY2008</t>
  </si>
  <si>
    <t>EMTB</t>
  </si>
  <si>
    <t>PPPL Technician</t>
  </si>
  <si>
    <t>Duration of activity per fiscal year (weeks)</t>
  </si>
  <si>
    <t>Lab R&amp;D labor</t>
  </si>
  <si>
    <t>Manufacturing Development (R&amp;D)</t>
  </si>
  <si>
    <t>per hour</t>
  </si>
  <si>
    <t>ea</t>
  </si>
  <si>
    <t>Materials and Subcontracts (M&amp;S)</t>
  </si>
  <si>
    <t>Assumptions:</t>
  </si>
  <si>
    <t>outside engr rate =</t>
  </si>
  <si>
    <t>$ per hour</t>
  </si>
  <si>
    <t>outside fab rate =</t>
  </si>
  <si>
    <t>outside inspection/technician rate =</t>
  </si>
  <si>
    <t>w/o G&amp;A</t>
  </si>
  <si>
    <t>Purchased parts:</t>
  </si>
  <si>
    <t>subtotal, purchased parts</t>
  </si>
  <si>
    <t>Profit at 10%</t>
  </si>
  <si>
    <t>In-house Fabrication and Assembly</t>
  </si>
  <si>
    <t>total, procured hdwe/matl.</t>
  </si>
  <si>
    <t>total, manf/dev (R&amp;D)</t>
  </si>
  <si>
    <t>Manhours per fiscal year by labor category</t>
  </si>
  <si>
    <t>subtotal purchased materials</t>
  </si>
  <si>
    <t>materials for in-house fab</t>
  </si>
  <si>
    <t>Purchased materials for in-house fabrication and sub-assembly</t>
  </si>
  <si>
    <t>Installation</t>
  </si>
  <si>
    <t>This element is not part of the WBS 1 scope of work</t>
  </si>
  <si>
    <t>TOTAL</t>
  </si>
  <si>
    <t>Comment</t>
  </si>
  <si>
    <t>no purchased services anticipated</t>
  </si>
  <si>
    <t>All installation and assembly costs are included in WBS 7</t>
  </si>
  <si>
    <t>No travel is anticipated for this WBS</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</si>
  <si>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</si>
  <si>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</si>
  <si>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</si>
  <si>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</si>
  <si>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</si>
  <si>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</si>
  <si>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</si>
  <si>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</si>
  <si>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</si>
  <si>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</si>
  <si>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</si>
  <si>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</si>
  <si>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</si>
  <si>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</si>
  <si>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</si>
  <si>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</si>
  <si>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</si>
  <si>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</si>
  <si>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</si>
  <si>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</si>
  <si>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</si>
  <si>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</si>
  <si>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</si>
  <si>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</si>
  <si>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</si>
  <si>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None required</t>
  </si>
  <si>
    <t>hrs/lot</t>
  </si>
  <si>
    <t>total</t>
  </si>
  <si>
    <t>PF1-2</t>
  </si>
  <si>
    <t>PF3</t>
  </si>
  <si>
    <t>PF4</t>
  </si>
  <si>
    <t>PF5</t>
  </si>
  <si>
    <t>PF6</t>
  </si>
  <si>
    <t>drawings for lead length, mounting details</t>
  </si>
  <si>
    <t>one assembly for each circuit</t>
  </si>
  <si>
    <t>leads modeled to create drawings, reserve space in assembly</t>
  </si>
  <si>
    <t>one schematic for each circuit</t>
  </si>
  <si>
    <t>one specification for leads, all carry the same current, will have the same terminations, only the lengths are different</t>
  </si>
  <si>
    <t>one analysis to check temp rise, cooling</t>
  </si>
  <si>
    <t>one analysis for field error determination</t>
  </si>
  <si>
    <t>PF Coil leads</t>
  </si>
  <si>
    <t>No R&amp;D is anticipated for this WBS element, but vendor will have non-recurring engineering costs to ensure low temperature capability</t>
  </si>
  <si>
    <t>Terminations,assembly</t>
  </si>
  <si>
    <t>Cable with teflon insulation, reinforced teflon outer jacket</t>
  </si>
  <si>
    <t>Lengths</t>
  </si>
  <si>
    <t>top length</t>
  </si>
  <si>
    <t>bottom length</t>
  </si>
  <si>
    <t>PF1, PF2, connected in series as assy</t>
  </si>
  <si>
    <t>(m)</t>
  </si>
  <si>
    <t>(ft)</t>
  </si>
  <si>
    <t>radius of vertical runs</t>
  </si>
  <si>
    <t>height of upper runs</t>
  </si>
  <si>
    <t>height of connection to buswork</t>
  </si>
  <si>
    <t xml:space="preserve">Leads connect from coil terminals to buswork at bottom of machine.  </t>
  </si>
  <si>
    <t>Each coil is connected separately except PF1 and PF2, which are connected in series within the central solenoid assembly</t>
  </si>
  <si>
    <t>ft</t>
  </si>
  <si>
    <t>terminal radius</t>
  </si>
  <si>
    <t xml:space="preserve">height from midplane </t>
  </si>
  <si>
    <t>Total length of cables</t>
  </si>
  <si>
    <t>Total length</t>
  </si>
  <si>
    <t>Subtotals</t>
  </si>
  <si>
    <t>Total procured length</t>
  </si>
  <si>
    <t>Avg length per cable</t>
  </si>
  <si>
    <t>Total number of cables</t>
  </si>
  <si>
    <t>per foot</t>
  </si>
  <si>
    <t>Total cable cost</t>
  </si>
  <si>
    <t>Geometry</t>
  </si>
  <si>
    <t>set of cables</t>
  </si>
  <si>
    <t>one review for all coil leads</t>
  </si>
  <si>
    <t>one installation dwg for each cable</t>
  </si>
  <si>
    <t>20% extra for bends, toroidal offsets</t>
  </si>
  <si>
    <t>misc attachment hardware</t>
  </si>
  <si>
    <t>TF Coils</t>
  </si>
  <si>
    <t>Mod Coils</t>
  </si>
  <si>
    <t>WBS 162 Coil Leads</t>
  </si>
  <si>
    <t>This effort covers all Title I, II, and III engineering  for the  Coil leads.  The leads will be procured from a qualified vendor in the correct length for each coil.   All installation oversight will be performed as part of WBS 7.</t>
  </si>
  <si>
    <t>No local fab or assembly is anticipated for the Coil leads.  Installation is part of WBS 7.</t>
  </si>
  <si>
    <t xml:space="preserve">External Trim Coils </t>
  </si>
  <si>
    <t>Worksheet, TF Coils:</t>
  </si>
  <si>
    <t>height of upper terminals</t>
  </si>
  <si>
    <t>height of lower terminals</t>
  </si>
  <si>
    <t>height from floor</t>
  </si>
  <si>
    <t>cable length</t>
  </si>
  <si>
    <t>coils at 10,  130,  250 degrees</t>
  </si>
  <si>
    <t>coils at 70, 190, 310 degrees</t>
  </si>
  <si>
    <t>coils at 30, 150, 270 degrees</t>
  </si>
  <si>
    <t>coils at 90, 210, 330 degrees</t>
  </si>
  <si>
    <t>coils at 50, 170,  290 degrees</t>
  </si>
  <si>
    <t>coils at 110, 230, 350 degrees</t>
  </si>
  <si>
    <t>25% extra for bends, offsets</t>
  </si>
  <si>
    <t>Worksheet, PF Coils:</t>
  </si>
  <si>
    <t>coils at 10, 70, 130, 190, 250, 310 degrees</t>
  </si>
  <si>
    <t>coils at 30, 90, 150, 210, 270, 330 degrees</t>
  </si>
  <si>
    <t>coils at 50, 110, 170, 230, 290, 350 degrees</t>
  </si>
  <si>
    <t>Lead cost, PF Coils</t>
  </si>
  <si>
    <t>Lead cost, TF Coils</t>
  </si>
  <si>
    <t>coils at 0, 120, 240,  degrees, top and bottom</t>
  </si>
  <si>
    <t>coils at 60, 180, 300 degrees Top and bottom</t>
  </si>
  <si>
    <t>Outer perimeter coils</t>
  </si>
  <si>
    <t>Worksheet, Error field correction coil leads:</t>
  </si>
  <si>
    <t>Lead cost, Error field coils</t>
  </si>
  <si>
    <t>Worksheet, Mod coils:</t>
  </si>
  <si>
    <t>coil 1 at 10, 70, 130, 190, 250, 310 degrees</t>
  </si>
  <si>
    <t>coil 2  at 30, 90, 150, 210, 270, 330 degrees</t>
  </si>
  <si>
    <t>coil 3 at 50, 110, 170, 230, 290, 350 degrees</t>
  </si>
  <si>
    <t>one cooling schematic for all leads</t>
  </si>
  <si>
    <t>part of WBS 163</t>
  </si>
  <si>
    <t>Lead cost for modular coils</t>
  </si>
  <si>
    <t xml:space="preserve"> @10$/ft</t>
  </si>
  <si>
    <t>FY2003 $$</t>
  </si>
  <si>
    <t>Lead bundles consist of six, 250 MCM cable with teflon sleeve.</t>
  </si>
  <si>
    <t>Lead ends are cooled by bleed liquid nitrogen supplied by the coil coolant header (WBS 161)</t>
  </si>
  <si>
    <t>coils at 0 degrees, top and bottom</t>
  </si>
  <si>
    <t>thermal transition box material</t>
  </si>
  <si>
    <t>Worksheet, lead thermal transition box</t>
  </si>
  <si>
    <t>end seals</t>
  </si>
  <si>
    <t>number reqd</t>
  </si>
  <si>
    <t>cost ea</t>
  </si>
  <si>
    <t>(in)</t>
  </si>
  <si>
    <t>This effort covers all coil leads that connect the  coil terminals to the buswork at the boundary of the cryostat.  The lead cables are all the same except for length, and will be procured from a qualified vendor.  All installation will be performed as part of WBS 7.  The leads exit the cryostat boundary through a thermal transition box that brings leads up to room temperature (or, at a minimum, above the dew point) before exiting to prevent frost build up.</t>
  </si>
  <si>
    <t>thermal transition  box</t>
  </si>
  <si>
    <t>size</t>
  </si>
  <si>
    <t>cryo epoxy</t>
  </si>
  <si>
    <t>1" tube x 6"</t>
  </si>
  <si>
    <t>foam caulk</t>
  </si>
  <si>
    <t xml:space="preserve">16 oz </t>
  </si>
  <si>
    <t>1 x 48 x 96</t>
  </si>
  <si>
    <t>number required for test floor</t>
  </si>
  <si>
    <t>Total</t>
  </si>
  <si>
    <t>3/8" x 12 x 24</t>
  </si>
  <si>
    <t>sheet material, foil backed insul. foam</t>
  </si>
  <si>
    <t>66 leads, 11 to a box</t>
  </si>
  <si>
    <t>.5 lb</t>
  </si>
  <si>
    <t>misc mount hardware, ss base frame</t>
  </si>
  <si>
    <t>acryic sheet window</t>
  </si>
  <si>
    <t>assembly</t>
  </si>
  <si>
    <t>40 hr each=</t>
  </si>
  <si>
    <t>each</t>
  </si>
  <si>
    <t>TOTAL MATERIAL COST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</si>
</sst>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0.0000"/>
    <numFmt numFmtId="169" formatCode="0.000"/>
    <numFmt numFmtId="170" formatCode="_(&quot;$&quot;* #,##0.0_);_(&quot;$&quot;* \(#,##0.0\);_(&quot;$&quot;* &quot;-&quot;??_);_(@_)"/>
    <numFmt numFmtId="171" formatCode="_(&quot;$&quot;* #,##0_);_(&quot;$&quot;* \(#,##0\);_(&quot;$&quot;* &quot;-&quot;??_);_(@_)"/>
    <numFmt numFmtId="172" formatCode="_(* #,##0.0_);_(* \(#,##0.0\);_(* &quot;-&quot;??_);_(@_)"/>
    <numFmt numFmtId="173" formatCode="_(* #,##0_);_(* \(#,##0\);_(* &quot;-&quot;??_);_(@_)"/>
  </numFmts>
  <fonts count="18">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sz val="10"/>
      <color indexed="8"/>
      <name val="Arial"/>
      <family val="0"/>
    </font>
    <font>
      <b/>
      <sz val="10"/>
      <color indexed="8"/>
      <name val="Arial"/>
      <family val="2"/>
    </font>
    <font>
      <i/>
      <sz val="10"/>
      <color indexed="8"/>
      <name val="Arial"/>
      <family val="2"/>
    </font>
    <font>
      <sz val="14"/>
      <color indexed="10"/>
      <name val="Arial"/>
      <family val="0"/>
    </font>
    <font>
      <u val="singleAccounting"/>
      <sz val="10"/>
      <name val="Arial"/>
      <family val="0"/>
    </font>
    <font>
      <sz val="14"/>
      <name val="Arial"/>
      <family val="0"/>
    </font>
    <font>
      <sz val="16"/>
      <name val="Arial"/>
      <family val="0"/>
    </font>
  </fonts>
  <fills count="3">
    <fill>
      <patternFill/>
    </fill>
    <fill>
      <patternFill patternType="gray125"/>
    </fill>
    <fill>
      <patternFill patternType="solid">
        <fgColor indexed="8"/>
        <bgColor indexed="64"/>
      </patternFill>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165" fontId="0" fillId="0" borderId="0" xfId="0" applyNumberFormat="1" applyAlignment="1">
      <alignment/>
    </xf>
    <xf numFmtId="166" fontId="0" fillId="0" borderId="0" xfId="0" applyNumberFormat="1" applyAlignment="1">
      <alignment/>
    </xf>
    <xf numFmtId="0" fontId="7" fillId="0" borderId="0" xfId="0" applyFont="1" applyAlignment="1">
      <alignment/>
    </xf>
    <xf numFmtId="1" fontId="7" fillId="0" borderId="0" xfId="0" applyNumberFormat="1" applyFont="1" applyAlignment="1">
      <alignment horizontal="center"/>
    </xf>
    <xf numFmtId="0" fontId="5" fillId="0" borderId="0" xfId="0" applyFont="1" applyAlignment="1">
      <alignment/>
    </xf>
    <xf numFmtId="0" fontId="10" fillId="0" borderId="0" xfId="0" applyFont="1" applyAlignment="1">
      <alignment/>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textRotation="90" wrapText="1"/>
    </xf>
    <xf numFmtId="1" fontId="0" fillId="0" borderId="0" xfId="0" applyNumberFormat="1" applyFont="1" applyAlignment="1">
      <alignment horizontal="center"/>
    </xf>
    <xf numFmtId="0" fontId="0" fillId="0" borderId="0" xfId="0" applyAlignment="1">
      <alignment horizontal="center" textRotation="90" wrapText="1"/>
    </xf>
    <xf numFmtId="2" fontId="0" fillId="2" borderId="0" xfId="0" applyNumberFormat="1" applyFill="1" applyAlignment="1">
      <alignment/>
    </xf>
    <xf numFmtId="0" fontId="0" fillId="0" borderId="0" xfId="0" applyFont="1" applyFill="1" applyAlignment="1">
      <alignment/>
    </xf>
    <xf numFmtId="0" fontId="1"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center" wrapText="1"/>
    </xf>
    <xf numFmtId="14" fontId="2" fillId="2" borderId="0" xfId="0" applyNumberFormat="1" applyFont="1" applyFill="1" applyAlignment="1">
      <alignment horizontal="center" wrapText="1"/>
    </xf>
    <xf numFmtId="0" fontId="0" fillId="2" borderId="0" xfId="0" applyFill="1" applyAlignment="1">
      <alignment/>
    </xf>
    <xf numFmtId="14" fontId="0" fillId="2" borderId="0" xfId="0" applyNumberFormat="1" applyFill="1" applyAlignment="1">
      <alignment/>
    </xf>
    <xf numFmtId="17" fontId="0" fillId="2" borderId="0" xfId="0" applyNumberFormat="1" applyFill="1" applyAlignment="1">
      <alignment horizontal="center"/>
    </xf>
    <xf numFmtId="1" fontId="0" fillId="2" borderId="0" xfId="0" applyNumberFormat="1" applyFill="1" applyAlignment="1">
      <alignment horizontal="center"/>
    </xf>
    <xf numFmtId="9" fontId="0" fillId="2" borderId="0" xfId="0" applyNumberFormat="1" applyFill="1" applyAlignment="1">
      <alignment horizontal="left"/>
    </xf>
    <xf numFmtId="14" fontId="0" fillId="0" borderId="0" xfId="0" applyNumberFormat="1" applyFill="1" applyAlignment="1">
      <alignment/>
    </xf>
    <xf numFmtId="0" fontId="2" fillId="0" borderId="0" xfId="0" applyFont="1" applyFill="1" applyAlignment="1">
      <alignment horizontal="left"/>
    </xf>
    <xf numFmtId="0" fontId="0" fillId="0" borderId="0" xfId="0" applyFill="1"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horizontal="center" wrapText="1"/>
    </xf>
    <xf numFmtId="0" fontId="11" fillId="2" borderId="0" xfId="0" applyFont="1" applyFill="1" applyAlignment="1">
      <alignment/>
    </xf>
    <xf numFmtId="0" fontId="11" fillId="2" borderId="0" xfId="0" applyFont="1" applyFill="1" applyAlignment="1">
      <alignment horizontal="center"/>
    </xf>
    <xf numFmtId="0" fontId="11" fillId="0" borderId="0" xfId="0" applyFont="1" applyAlignment="1">
      <alignment horizontal="center"/>
    </xf>
    <xf numFmtId="2" fontId="11" fillId="2" borderId="0" xfId="0" applyNumberFormat="1" applyFont="1" applyFill="1" applyAlignment="1">
      <alignment/>
    </xf>
    <xf numFmtId="1" fontId="11" fillId="0" borderId="0" xfId="0" applyNumberFormat="1" applyFont="1" applyAlignment="1">
      <alignment/>
    </xf>
    <xf numFmtId="1" fontId="13" fillId="2" borderId="0" xfId="0" applyNumberFormat="1" applyFont="1" applyFill="1" applyAlignment="1">
      <alignment horizontal="right"/>
    </xf>
    <xf numFmtId="14" fontId="1" fillId="0" borderId="1" xfId="0" applyNumberFormat="1" applyFont="1" applyFill="1" applyBorder="1" applyAlignment="1">
      <alignment/>
    </xf>
    <xf numFmtId="0" fontId="2" fillId="0" borderId="0" xfId="0" applyFont="1" applyFill="1" applyAlignment="1">
      <alignment horizontal="center" wrapText="1"/>
    </xf>
    <xf numFmtId="0" fontId="2" fillId="0" borderId="0" xfId="0" applyFont="1" applyFill="1" applyAlignment="1">
      <alignment horizontal="centerContinuous" wrapText="1"/>
    </xf>
    <xf numFmtId="0" fontId="2" fillId="0" borderId="0" xfId="0" applyFont="1" applyFill="1" applyAlignment="1">
      <alignment/>
    </xf>
    <xf numFmtId="1" fontId="13" fillId="0" borderId="0" xfId="0" applyNumberFormat="1" applyFont="1" applyAlignment="1">
      <alignment horizontal="right"/>
    </xf>
    <xf numFmtId="0" fontId="13" fillId="0" borderId="0" xfId="0" applyFont="1" applyAlignment="1">
      <alignment horizontal="right"/>
    </xf>
    <xf numFmtId="0" fontId="11" fillId="2" borderId="0" xfId="0" applyFont="1" applyFill="1" applyAlignment="1">
      <alignment horizontal="center" wrapText="1"/>
    </xf>
    <xf numFmtId="2" fontId="11" fillId="0" borderId="0" xfId="0" applyNumberFormat="1" applyFont="1" applyAlignment="1">
      <alignment/>
    </xf>
    <xf numFmtId="0" fontId="1" fillId="0" borderId="0" xfId="0" applyFont="1" applyFill="1" applyAlignment="1">
      <alignment/>
    </xf>
    <xf numFmtId="14" fontId="1" fillId="0" borderId="0" xfId="0" applyNumberFormat="1" applyFont="1" applyFill="1" applyAlignment="1">
      <alignment/>
    </xf>
    <xf numFmtId="0" fontId="2" fillId="0" borderId="0" xfId="0" applyFont="1" applyFill="1" applyAlignment="1">
      <alignment horizontal="center"/>
    </xf>
    <xf numFmtId="0" fontId="1" fillId="0" borderId="0" xfId="0" applyFont="1" applyFill="1" applyAlignment="1">
      <alignment horizontal="left"/>
    </xf>
    <xf numFmtId="0" fontId="1" fillId="0" borderId="1" xfId="0" applyFont="1" applyFill="1" applyBorder="1" applyAlignment="1">
      <alignment horizontal="left"/>
    </xf>
    <xf numFmtId="0" fontId="1" fillId="0" borderId="1" xfId="0" applyFont="1" applyFill="1" applyBorder="1" applyAlignment="1">
      <alignment/>
    </xf>
    <xf numFmtId="2" fontId="0" fillId="0" borderId="0" xfId="0" applyNumberFormat="1" applyFill="1" applyAlignment="1">
      <alignment/>
    </xf>
    <xf numFmtId="1" fontId="0" fillId="0" borderId="0" xfId="0" applyNumberFormat="1" applyFill="1" applyAlignment="1">
      <alignment/>
    </xf>
    <xf numFmtId="0" fontId="4" fillId="0" borderId="0" xfId="0" applyFont="1" applyFill="1" applyAlignment="1">
      <alignment/>
    </xf>
    <xf numFmtId="17" fontId="0" fillId="0" borderId="0" xfId="0" applyNumberFormat="1" applyFill="1" applyAlignment="1">
      <alignment horizontal="center"/>
    </xf>
    <xf numFmtId="1" fontId="0" fillId="0" borderId="0" xfId="0" applyNumberFormat="1" applyFill="1" applyAlignment="1">
      <alignment horizontal="center"/>
    </xf>
    <xf numFmtId="1" fontId="0" fillId="0" borderId="0" xfId="0" applyNumberFormat="1" applyFont="1" applyFill="1" applyAlignment="1">
      <alignment/>
    </xf>
    <xf numFmtId="0" fontId="4" fillId="0" borderId="0" xfId="0" applyFont="1" applyFill="1" applyAlignment="1">
      <alignment horizontal="left"/>
    </xf>
    <xf numFmtId="0" fontId="0" fillId="0" borderId="1" xfId="0" applyFill="1" applyBorder="1" applyAlignment="1">
      <alignment/>
    </xf>
    <xf numFmtId="0" fontId="4" fillId="0" borderId="1" xfId="0" applyFont="1" applyFill="1" applyBorder="1" applyAlignment="1">
      <alignment/>
    </xf>
    <xf numFmtId="17" fontId="0" fillId="0" borderId="1" xfId="0" applyNumberFormat="1" applyFill="1" applyBorder="1" applyAlignment="1">
      <alignment horizontal="center"/>
    </xf>
    <xf numFmtId="0" fontId="4" fillId="0" borderId="1" xfId="0" applyFont="1" applyFill="1" applyBorder="1" applyAlignment="1">
      <alignment horizontal="left"/>
    </xf>
    <xf numFmtId="0" fontId="8" fillId="0" borderId="0" xfId="0" applyFont="1" applyFill="1" applyBorder="1" applyAlignment="1">
      <alignment horizontal="left"/>
    </xf>
    <xf numFmtId="0" fontId="0" fillId="0" borderId="0" xfId="0" applyFill="1" applyBorder="1" applyAlignment="1">
      <alignment/>
    </xf>
    <xf numFmtId="0" fontId="4" fillId="0" borderId="0" xfId="0" applyFont="1" applyFill="1" applyBorder="1" applyAlignment="1">
      <alignment/>
    </xf>
    <xf numFmtId="17" fontId="0" fillId="0" borderId="0" xfId="0" applyNumberFormat="1" applyFill="1" applyBorder="1" applyAlignment="1">
      <alignment horizontal="center"/>
    </xf>
    <xf numFmtId="0" fontId="4" fillId="0" borderId="0" xfId="0" applyFont="1" applyFill="1" applyBorder="1" applyAlignment="1">
      <alignment horizontal="left"/>
    </xf>
    <xf numFmtId="0" fontId="9" fillId="0" borderId="0" xfId="0" applyFont="1" applyFill="1" applyAlignment="1">
      <alignment horizontal="left"/>
    </xf>
    <xf numFmtId="0" fontId="3" fillId="0" borderId="0" xfId="0" applyFont="1" applyFill="1" applyAlignment="1">
      <alignment horizontal="center"/>
    </xf>
    <xf numFmtId="1" fontId="4" fillId="0" borderId="0" xfId="0" applyNumberFormat="1" applyFont="1" applyFill="1" applyAlignment="1">
      <alignment horizontal="center"/>
    </xf>
    <xf numFmtId="166" fontId="0" fillId="0" borderId="0" xfId="0" applyNumberFormat="1" applyFill="1" applyAlignment="1">
      <alignment/>
    </xf>
    <xf numFmtId="166" fontId="7" fillId="0" borderId="0" xfId="0" applyNumberFormat="1" applyFont="1" applyFill="1" applyAlignment="1">
      <alignment/>
    </xf>
    <xf numFmtId="1" fontId="4" fillId="0" borderId="0" xfId="0" applyNumberFormat="1" applyFont="1" applyFill="1" applyAlignment="1">
      <alignment/>
    </xf>
    <xf numFmtId="14" fontId="0" fillId="0" borderId="1" xfId="0" applyNumberFormat="1" applyFill="1" applyBorder="1" applyAlignment="1">
      <alignment/>
    </xf>
    <xf numFmtId="14" fontId="2" fillId="0" borderId="0" xfId="0" applyNumberFormat="1" applyFont="1" applyFill="1" applyAlignment="1">
      <alignment/>
    </xf>
    <xf numFmtId="0" fontId="6" fillId="0" borderId="0" xfId="0" applyFont="1" applyFill="1" applyAlignment="1">
      <alignment horizontal="centerContinuous"/>
    </xf>
    <xf numFmtId="0" fontId="5" fillId="0" borderId="0" xfId="0" applyFont="1" applyFill="1" applyAlignment="1">
      <alignment horizontal="centerContinuous"/>
    </xf>
    <xf numFmtId="166" fontId="0" fillId="0" borderId="0" xfId="0" applyNumberFormat="1" applyFont="1" applyFill="1" applyAlignment="1">
      <alignment/>
    </xf>
    <xf numFmtId="0" fontId="0" fillId="0" borderId="0" xfId="0" applyFill="1" applyAlignment="1">
      <alignment horizontal="centerContinuous"/>
    </xf>
    <xf numFmtId="166" fontId="5" fillId="0" borderId="0" xfId="0" applyNumberFormat="1" applyFont="1" applyFill="1" applyAlignment="1">
      <alignment/>
    </xf>
    <xf numFmtId="0" fontId="4" fillId="0" borderId="0" xfId="0" applyFont="1" applyFill="1" applyAlignment="1">
      <alignment horizontal="right"/>
    </xf>
    <xf numFmtId="14" fontId="2" fillId="0" borderId="0" xfId="0" applyNumberFormat="1" applyFont="1" applyFill="1" applyAlignment="1">
      <alignment horizontal="left"/>
    </xf>
    <xf numFmtId="14" fontId="2" fillId="0" borderId="1" xfId="0" applyNumberFormat="1" applyFont="1" applyFill="1" applyBorder="1" applyAlignment="1">
      <alignment horizontal="left"/>
    </xf>
    <xf numFmtId="0" fontId="0" fillId="0" borderId="0" xfId="0" applyFill="1" applyAlignment="1">
      <alignment horizontal="center"/>
    </xf>
    <xf numFmtId="3" fontId="0" fillId="0" borderId="0" xfId="0" applyNumberFormat="1" applyFill="1" applyAlignment="1">
      <alignment/>
    </xf>
    <xf numFmtId="166" fontId="0" fillId="0" borderId="0" xfId="0" applyNumberFormat="1" applyFill="1" applyAlignment="1">
      <alignment horizontal="left"/>
    </xf>
    <xf numFmtId="0" fontId="0" fillId="0" borderId="0" xfId="0" applyFill="1" applyAlignment="1">
      <alignment horizontal="right"/>
    </xf>
    <xf numFmtId="0" fontId="0" fillId="0" borderId="0" xfId="0" applyFont="1" applyFill="1" applyAlignment="1">
      <alignment horizontal="left"/>
    </xf>
    <xf numFmtId="9" fontId="0" fillId="0" borderId="0" xfId="0" applyNumberFormat="1" applyFill="1" applyAlignment="1">
      <alignment/>
    </xf>
    <xf numFmtId="0" fontId="10" fillId="0" borderId="0" xfId="0" applyFont="1" applyFill="1" applyAlignment="1">
      <alignment/>
    </xf>
    <xf numFmtId="0" fontId="8" fillId="0" borderId="1" xfId="0" applyFont="1" applyFill="1" applyBorder="1" applyAlignment="1">
      <alignment/>
    </xf>
    <xf numFmtId="0" fontId="0" fillId="0" borderId="0" xfId="0" applyFill="1" applyAlignment="1">
      <alignment horizontal="left" vertical="top" wrapText="1"/>
    </xf>
    <xf numFmtId="0" fontId="0" fillId="0" borderId="0" xfId="0" applyFont="1" applyFill="1" applyAlignment="1">
      <alignment horizontal="center" textRotation="90"/>
    </xf>
    <xf numFmtId="166" fontId="0" fillId="0" borderId="0" xfId="0" applyNumberFormat="1" applyFill="1" applyAlignment="1">
      <alignment horizontal="right"/>
    </xf>
    <xf numFmtId="0" fontId="0" fillId="0" borderId="0" xfId="0" applyFill="1" applyAlignment="1">
      <alignment horizontal="right" vertical="top" wrapText="1"/>
    </xf>
    <xf numFmtId="166" fontId="0" fillId="0" borderId="0" xfId="0" applyNumberFormat="1" applyFont="1" applyFill="1" applyAlignment="1">
      <alignment horizontal="right" vertical="top" wrapText="1"/>
    </xf>
    <xf numFmtId="0" fontId="0" fillId="0" borderId="0" xfId="0" applyFont="1" applyFill="1" applyAlignment="1">
      <alignment horizontal="center"/>
    </xf>
    <xf numFmtId="0" fontId="7" fillId="0" borderId="0" xfId="0" applyFont="1" applyFill="1" applyAlignment="1">
      <alignment horizontal="center"/>
    </xf>
    <xf numFmtId="1" fontId="0" fillId="0" borderId="0" xfId="0" applyNumberFormat="1" applyFill="1" applyAlignment="1">
      <alignment horizontal="right"/>
    </xf>
    <xf numFmtId="2" fontId="7" fillId="0" borderId="0" xfId="0" applyNumberFormat="1" applyFont="1" applyFill="1" applyAlignment="1">
      <alignment/>
    </xf>
    <xf numFmtId="9" fontId="7" fillId="0" borderId="0" xfId="0" applyNumberFormat="1" applyFont="1" applyFill="1" applyAlignment="1">
      <alignment horizontal="center"/>
    </xf>
    <xf numFmtId="1" fontId="7" fillId="0" borderId="0" xfId="0" applyNumberFormat="1" applyFont="1" applyFill="1" applyAlignment="1">
      <alignment horizontal="center"/>
    </xf>
    <xf numFmtId="1" fontId="4" fillId="0" borderId="0" xfId="0" applyNumberFormat="1" applyFont="1" applyFill="1" applyAlignment="1">
      <alignment horizontal="right"/>
    </xf>
    <xf numFmtId="0" fontId="0" fillId="0" borderId="0" xfId="0" applyFont="1" applyFill="1" applyAlignment="1">
      <alignment horizontal="center" wrapText="1"/>
    </xf>
    <xf numFmtId="0" fontId="0" fillId="0" borderId="0" xfId="0" applyFill="1" applyAlignment="1">
      <alignment wrapText="1"/>
    </xf>
    <xf numFmtId="17" fontId="0" fillId="0" borderId="0" xfId="0" applyNumberFormat="1" applyFont="1" applyFill="1" applyAlignment="1">
      <alignment horizontal="center"/>
    </xf>
    <xf numFmtId="17" fontId="7" fillId="0" borderId="0" xfId="0" applyNumberFormat="1" applyFont="1" applyFill="1" applyAlignment="1">
      <alignment horizontal="center"/>
    </xf>
    <xf numFmtId="165" fontId="0" fillId="0" borderId="0" xfId="0" applyNumberFormat="1" applyFill="1" applyAlignment="1">
      <alignment/>
    </xf>
    <xf numFmtId="0" fontId="7" fillId="0" borderId="0" xfId="0" applyFont="1" applyFill="1" applyAlignment="1">
      <alignment/>
    </xf>
    <xf numFmtId="0" fontId="12" fillId="0" borderId="0" xfId="0" applyFont="1" applyAlignment="1">
      <alignment horizontal="center"/>
    </xf>
    <xf numFmtId="0" fontId="0" fillId="0" borderId="2" xfId="0" applyBorder="1" applyAlignment="1">
      <alignment/>
    </xf>
    <xf numFmtId="0" fontId="0" fillId="0" borderId="2" xfId="0" applyBorder="1" applyAlignment="1">
      <alignment horizontal="center"/>
    </xf>
    <xf numFmtId="171" fontId="0" fillId="0" borderId="0" xfId="17" applyNumberFormat="1" applyBorder="1" applyAlignment="1">
      <alignment horizontal="center"/>
    </xf>
    <xf numFmtId="171" fontId="0" fillId="0" borderId="0" xfId="17" applyNumberFormat="1" applyFont="1" applyBorder="1" applyAlignment="1">
      <alignment horizontal="center"/>
    </xf>
    <xf numFmtId="173" fontId="0" fillId="0" borderId="2" xfId="15" applyNumberFormat="1" applyBorder="1" applyAlignment="1">
      <alignment horizontal="center"/>
    </xf>
    <xf numFmtId="171" fontId="15" fillId="0" borderId="0" xfId="17" applyNumberFormat="1" applyFont="1" applyBorder="1" applyAlignment="1">
      <alignment horizontal="center"/>
    </xf>
    <xf numFmtId="171" fontId="0" fillId="0" borderId="0" xfId="0" applyNumberFormat="1" applyAlignment="1">
      <alignment/>
    </xf>
    <xf numFmtId="0" fontId="2"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1" fontId="0" fillId="0" borderId="0" xfId="0" applyNumberFormat="1" applyBorder="1" applyAlignment="1">
      <alignment horizontal="center"/>
    </xf>
    <xf numFmtId="0" fontId="0" fillId="0" borderId="8" xfId="0" applyBorder="1" applyAlignment="1">
      <alignment/>
    </xf>
    <xf numFmtId="0" fontId="2" fillId="0" borderId="1" xfId="0" applyFont="1" applyBorder="1" applyAlignment="1">
      <alignment horizontal="right"/>
    </xf>
    <xf numFmtId="0" fontId="0" fillId="0" borderId="9" xfId="0" applyBorder="1" applyAlignment="1">
      <alignment/>
    </xf>
    <xf numFmtId="0" fontId="2" fillId="0" borderId="6" xfId="0" applyFont="1" applyBorder="1" applyAlignment="1">
      <alignment/>
    </xf>
    <xf numFmtId="166" fontId="0" fillId="0" borderId="0" xfId="0" applyNumberFormat="1" applyFont="1" applyBorder="1" applyAlignment="1">
      <alignment/>
    </xf>
    <xf numFmtId="0" fontId="0" fillId="0" borderId="6" xfId="0" applyBorder="1" applyAlignment="1">
      <alignment wrapText="1"/>
    </xf>
    <xf numFmtId="0" fontId="7" fillId="0" borderId="0" xfId="0" applyFont="1" applyBorder="1" applyAlignment="1">
      <alignment/>
    </xf>
    <xf numFmtId="1" fontId="0" fillId="0" borderId="0" xfId="0" applyNumberFormat="1" applyBorder="1" applyAlignment="1">
      <alignment/>
    </xf>
    <xf numFmtId="166" fontId="2" fillId="0" borderId="0" xfId="0" applyNumberFormat="1" applyFont="1" applyBorder="1" applyAlignment="1">
      <alignment/>
    </xf>
    <xf numFmtId="0" fontId="0" fillId="0" borderId="0" xfId="0" applyBorder="1" applyAlignment="1">
      <alignment horizontal="center" wrapText="1"/>
    </xf>
    <xf numFmtId="166" fontId="0" fillId="0" borderId="0" xfId="0" applyNumberFormat="1" applyBorder="1" applyAlignment="1">
      <alignment horizontal="center"/>
    </xf>
    <xf numFmtId="2" fontId="0" fillId="0" borderId="0" xfId="0" applyNumberFormat="1" applyBorder="1" applyAlignment="1">
      <alignment/>
    </xf>
    <xf numFmtId="165" fontId="0" fillId="0" borderId="0" xfId="0" applyNumberFormat="1" applyBorder="1" applyAlignment="1">
      <alignment/>
    </xf>
    <xf numFmtId="1" fontId="2" fillId="0" borderId="0" xfId="0" applyNumberFormat="1" applyFont="1" applyBorder="1" applyAlignment="1">
      <alignment/>
    </xf>
    <xf numFmtId="0" fontId="0" fillId="0" borderId="6" xfId="0" applyFont="1" applyBorder="1" applyAlignment="1">
      <alignment/>
    </xf>
    <xf numFmtId="166" fontId="8" fillId="0" borderId="0" xfId="0" applyNumberFormat="1" applyFont="1" applyBorder="1" applyAlignment="1">
      <alignment/>
    </xf>
    <xf numFmtId="171" fontId="8" fillId="0" borderId="1" xfId="17" applyNumberFormat="1" applyFont="1" applyBorder="1" applyAlignment="1">
      <alignment horizontal="center"/>
    </xf>
    <xf numFmtId="0" fontId="11" fillId="0" borderId="0" xfId="0" applyFont="1" applyBorder="1" applyAlignment="1">
      <alignment/>
    </xf>
    <xf numFmtId="0" fontId="14" fillId="0" borderId="0" xfId="0" applyFont="1" applyBorder="1" applyAlignment="1">
      <alignment/>
    </xf>
    <xf numFmtId="166" fontId="0" fillId="0" borderId="6" xfId="0" applyNumberFormat="1" applyBorder="1" applyAlignment="1">
      <alignment/>
    </xf>
    <xf numFmtId="0" fontId="2" fillId="0" borderId="8" xfId="0" applyFont="1" applyBorder="1" applyAlignment="1">
      <alignment/>
    </xf>
    <xf numFmtId="166" fontId="0" fillId="0" borderId="0" xfId="0" applyNumberFormat="1" applyBorder="1" applyAlignment="1">
      <alignment/>
    </xf>
    <xf numFmtId="166" fontId="5" fillId="0" borderId="0" xfId="0" applyNumberFormat="1" applyFont="1" applyBorder="1" applyAlignment="1">
      <alignment/>
    </xf>
    <xf numFmtId="0" fontId="4" fillId="0" borderId="6" xfId="0" applyFont="1" applyBorder="1" applyAlignment="1">
      <alignment horizontal="right"/>
    </xf>
    <xf numFmtId="166" fontId="16" fillId="0" borderId="0" xfId="0" applyNumberFormat="1" applyFont="1" applyBorder="1" applyAlignment="1">
      <alignment/>
    </xf>
    <xf numFmtId="166" fontId="17" fillId="0" borderId="0" xfId="0" applyNumberFormat="1" applyFont="1" applyAlignment="1">
      <alignment/>
    </xf>
    <xf numFmtId="0" fontId="2" fillId="0" borderId="0" xfId="0" applyFont="1" applyFill="1" applyAlignment="1">
      <alignment horizontal="left"/>
    </xf>
    <xf numFmtId="0" fontId="2" fillId="0" borderId="0" xfId="0" applyFont="1" applyFill="1" applyAlignment="1">
      <alignment horizontal="center"/>
    </xf>
    <xf numFmtId="0" fontId="10" fillId="0" borderId="0" xfId="0" applyFont="1" applyFill="1" applyAlignment="1">
      <alignment horizontal="left"/>
    </xf>
    <xf numFmtId="0" fontId="8" fillId="0" borderId="1" xfId="0" applyFont="1" applyFill="1" applyBorder="1" applyAlignment="1">
      <alignment horizontal="left"/>
    </xf>
    <xf numFmtId="14" fontId="4" fillId="0" borderId="0" xfId="0" applyNumberFormat="1" applyFont="1" applyFill="1" applyAlignment="1">
      <alignment horizontal="center"/>
    </xf>
    <xf numFmtId="0" fontId="3" fillId="0" borderId="0" xfId="0" applyFont="1" applyFill="1" applyBorder="1" applyAlignment="1">
      <alignment horizontal="center"/>
    </xf>
    <xf numFmtId="0" fontId="0" fillId="0" borderId="0" xfId="0" applyFont="1" applyAlignment="1">
      <alignment horizontal="center" wrapText="1"/>
    </xf>
    <xf numFmtId="0" fontId="11"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left" vertical="top" wrapText="1"/>
    </xf>
    <xf numFmtId="0" fontId="12" fillId="0" borderId="0" xfId="0" applyFont="1" applyAlignment="1">
      <alignment horizontal="center"/>
    </xf>
    <xf numFmtId="0" fontId="0" fillId="0" borderId="0" xfId="0" applyFill="1" applyAlignment="1">
      <alignment horizontal="center"/>
    </xf>
    <xf numFmtId="2" fontId="0" fillId="0" borderId="0" xfId="0" applyNumberFormat="1" applyFill="1" applyAlignment="1">
      <alignment horizontal="center" wrapText="1"/>
    </xf>
    <xf numFmtId="0" fontId="0" fillId="0" borderId="0" xfId="0" applyFont="1" applyFill="1" applyAlignment="1">
      <alignment horizontal="center"/>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center" wrapText="1"/>
    </xf>
    <xf numFmtId="0" fontId="0" fillId="0" borderId="0" xfId="0" applyFont="1" applyFill="1" applyAlignment="1">
      <alignment horizontal="center" wrapText="1"/>
    </xf>
    <xf numFmtId="0" fontId="0" fillId="0" borderId="8" xfId="0" applyBorder="1" applyAlignment="1">
      <alignment horizontal="center" textRotation="90" wrapText="1"/>
    </xf>
    <xf numFmtId="0" fontId="0" fillId="0" borderId="1" xfId="0" applyBorder="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76</xdr:row>
      <xdr:rowOff>9525</xdr:rowOff>
    </xdr:from>
    <xdr:to>
      <xdr:col>11</xdr:col>
      <xdr:colOff>466725</xdr:colOff>
      <xdr:row>92</xdr:row>
      <xdr:rowOff>47625</xdr:rowOff>
    </xdr:to>
    <xdr:grpSp>
      <xdr:nvGrpSpPr>
        <xdr:cNvPr id="1" name="Group 57"/>
        <xdr:cNvGrpSpPr>
          <a:grpSpLocks/>
        </xdr:cNvGrpSpPr>
      </xdr:nvGrpSpPr>
      <xdr:grpSpPr>
        <a:xfrm>
          <a:off x="6296025" y="14011275"/>
          <a:ext cx="3981450" cy="2790825"/>
          <a:chOff x="442" y="872"/>
          <a:chExt cx="418" cy="310"/>
        </a:xfrm>
        <a:solidFill>
          <a:srgbClr val="FFFFFF"/>
        </a:solidFill>
      </xdr:grpSpPr>
      <xdr:grpSp>
        <xdr:nvGrpSpPr>
          <xdr:cNvPr id="2" name="Group 25"/>
          <xdr:cNvGrpSpPr>
            <a:grpSpLocks/>
          </xdr:cNvGrpSpPr>
        </xdr:nvGrpSpPr>
        <xdr:grpSpPr>
          <a:xfrm>
            <a:off x="572" y="908"/>
            <a:ext cx="147" cy="212"/>
            <a:chOff x="534" y="647"/>
            <a:chExt cx="178" cy="223"/>
          </a:xfrm>
          <a:solidFill>
            <a:srgbClr val="FFFFFF"/>
          </a:solidFill>
        </xdr:grpSpPr>
        <xdr:grpSp>
          <xdr:nvGrpSpPr>
            <xdr:cNvPr id="3" name="Group 7"/>
            <xdr:cNvGrpSpPr>
              <a:grpSpLocks/>
            </xdr:cNvGrpSpPr>
          </xdr:nvGrpSpPr>
          <xdr:grpSpPr>
            <a:xfrm>
              <a:off x="534" y="647"/>
              <a:ext cx="178" cy="109"/>
              <a:chOff x="534" y="647"/>
              <a:chExt cx="233" cy="180"/>
            </a:xfrm>
            <a:solidFill>
              <a:srgbClr val="FFFFFF"/>
            </a:solidFill>
          </xdr:grpSpPr>
          <xdr:sp>
            <xdr:nvSpPr>
              <xdr:cNvPr id="4" name="Rectangle 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8"/>
            <xdr:cNvGrpSpPr>
              <a:grpSpLocks/>
            </xdr:cNvGrpSpPr>
          </xdr:nvGrpSpPr>
          <xdr:grpSpPr>
            <a:xfrm flipV="1">
              <a:off x="534" y="761"/>
              <a:ext cx="178" cy="109"/>
              <a:chOff x="534" y="647"/>
              <a:chExt cx="233" cy="180"/>
            </a:xfrm>
            <a:solidFill>
              <a:srgbClr val="FFFFFF"/>
            </a:solidFill>
          </xdr:grpSpPr>
          <xdr:sp>
            <xdr:nvSpPr>
              <xdr:cNvPr id="11" name="Rectangle 9"/>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0"/>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1"/>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2"/>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3"/>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4"/>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6"/>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2"/>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4"/>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6"/>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7"/>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8"/>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31"/>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2"/>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3"/>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4"/>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5"/>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6"/>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7"/>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8"/>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9"/>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40"/>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41"/>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2"/>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43"/>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44"/>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6"/>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8"/>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9"/>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51"/>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52"/>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53"/>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54"/>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55"/>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80</xdr:row>
      <xdr:rowOff>0</xdr:rowOff>
    </xdr:from>
    <xdr:to>
      <xdr:col>9</xdr:col>
      <xdr:colOff>409575</xdr:colOff>
      <xdr:row>80</xdr:row>
      <xdr:rowOff>0</xdr:rowOff>
    </xdr:to>
    <xdr:sp>
      <xdr:nvSpPr>
        <xdr:cNvPr id="48" name="Line 58"/>
        <xdr:cNvSpPr>
          <a:spLocks/>
        </xdr:cNvSpPr>
      </xdr:nvSpPr>
      <xdr:spPr>
        <a:xfrm>
          <a:off x="8886825" y="148113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80</xdr:row>
      <xdr:rowOff>9525</xdr:rowOff>
    </xdr:from>
    <xdr:to>
      <xdr:col>9</xdr:col>
      <xdr:colOff>428625</xdr:colOff>
      <xdr:row>92</xdr:row>
      <xdr:rowOff>19050</xdr:rowOff>
    </xdr:to>
    <xdr:sp>
      <xdr:nvSpPr>
        <xdr:cNvPr id="49" name="Line 59"/>
        <xdr:cNvSpPr>
          <a:spLocks/>
        </xdr:cNvSpPr>
      </xdr:nvSpPr>
      <xdr:spPr>
        <a:xfrm>
          <a:off x="9020175" y="148209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84</xdr:row>
      <xdr:rowOff>76200</xdr:rowOff>
    </xdr:from>
    <xdr:to>
      <xdr:col>9</xdr:col>
      <xdr:colOff>409575</xdr:colOff>
      <xdr:row>84</xdr:row>
      <xdr:rowOff>76200</xdr:rowOff>
    </xdr:to>
    <xdr:sp>
      <xdr:nvSpPr>
        <xdr:cNvPr id="50" name="Line 60"/>
        <xdr:cNvSpPr>
          <a:spLocks/>
        </xdr:cNvSpPr>
      </xdr:nvSpPr>
      <xdr:spPr>
        <a:xfrm>
          <a:off x="8886825" y="155352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79</xdr:row>
      <xdr:rowOff>28575</xdr:rowOff>
    </xdr:from>
    <xdr:to>
      <xdr:col>9</xdr:col>
      <xdr:colOff>381000</xdr:colOff>
      <xdr:row>87</xdr:row>
      <xdr:rowOff>28575</xdr:rowOff>
    </xdr:to>
    <xdr:grpSp>
      <xdr:nvGrpSpPr>
        <xdr:cNvPr id="51" name="Group 61"/>
        <xdr:cNvGrpSpPr>
          <a:grpSpLocks/>
        </xdr:cNvGrpSpPr>
      </xdr:nvGrpSpPr>
      <xdr:grpSpPr>
        <a:xfrm>
          <a:off x="7715250" y="14516100"/>
          <a:ext cx="1257300" cy="1457325"/>
          <a:chOff x="599" y="877"/>
          <a:chExt cx="132" cy="169"/>
        </a:xfrm>
        <a:solidFill>
          <a:srgbClr val="FFFFFF"/>
        </a:solidFill>
      </xdr:grpSpPr>
      <xdr:sp>
        <xdr:nvSpPr>
          <xdr:cNvPr id="52" name="AutoShape 6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6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42</xdr:row>
      <xdr:rowOff>152400</xdr:rowOff>
    </xdr:from>
    <xdr:to>
      <xdr:col>10</xdr:col>
      <xdr:colOff>285750</xdr:colOff>
      <xdr:row>60</xdr:row>
      <xdr:rowOff>28575</xdr:rowOff>
    </xdr:to>
    <xdr:grpSp>
      <xdr:nvGrpSpPr>
        <xdr:cNvPr id="54" name="Group 64"/>
        <xdr:cNvGrpSpPr>
          <a:grpSpLocks/>
        </xdr:cNvGrpSpPr>
      </xdr:nvGrpSpPr>
      <xdr:grpSpPr>
        <a:xfrm>
          <a:off x="5238750" y="8239125"/>
          <a:ext cx="4248150" cy="2952750"/>
          <a:chOff x="442" y="872"/>
          <a:chExt cx="418" cy="310"/>
        </a:xfrm>
        <a:solidFill>
          <a:srgbClr val="FFFFFF"/>
        </a:solidFill>
      </xdr:grpSpPr>
      <xdr:grpSp>
        <xdr:nvGrpSpPr>
          <xdr:cNvPr id="55" name="Group 65"/>
          <xdr:cNvGrpSpPr>
            <a:grpSpLocks/>
          </xdr:cNvGrpSpPr>
        </xdr:nvGrpSpPr>
        <xdr:grpSpPr>
          <a:xfrm>
            <a:off x="572" y="908"/>
            <a:ext cx="147" cy="212"/>
            <a:chOff x="534" y="647"/>
            <a:chExt cx="178" cy="223"/>
          </a:xfrm>
          <a:solidFill>
            <a:srgbClr val="FFFFFF"/>
          </a:solidFill>
        </xdr:grpSpPr>
        <xdr:grpSp>
          <xdr:nvGrpSpPr>
            <xdr:cNvPr id="56" name="Group 66"/>
            <xdr:cNvGrpSpPr>
              <a:grpSpLocks/>
            </xdr:cNvGrpSpPr>
          </xdr:nvGrpSpPr>
          <xdr:grpSpPr>
            <a:xfrm>
              <a:off x="534" y="647"/>
              <a:ext cx="178" cy="109"/>
              <a:chOff x="534" y="647"/>
              <a:chExt cx="233" cy="180"/>
            </a:xfrm>
            <a:solidFill>
              <a:srgbClr val="FFFFFF"/>
            </a:solidFill>
          </xdr:grpSpPr>
          <xdr:sp>
            <xdr:nvSpPr>
              <xdr:cNvPr id="57" name="Rectangle 6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6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6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7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7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7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73"/>
            <xdr:cNvGrpSpPr>
              <a:grpSpLocks/>
            </xdr:cNvGrpSpPr>
          </xdr:nvGrpSpPr>
          <xdr:grpSpPr>
            <a:xfrm flipV="1">
              <a:off x="534" y="761"/>
              <a:ext cx="178" cy="109"/>
              <a:chOff x="534" y="647"/>
              <a:chExt cx="233" cy="180"/>
            </a:xfrm>
            <a:solidFill>
              <a:srgbClr val="FFFFFF"/>
            </a:solidFill>
          </xdr:grpSpPr>
          <xdr:sp>
            <xdr:nvSpPr>
              <xdr:cNvPr id="64" name="Rectangle 7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7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7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7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7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7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8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8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8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8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8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8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8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8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8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9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9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9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9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9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9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9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9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9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9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0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0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0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0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0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0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0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10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0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1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48</xdr:row>
      <xdr:rowOff>9525</xdr:rowOff>
    </xdr:from>
    <xdr:to>
      <xdr:col>8</xdr:col>
      <xdr:colOff>228600</xdr:colOff>
      <xdr:row>48</xdr:row>
      <xdr:rowOff>9525</xdr:rowOff>
    </xdr:to>
    <xdr:sp>
      <xdr:nvSpPr>
        <xdr:cNvPr id="101" name="Line 111"/>
        <xdr:cNvSpPr>
          <a:spLocks/>
        </xdr:cNvSpPr>
      </xdr:nvSpPr>
      <xdr:spPr>
        <a:xfrm>
          <a:off x="8096250" y="92297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48</xdr:row>
      <xdr:rowOff>19050</xdr:rowOff>
    </xdr:from>
    <xdr:to>
      <xdr:col>8</xdr:col>
      <xdr:colOff>247650</xdr:colOff>
      <xdr:row>60</xdr:row>
      <xdr:rowOff>28575</xdr:rowOff>
    </xdr:to>
    <xdr:sp>
      <xdr:nvSpPr>
        <xdr:cNvPr id="102" name="Line 112"/>
        <xdr:cNvSpPr>
          <a:spLocks/>
        </xdr:cNvSpPr>
      </xdr:nvSpPr>
      <xdr:spPr>
        <a:xfrm>
          <a:off x="8229600" y="92392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52</xdr:row>
      <xdr:rowOff>85725</xdr:rowOff>
    </xdr:from>
    <xdr:to>
      <xdr:col>8</xdr:col>
      <xdr:colOff>228600</xdr:colOff>
      <xdr:row>52</xdr:row>
      <xdr:rowOff>85725</xdr:rowOff>
    </xdr:to>
    <xdr:sp>
      <xdr:nvSpPr>
        <xdr:cNvPr id="103" name="Line 113"/>
        <xdr:cNvSpPr>
          <a:spLocks/>
        </xdr:cNvSpPr>
      </xdr:nvSpPr>
      <xdr:spPr>
        <a:xfrm>
          <a:off x="8096250" y="99536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46</xdr:row>
      <xdr:rowOff>47625</xdr:rowOff>
    </xdr:from>
    <xdr:to>
      <xdr:col>8</xdr:col>
      <xdr:colOff>200025</xdr:colOff>
      <xdr:row>55</xdr:row>
      <xdr:rowOff>38100</xdr:rowOff>
    </xdr:to>
    <xdr:grpSp>
      <xdr:nvGrpSpPr>
        <xdr:cNvPr id="104" name="Group 114"/>
        <xdr:cNvGrpSpPr>
          <a:grpSpLocks/>
        </xdr:cNvGrpSpPr>
      </xdr:nvGrpSpPr>
      <xdr:grpSpPr>
        <a:xfrm>
          <a:off x="6924675" y="8782050"/>
          <a:ext cx="1257300" cy="1609725"/>
          <a:chOff x="599" y="877"/>
          <a:chExt cx="132" cy="169"/>
        </a:xfrm>
        <a:solidFill>
          <a:srgbClr val="FFFFFF"/>
        </a:solidFill>
      </xdr:grpSpPr>
      <xdr:sp>
        <xdr:nvSpPr>
          <xdr:cNvPr id="105" name="AutoShape 11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1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106</xdr:row>
      <xdr:rowOff>152400</xdr:rowOff>
    </xdr:from>
    <xdr:to>
      <xdr:col>10</xdr:col>
      <xdr:colOff>285750</xdr:colOff>
      <xdr:row>124</xdr:row>
      <xdr:rowOff>28575</xdr:rowOff>
    </xdr:to>
    <xdr:grpSp>
      <xdr:nvGrpSpPr>
        <xdr:cNvPr id="107" name="Group 117"/>
        <xdr:cNvGrpSpPr>
          <a:grpSpLocks/>
        </xdr:cNvGrpSpPr>
      </xdr:nvGrpSpPr>
      <xdr:grpSpPr>
        <a:xfrm>
          <a:off x="5238750" y="19488150"/>
          <a:ext cx="4248150" cy="2962275"/>
          <a:chOff x="442" y="872"/>
          <a:chExt cx="418" cy="310"/>
        </a:xfrm>
        <a:solidFill>
          <a:srgbClr val="FFFFFF"/>
        </a:solidFill>
      </xdr:grpSpPr>
      <xdr:grpSp>
        <xdr:nvGrpSpPr>
          <xdr:cNvPr id="108" name="Group 118"/>
          <xdr:cNvGrpSpPr>
            <a:grpSpLocks/>
          </xdr:cNvGrpSpPr>
        </xdr:nvGrpSpPr>
        <xdr:grpSpPr>
          <a:xfrm>
            <a:off x="572" y="908"/>
            <a:ext cx="147" cy="212"/>
            <a:chOff x="534" y="647"/>
            <a:chExt cx="178" cy="223"/>
          </a:xfrm>
          <a:solidFill>
            <a:srgbClr val="FFFFFF"/>
          </a:solidFill>
        </xdr:grpSpPr>
        <xdr:grpSp>
          <xdr:nvGrpSpPr>
            <xdr:cNvPr id="109" name="Group 119"/>
            <xdr:cNvGrpSpPr>
              <a:grpSpLocks/>
            </xdr:cNvGrpSpPr>
          </xdr:nvGrpSpPr>
          <xdr:grpSpPr>
            <a:xfrm>
              <a:off x="534" y="647"/>
              <a:ext cx="178" cy="109"/>
              <a:chOff x="534" y="647"/>
              <a:chExt cx="233" cy="180"/>
            </a:xfrm>
            <a:solidFill>
              <a:srgbClr val="FFFFFF"/>
            </a:solidFill>
          </xdr:grpSpPr>
          <xdr:sp>
            <xdr:nvSpPr>
              <xdr:cNvPr id="110" name="Rectangle 12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2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2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2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2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2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26"/>
            <xdr:cNvGrpSpPr>
              <a:grpSpLocks/>
            </xdr:cNvGrpSpPr>
          </xdr:nvGrpSpPr>
          <xdr:grpSpPr>
            <a:xfrm flipV="1">
              <a:off x="534" y="761"/>
              <a:ext cx="178" cy="109"/>
              <a:chOff x="534" y="647"/>
              <a:chExt cx="233" cy="180"/>
            </a:xfrm>
            <a:solidFill>
              <a:srgbClr val="FFFFFF"/>
            </a:solidFill>
          </xdr:grpSpPr>
          <xdr:sp>
            <xdr:nvSpPr>
              <xdr:cNvPr id="117" name="Rectangle 12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2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2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3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3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3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3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3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3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3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3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3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3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4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4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4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4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4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4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4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4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4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4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5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5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5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5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5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5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5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5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5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6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6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6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6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112</xdr:row>
      <xdr:rowOff>0</xdr:rowOff>
    </xdr:from>
    <xdr:to>
      <xdr:col>8</xdr:col>
      <xdr:colOff>219075</xdr:colOff>
      <xdr:row>112</xdr:row>
      <xdr:rowOff>0</xdr:rowOff>
    </xdr:to>
    <xdr:sp>
      <xdr:nvSpPr>
        <xdr:cNvPr id="154" name="Line 164"/>
        <xdr:cNvSpPr>
          <a:spLocks/>
        </xdr:cNvSpPr>
      </xdr:nvSpPr>
      <xdr:spPr>
        <a:xfrm>
          <a:off x="8086725" y="2046922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112</xdr:row>
      <xdr:rowOff>9525</xdr:rowOff>
    </xdr:from>
    <xdr:to>
      <xdr:col>8</xdr:col>
      <xdr:colOff>238125</xdr:colOff>
      <xdr:row>124</xdr:row>
      <xdr:rowOff>19050</xdr:rowOff>
    </xdr:to>
    <xdr:sp>
      <xdr:nvSpPr>
        <xdr:cNvPr id="155" name="Line 165"/>
        <xdr:cNvSpPr>
          <a:spLocks/>
        </xdr:cNvSpPr>
      </xdr:nvSpPr>
      <xdr:spPr>
        <a:xfrm>
          <a:off x="8220075" y="20478750"/>
          <a:ext cx="0" cy="19621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116</xdr:row>
      <xdr:rowOff>76200</xdr:rowOff>
    </xdr:from>
    <xdr:to>
      <xdr:col>8</xdr:col>
      <xdr:colOff>219075</xdr:colOff>
      <xdr:row>116</xdr:row>
      <xdr:rowOff>76200</xdr:rowOff>
    </xdr:to>
    <xdr:sp>
      <xdr:nvSpPr>
        <xdr:cNvPr id="156" name="Line 166"/>
        <xdr:cNvSpPr>
          <a:spLocks/>
        </xdr:cNvSpPr>
      </xdr:nvSpPr>
      <xdr:spPr>
        <a:xfrm>
          <a:off x="8086725" y="2119312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110</xdr:row>
      <xdr:rowOff>38100</xdr:rowOff>
    </xdr:from>
    <xdr:to>
      <xdr:col>8</xdr:col>
      <xdr:colOff>190500</xdr:colOff>
      <xdr:row>119</xdr:row>
      <xdr:rowOff>28575</xdr:rowOff>
    </xdr:to>
    <xdr:grpSp>
      <xdr:nvGrpSpPr>
        <xdr:cNvPr id="157" name="Group 167"/>
        <xdr:cNvGrpSpPr>
          <a:grpSpLocks/>
        </xdr:cNvGrpSpPr>
      </xdr:nvGrpSpPr>
      <xdr:grpSpPr>
        <a:xfrm>
          <a:off x="6915150" y="20021550"/>
          <a:ext cx="1257300" cy="1609725"/>
          <a:chOff x="599" y="877"/>
          <a:chExt cx="132" cy="169"/>
        </a:xfrm>
        <a:solidFill>
          <a:srgbClr val="FFFFFF"/>
        </a:solidFill>
      </xdr:grpSpPr>
      <xdr:sp>
        <xdr:nvSpPr>
          <xdr:cNvPr id="158" name="AutoShape 16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6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108</xdr:row>
      <xdr:rowOff>114300</xdr:rowOff>
    </xdr:from>
    <xdr:to>
      <xdr:col>8</xdr:col>
      <xdr:colOff>152400</xdr:colOff>
      <xdr:row>108</xdr:row>
      <xdr:rowOff>114300</xdr:rowOff>
    </xdr:to>
    <xdr:sp>
      <xdr:nvSpPr>
        <xdr:cNvPr id="160" name="Line 170"/>
        <xdr:cNvSpPr>
          <a:spLocks/>
        </xdr:cNvSpPr>
      </xdr:nvSpPr>
      <xdr:spPr>
        <a:xfrm>
          <a:off x="6848475" y="1977390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120</xdr:row>
      <xdr:rowOff>142875</xdr:rowOff>
    </xdr:from>
    <xdr:to>
      <xdr:col>8</xdr:col>
      <xdr:colOff>190500</xdr:colOff>
      <xdr:row>120</xdr:row>
      <xdr:rowOff>142875</xdr:rowOff>
    </xdr:to>
    <xdr:sp>
      <xdr:nvSpPr>
        <xdr:cNvPr id="161" name="Line 171"/>
        <xdr:cNvSpPr>
          <a:spLocks/>
        </xdr:cNvSpPr>
      </xdr:nvSpPr>
      <xdr:spPr>
        <a:xfrm>
          <a:off x="6886575" y="2190750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111</xdr:row>
      <xdr:rowOff>9525</xdr:rowOff>
    </xdr:from>
    <xdr:to>
      <xdr:col>8</xdr:col>
      <xdr:colOff>171450</xdr:colOff>
      <xdr:row>117</xdr:row>
      <xdr:rowOff>104775</xdr:rowOff>
    </xdr:to>
    <xdr:sp>
      <xdr:nvSpPr>
        <xdr:cNvPr id="162" name="Line 172"/>
        <xdr:cNvSpPr>
          <a:spLocks/>
        </xdr:cNvSpPr>
      </xdr:nvSpPr>
      <xdr:spPr>
        <a:xfrm flipH="1">
          <a:off x="8153400" y="20316825"/>
          <a:ext cx="0" cy="10668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137</xdr:row>
      <xdr:rowOff>19050</xdr:rowOff>
    </xdr:from>
    <xdr:to>
      <xdr:col>9</xdr:col>
      <xdr:colOff>533400</xdr:colOff>
      <xdr:row>154</xdr:row>
      <xdr:rowOff>57150</xdr:rowOff>
    </xdr:to>
    <xdr:grpSp>
      <xdr:nvGrpSpPr>
        <xdr:cNvPr id="163" name="Group 173"/>
        <xdr:cNvGrpSpPr>
          <a:grpSpLocks/>
        </xdr:cNvGrpSpPr>
      </xdr:nvGrpSpPr>
      <xdr:grpSpPr>
        <a:xfrm>
          <a:off x="4876800" y="24784050"/>
          <a:ext cx="4248150" cy="2952750"/>
          <a:chOff x="442" y="872"/>
          <a:chExt cx="418" cy="310"/>
        </a:xfrm>
        <a:solidFill>
          <a:srgbClr val="FFFFFF"/>
        </a:solidFill>
      </xdr:grpSpPr>
      <xdr:grpSp>
        <xdr:nvGrpSpPr>
          <xdr:cNvPr id="164" name="Group 174"/>
          <xdr:cNvGrpSpPr>
            <a:grpSpLocks/>
          </xdr:cNvGrpSpPr>
        </xdr:nvGrpSpPr>
        <xdr:grpSpPr>
          <a:xfrm>
            <a:off x="572" y="908"/>
            <a:ext cx="147" cy="212"/>
            <a:chOff x="534" y="647"/>
            <a:chExt cx="178" cy="223"/>
          </a:xfrm>
          <a:solidFill>
            <a:srgbClr val="FFFFFF"/>
          </a:solidFill>
        </xdr:grpSpPr>
        <xdr:grpSp>
          <xdr:nvGrpSpPr>
            <xdr:cNvPr id="165" name="Group 175"/>
            <xdr:cNvGrpSpPr>
              <a:grpSpLocks/>
            </xdr:cNvGrpSpPr>
          </xdr:nvGrpSpPr>
          <xdr:grpSpPr>
            <a:xfrm>
              <a:off x="534" y="647"/>
              <a:ext cx="178" cy="109"/>
              <a:chOff x="534" y="647"/>
              <a:chExt cx="233" cy="180"/>
            </a:xfrm>
            <a:solidFill>
              <a:srgbClr val="FFFFFF"/>
            </a:solidFill>
          </xdr:grpSpPr>
          <xdr:sp>
            <xdr:nvSpPr>
              <xdr:cNvPr id="166" name="Rectangle 17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7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7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7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8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8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82"/>
            <xdr:cNvGrpSpPr>
              <a:grpSpLocks/>
            </xdr:cNvGrpSpPr>
          </xdr:nvGrpSpPr>
          <xdr:grpSpPr>
            <a:xfrm flipV="1">
              <a:off x="534" y="761"/>
              <a:ext cx="178" cy="109"/>
              <a:chOff x="534" y="647"/>
              <a:chExt cx="233" cy="180"/>
            </a:xfrm>
            <a:solidFill>
              <a:srgbClr val="FFFFFF"/>
            </a:solidFill>
          </xdr:grpSpPr>
          <xdr:sp>
            <xdr:nvSpPr>
              <xdr:cNvPr id="173" name="Rectangle 18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8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8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8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8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8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8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9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9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9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9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9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9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9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9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9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9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20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20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20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20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20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20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20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20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20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20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1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1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1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1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1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1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1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1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1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1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141</xdr:row>
      <xdr:rowOff>285750</xdr:rowOff>
    </xdr:from>
    <xdr:to>
      <xdr:col>7</xdr:col>
      <xdr:colOff>323850</xdr:colOff>
      <xdr:row>147</xdr:row>
      <xdr:rowOff>133350</xdr:rowOff>
    </xdr:to>
    <xdr:sp>
      <xdr:nvSpPr>
        <xdr:cNvPr id="210" name="Oval 220"/>
        <xdr:cNvSpPr>
          <a:spLocks/>
        </xdr:cNvSpPr>
      </xdr:nvSpPr>
      <xdr:spPr>
        <a:xfrm>
          <a:off x="6743700" y="25698450"/>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142</xdr:row>
      <xdr:rowOff>38100</xdr:rowOff>
    </xdr:from>
    <xdr:to>
      <xdr:col>7</xdr:col>
      <xdr:colOff>485775</xdr:colOff>
      <xdr:row>142</xdr:row>
      <xdr:rowOff>38100</xdr:rowOff>
    </xdr:to>
    <xdr:sp>
      <xdr:nvSpPr>
        <xdr:cNvPr id="211" name="Line 221"/>
        <xdr:cNvSpPr>
          <a:spLocks/>
        </xdr:cNvSpPr>
      </xdr:nvSpPr>
      <xdr:spPr>
        <a:xfrm>
          <a:off x="7553325" y="25774650"/>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142</xdr:row>
      <xdr:rowOff>38100</xdr:rowOff>
    </xdr:from>
    <xdr:to>
      <xdr:col>7</xdr:col>
      <xdr:colOff>485775</xdr:colOff>
      <xdr:row>154</xdr:row>
      <xdr:rowOff>47625</xdr:rowOff>
    </xdr:to>
    <xdr:sp>
      <xdr:nvSpPr>
        <xdr:cNvPr id="212" name="Line 222"/>
        <xdr:cNvSpPr>
          <a:spLocks/>
        </xdr:cNvSpPr>
      </xdr:nvSpPr>
      <xdr:spPr>
        <a:xfrm>
          <a:off x="7858125" y="257746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147</xdr:row>
      <xdr:rowOff>85725</xdr:rowOff>
    </xdr:from>
    <xdr:to>
      <xdr:col>7</xdr:col>
      <xdr:colOff>457200</xdr:colOff>
      <xdr:row>147</xdr:row>
      <xdr:rowOff>85725</xdr:rowOff>
    </xdr:to>
    <xdr:sp>
      <xdr:nvSpPr>
        <xdr:cNvPr id="213" name="Line 223"/>
        <xdr:cNvSpPr>
          <a:spLocks/>
        </xdr:cNvSpPr>
      </xdr:nvSpPr>
      <xdr:spPr>
        <a:xfrm>
          <a:off x="7477125" y="26631900"/>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114"/>
  <sheetViews>
    <sheetView workbookViewId="0" topLeftCell="A1">
      <selection activeCell="A34" sqref="A34:IV119"/>
    </sheetView>
  </sheetViews>
  <sheetFormatPr defaultColWidth="9.140625" defaultRowHeight="12.75"/>
  <cols>
    <col min="1" max="1" width="1.28515625" style="41" customWidth="1"/>
    <col min="2" max="2" width="1.57421875" style="41" customWidth="1"/>
    <col min="3" max="3" width="32.28125" style="41" customWidth="1"/>
    <col min="4" max="6" width="10.7109375" style="41" customWidth="1"/>
    <col min="7" max="8" width="10.7109375" style="39" customWidth="1"/>
    <col min="9" max="10" width="10.7109375" style="41" customWidth="1"/>
    <col min="11" max="11" width="12.57421875" style="41" customWidth="1"/>
    <col min="12" max="12" width="12.28125" style="41" customWidth="1"/>
    <col min="13" max="13" width="11.00390625" style="41" customWidth="1"/>
    <col min="14" max="14" width="10.7109375" style="41" customWidth="1"/>
    <col min="15" max="15" width="10.28125" style="41" customWidth="1"/>
    <col min="16" max="17" width="10.140625" style="41" bestFit="1" customWidth="1"/>
    <col min="18" max="19" width="11.421875" style="41" bestFit="1" customWidth="1"/>
    <col min="20" max="20" width="9.8515625" style="41" bestFit="1" customWidth="1"/>
    <col min="21" max="21" width="10.140625" style="41" bestFit="1" customWidth="1"/>
    <col min="22" max="16384" width="9.140625" style="41" customWidth="1"/>
  </cols>
  <sheetData>
    <row r="1" spans="1:20" s="59" customFormat="1" ht="20.25">
      <c r="A1" s="166" t="s">
        <v>190</v>
      </c>
      <c r="B1" s="166"/>
      <c r="C1" s="166"/>
      <c r="D1" s="166"/>
      <c r="E1" s="166"/>
      <c r="G1" s="60"/>
      <c r="H1" s="60"/>
      <c r="L1" s="59">
        <f>11</f>
        <v>11</v>
      </c>
      <c r="O1" s="165" t="s">
        <v>87</v>
      </c>
      <c r="P1" s="165"/>
      <c r="Q1" s="165"/>
      <c r="R1" s="165"/>
      <c r="S1" s="165"/>
      <c r="T1" s="165"/>
    </row>
    <row r="2" spans="1:20" s="59" customFormat="1" ht="15.75">
      <c r="A2" s="62"/>
      <c r="B2" s="62"/>
      <c r="C2" s="62"/>
      <c r="D2" s="62"/>
      <c r="E2" s="62"/>
      <c r="G2" s="60"/>
      <c r="H2" s="60"/>
      <c r="O2" s="61"/>
      <c r="P2" s="61"/>
      <c r="Q2" s="61"/>
      <c r="R2" s="61"/>
      <c r="S2" s="61"/>
      <c r="T2" s="61"/>
    </row>
    <row r="3" spans="1:28" s="59" customFormat="1" ht="18.75" thickBot="1">
      <c r="A3" s="167" t="s">
        <v>17</v>
      </c>
      <c r="B3" s="167"/>
      <c r="C3" s="167"/>
      <c r="D3" s="167"/>
      <c r="E3" s="63"/>
      <c r="F3" s="64"/>
      <c r="G3" s="51"/>
      <c r="H3" s="51"/>
      <c r="I3" s="64"/>
      <c r="J3" s="64"/>
      <c r="K3" s="64"/>
      <c r="O3" s="31"/>
      <c r="P3" s="31"/>
      <c r="Q3" s="31"/>
      <c r="R3" s="31"/>
      <c r="S3" s="31"/>
      <c r="T3" s="31"/>
      <c r="U3" s="30"/>
      <c r="V3" s="30"/>
      <c r="W3" s="30"/>
      <c r="X3" s="30"/>
      <c r="Y3" s="30"/>
      <c r="Z3" s="30"/>
      <c r="AA3" s="30"/>
      <c r="AB3" s="30"/>
    </row>
    <row r="4" spans="2:28" s="52" customFormat="1" ht="27.75" customHeight="1">
      <c r="B4" s="53" t="s">
        <v>0</v>
      </c>
      <c r="C4" s="53"/>
      <c r="D4" s="52" t="s">
        <v>1</v>
      </c>
      <c r="E4" s="52" t="s">
        <v>225</v>
      </c>
      <c r="F4" s="52" t="s">
        <v>2</v>
      </c>
      <c r="G4" s="33" t="s">
        <v>133</v>
      </c>
      <c r="H4" s="33" t="s">
        <v>134</v>
      </c>
      <c r="I4" s="54" t="s">
        <v>3</v>
      </c>
      <c r="J4" s="59"/>
      <c r="K4" s="59"/>
      <c r="L4" s="59"/>
      <c r="M4" s="59"/>
      <c r="N4" s="52" t="s">
        <v>83</v>
      </c>
      <c r="O4" s="33">
        <v>37530</v>
      </c>
      <c r="P4" s="33">
        <v>37895</v>
      </c>
      <c r="Q4" s="33">
        <v>38261</v>
      </c>
      <c r="R4" s="33">
        <v>38626</v>
      </c>
      <c r="S4" s="33">
        <v>38991</v>
      </c>
      <c r="T4" s="33">
        <v>39356</v>
      </c>
      <c r="U4" s="33">
        <v>39722</v>
      </c>
      <c r="V4" s="32"/>
      <c r="W4" s="32"/>
      <c r="X4" s="32"/>
      <c r="Y4" s="32"/>
      <c r="Z4" s="32"/>
      <c r="AA4" s="32"/>
      <c r="AB4" s="32"/>
    </row>
    <row r="5" spans="7:28" s="52" customFormat="1" ht="12.75">
      <c r="G5" s="33"/>
      <c r="H5" s="33"/>
      <c r="O5" s="32"/>
      <c r="P5" s="32"/>
      <c r="Q5" s="32"/>
      <c r="R5" s="32"/>
      <c r="S5" s="32"/>
      <c r="T5" s="32"/>
      <c r="U5" s="32"/>
      <c r="V5" s="32"/>
      <c r="W5" s="32"/>
      <c r="X5" s="32"/>
      <c r="Y5" s="32"/>
      <c r="Z5" s="32"/>
      <c r="AA5" s="32"/>
      <c r="AB5" s="32"/>
    </row>
    <row r="6" spans="1:28" ht="12.75">
      <c r="A6" s="164" t="s">
        <v>4</v>
      </c>
      <c r="B6" s="164"/>
      <c r="C6" s="164"/>
      <c r="D6" s="164"/>
      <c r="G6" s="35"/>
      <c r="H6" s="35"/>
      <c r="I6" s="29"/>
      <c r="J6" s="29"/>
      <c r="K6" s="29"/>
      <c r="L6" s="29"/>
      <c r="M6" s="29"/>
      <c r="O6" s="34"/>
      <c r="P6" s="34"/>
      <c r="Q6" s="34"/>
      <c r="R6" s="34"/>
      <c r="S6" s="34"/>
      <c r="T6" s="34"/>
      <c r="U6" s="28"/>
      <c r="V6" s="34"/>
      <c r="W6" s="34"/>
      <c r="X6" s="34"/>
      <c r="Y6" s="34"/>
      <c r="Z6" s="34"/>
      <c r="AA6" s="34"/>
      <c r="AB6" s="34"/>
    </row>
    <row r="7" spans="3:28" ht="12.75">
      <c r="C7" s="41" t="str">
        <f>CONCATENATE("( ",ROUND(W7,0),"% of design schedule)")</f>
        <v>( 50% of design schedule)</v>
      </c>
      <c r="D7" s="66">
        <f>X7*Engr!$I$24</f>
        <v>0</v>
      </c>
      <c r="F7" s="67" t="s">
        <v>6</v>
      </c>
      <c r="G7" s="36">
        <f>Engr!B$39</f>
        <v>38798</v>
      </c>
      <c r="H7" s="36">
        <f>Engr!D$39</f>
        <v>38840</v>
      </c>
      <c r="I7" s="29" t="s">
        <v>27</v>
      </c>
      <c r="J7" s="29"/>
      <c r="K7" s="29"/>
      <c r="L7" s="29"/>
      <c r="M7" s="29"/>
      <c r="N7" s="69">
        <f>(H7-G7)/7</f>
        <v>6</v>
      </c>
      <c r="O7" s="37">
        <f aca="true" t="shared" si="0" ref="O7:T11">(1/7)*IF((OR((O$4&gt;=$H7),(P$4&lt;=$G7))),0,IF(AND((O$4&lt;=$G7),(P$4&gt;=$H7)),($H7-$G7),IF(AND((O$4&gt;=$G7),(P$4&gt;=$H7)),($H7-O$4),IF(AND((O$4&gt;=$G7),($H7&gt;=P$4)),365,IF(AND((O$4&lt;=$G7),($H7&gt;=P$4)),(P$4-$G7))))))</f>
        <v>0</v>
      </c>
      <c r="P7" s="37">
        <f t="shared" si="0"/>
        <v>0</v>
      </c>
      <c r="Q7" s="37">
        <f t="shared" si="0"/>
        <v>0</v>
      </c>
      <c r="R7" s="37">
        <f t="shared" si="0"/>
        <v>6</v>
      </c>
      <c r="S7" s="37">
        <f t="shared" si="0"/>
        <v>0</v>
      </c>
      <c r="T7" s="37">
        <f t="shared" si="0"/>
        <v>0</v>
      </c>
      <c r="U7" s="37"/>
      <c r="V7" s="34"/>
      <c r="W7" s="34">
        <f>100*X7</f>
        <v>50</v>
      </c>
      <c r="X7" s="38">
        <f>Engr!C39/(Engr!C39+Engr!C40)</f>
        <v>0.5</v>
      </c>
      <c r="Y7" s="34" t="s">
        <v>139</v>
      </c>
      <c r="Z7" s="34"/>
      <c r="AA7" s="34"/>
      <c r="AB7" s="34"/>
    </row>
    <row r="8" spans="4:28" ht="12.75">
      <c r="D8" s="66">
        <f>X7*Engr!$K$24</f>
        <v>0</v>
      </c>
      <c r="F8" s="67" t="s">
        <v>8</v>
      </c>
      <c r="G8" s="36">
        <f>Engr!B$39</f>
        <v>38798</v>
      </c>
      <c r="H8" s="36">
        <f>Engr!D$39</f>
        <v>38840</v>
      </c>
      <c r="I8" s="29" t="s">
        <v>26</v>
      </c>
      <c r="J8" s="29"/>
      <c r="K8" s="29"/>
      <c r="L8" s="29"/>
      <c r="M8" s="29"/>
      <c r="N8" s="69">
        <f>(H8-G8)/7</f>
        <v>6</v>
      </c>
      <c r="O8" s="37">
        <f t="shared" si="0"/>
        <v>0</v>
      </c>
      <c r="P8" s="37">
        <f t="shared" si="0"/>
        <v>0</v>
      </c>
      <c r="Q8" s="37">
        <f t="shared" si="0"/>
        <v>0</v>
      </c>
      <c r="R8" s="37">
        <f t="shared" si="0"/>
        <v>6</v>
      </c>
      <c r="S8" s="37">
        <f t="shared" si="0"/>
        <v>0</v>
      </c>
      <c r="T8" s="37">
        <f t="shared" si="0"/>
        <v>0</v>
      </c>
      <c r="U8" s="37"/>
      <c r="V8" s="34"/>
      <c r="W8" s="34"/>
      <c r="X8" s="34"/>
      <c r="Y8" s="34"/>
      <c r="Z8" s="34"/>
      <c r="AA8" s="34"/>
      <c r="AB8" s="34"/>
    </row>
    <row r="9" spans="4:28" ht="12.75">
      <c r="D9" s="66">
        <f>X7*Engr!$M$24</f>
        <v>895.2</v>
      </c>
      <c r="F9" s="67" t="s">
        <v>9</v>
      </c>
      <c r="G9" s="36">
        <f>Engr!B$39</f>
        <v>38798</v>
      </c>
      <c r="H9" s="36">
        <f>Engr!D$39</f>
        <v>38840</v>
      </c>
      <c r="I9" s="29" t="s">
        <v>29</v>
      </c>
      <c r="J9" s="29"/>
      <c r="K9" s="29"/>
      <c r="L9" s="29"/>
      <c r="M9" s="29"/>
      <c r="N9" s="69">
        <f>(H9-G9)/7</f>
        <v>6</v>
      </c>
      <c r="O9" s="37">
        <f t="shared" si="0"/>
        <v>0</v>
      </c>
      <c r="P9" s="37">
        <f t="shared" si="0"/>
        <v>0</v>
      </c>
      <c r="Q9" s="37">
        <f t="shared" si="0"/>
        <v>0</v>
      </c>
      <c r="R9" s="37">
        <f t="shared" si="0"/>
        <v>6</v>
      </c>
      <c r="S9" s="37">
        <f t="shared" si="0"/>
        <v>0</v>
      </c>
      <c r="T9" s="37">
        <f t="shared" si="0"/>
        <v>0</v>
      </c>
      <c r="U9" s="37"/>
      <c r="V9" s="34"/>
      <c r="W9" s="34"/>
      <c r="X9" s="34"/>
      <c r="Y9" s="34"/>
      <c r="Z9" s="34"/>
      <c r="AA9" s="34"/>
      <c r="AB9" s="34"/>
    </row>
    <row r="10" spans="4:28" ht="12.75">
      <c r="D10" s="66">
        <f>X7*Engr!$O$24</f>
        <v>20</v>
      </c>
      <c r="F10" s="67" t="s">
        <v>135</v>
      </c>
      <c r="G10" s="36">
        <f>Engr!B$39</f>
        <v>38798</v>
      </c>
      <c r="H10" s="36">
        <f>Engr!D$39</f>
        <v>38840</v>
      </c>
      <c r="I10" s="29" t="s">
        <v>79</v>
      </c>
      <c r="J10" s="29"/>
      <c r="K10" s="29"/>
      <c r="L10" s="29"/>
      <c r="M10" s="29"/>
      <c r="N10" s="69">
        <f>(H10-G10)/7</f>
        <v>6</v>
      </c>
      <c r="O10" s="37">
        <f t="shared" si="0"/>
        <v>0</v>
      </c>
      <c r="P10" s="37">
        <f t="shared" si="0"/>
        <v>0</v>
      </c>
      <c r="Q10" s="37">
        <f t="shared" si="0"/>
        <v>0</v>
      </c>
      <c r="R10" s="37">
        <f t="shared" si="0"/>
        <v>6</v>
      </c>
      <c r="S10" s="37">
        <f t="shared" si="0"/>
        <v>0</v>
      </c>
      <c r="T10" s="37">
        <f t="shared" si="0"/>
        <v>0</v>
      </c>
      <c r="U10" s="37"/>
      <c r="V10" s="34"/>
      <c r="W10" s="34"/>
      <c r="X10" s="34"/>
      <c r="Y10" s="34"/>
      <c r="Z10" s="34"/>
      <c r="AA10" s="34"/>
      <c r="AB10" s="34"/>
    </row>
    <row r="11" spans="4:28" ht="12.75">
      <c r="D11" s="66">
        <f>X7*Engr!$Q$24</f>
        <v>0</v>
      </c>
      <c r="F11" s="67" t="s">
        <v>136</v>
      </c>
      <c r="G11" s="36">
        <f>Engr!B$39</f>
        <v>38798</v>
      </c>
      <c r="H11" s="36">
        <f>Engr!D$39</f>
        <v>38840</v>
      </c>
      <c r="I11" s="29" t="s">
        <v>78</v>
      </c>
      <c r="J11" s="29"/>
      <c r="K11" s="29"/>
      <c r="L11" s="29"/>
      <c r="M11" s="29"/>
      <c r="N11" s="69">
        <f>(H11-G11)/7</f>
        <v>6</v>
      </c>
      <c r="O11" s="37">
        <f t="shared" si="0"/>
        <v>0</v>
      </c>
      <c r="P11" s="37">
        <f t="shared" si="0"/>
        <v>0</v>
      </c>
      <c r="Q11" s="37">
        <f t="shared" si="0"/>
        <v>0</v>
      </c>
      <c r="R11" s="37">
        <f t="shared" si="0"/>
        <v>6</v>
      </c>
      <c r="S11" s="37">
        <f t="shared" si="0"/>
        <v>0</v>
      </c>
      <c r="T11" s="37">
        <f t="shared" si="0"/>
        <v>0</v>
      </c>
      <c r="U11" s="37"/>
      <c r="V11" s="34"/>
      <c r="W11" s="34"/>
      <c r="X11" s="34"/>
      <c r="Y11" s="34"/>
      <c r="Z11" s="34"/>
      <c r="AA11" s="34"/>
      <c r="AB11" s="34"/>
    </row>
    <row r="12" spans="6:28" ht="12.75">
      <c r="F12" s="67"/>
      <c r="G12" s="36"/>
      <c r="H12" s="36"/>
      <c r="I12" s="29"/>
      <c r="J12" s="29"/>
      <c r="K12" s="29"/>
      <c r="L12" s="29"/>
      <c r="M12" s="29"/>
      <c r="N12" s="69" t="s">
        <v>18</v>
      </c>
      <c r="O12" s="37"/>
      <c r="P12" s="37"/>
      <c r="Q12" s="37"/>
      <c r="R12" s="37"/>
      <c r="S12" s="37"/>
      <c r="T12" s="37"/>
      <c r="U12" s="37"/>
      <c r="V12" s="34"/>
      <c r="W12" s="34"/>
      <c r="X12" s="34"/>
      <c r="Y12" s="34"/>
      <c r="Z12" s="34"/>
      <c r="AA12" s="34"/>
      <c r="AB12" s="34"/>
    </row>
    <row r="13" spans="1:28" ht="12.75">
      <c r="A13" s="164" t="s">
        <v>5</v>
      </c>
      <c r="B13" s="164"/>
      <c r="C13" s="164"/>
      <c r="D13" s="164"/>
      <c r="G13" s="36"/>
      <c r="H13" s="36"/>
      <c r="I13" s="29"/>
      <c r="J13" s="29"/>
      <c r="K13" s="29"/>
      <c r="L13" s="29"/>
      <c r="M13" s="29"/>
      <c r="N13" s="69"/>
      <c r="O13" s="37"/>
      <c r="P13" s="37"/>
      <c r="Q13" s="37"/>
      <c r="R13" s="37"/>
      <c r="S13" s="37"/>
      <c r="T13" s="37"/>
      <c r="U13" s="34"/>
      <c r="V13" s="34"/>
      <c r="W13" s="34"/>
      <c r="X13" s="34"/>
      <c r="Y13" s="34"/>
      <c r="Z13" s="34"/>
      <c r="AA13" s="34"/>
      <c r="AB13" s="34"/>
    </row>
    <row r="14" spans="3:28" ht="12.75">
      <c r="C14" s="41" t="str">
        <f>CONCATENATE("( ",ROUND(W14,0),"% of design schedule)")</f>
        <v>( 50% of design schedule)</v>
      </c>
      <c r="D14" s="66">
        <f>X14*Engr!$I$24</f>
        <v>0</v>
      </c>
      <c r="F14" s="67" t="s">
        <v>6</v>
      </c>
      <c r="G14" s="36">
        <f>Engr!B$40</f>
        <v>38840</v>
      </c>
      <c r="H14" s="36">
        <f>Engr!D$40</f>
        <v>38882</v>
      </c>
      <c r="I14" s="29" t="s">
        <v>27</v>
      </c>
      <c r="J14" s="29"/>
      <c r="K14" s="29"/>
      <c r="L14" s="29"/>
      <c r="M14" s="29"/>
      <c r="N14" s="69">
        <f>(H14-G14)/7</f>
        <v>6</v>
      </c>
      <c r="O14" s="37">
        <f aca="true" t="shared" si="1" ref="O14:T18">(1/7)*IF((OR((O$4&gt;=$H14),(P$4&lt;=$G14))),0,IF(AND((O$4&lt;=$G14),(P$4&gt;=$H14)),($H14-$G14),IF(AND((O$4&gt;=$G14),(P$4&gt;=$H14)),($H14-O$4),IF(AND((O$4&gt;=$G14),($H14&gt;=P$4)),365,IF(AND((O$4&lt;=$G14),($H14&gt;=P$4)),(P$4-$G14))))))</f>
        <v>0</v>
      </c>
      <c r="P14" s="37">
        <f t="shared" si="1"/>
        <v>0</v>
      </c>
      <c r="Q14" s="37">
        <f t="shared" si="1"/>
        <v>0</v>
      </c>
      <c r="R14" s="37">
        <f t="shared" si="1"/>
        <v>6</v>
      </c>
      <c r="S14" s="37">
        <f t="shared" si="1"/>
        <v>0</v>
      </c>
      <c r="T14" s="37">
        <f t="shared" si="1"/>
        <v>0</v>
      </c>
      <c r="U14" s="37"/>
      <c r="V14" s="34"/>
      <c r="W14" s="34">
        <f>100*X14</f>
        <v>50</v>
      </c>
      <c r="X14" s="38">
        <f>1-X7</f>
        <v>0.5</v>
      </c>
      <c r="Y14" s="34" t="s">
        <v>140</v>
      </c>
      <c r="Z14" s="34"/>
      <c r="AA14" s="34"/>
      <c r="AB14" s="34"/>
    </row>
    <row r="15" spans="4:28" ht="12.75">
      <c r="D15" s="66">
        <f>X14*Engr!$K$24</f>
        <v>0</v>
      </c>
      <c r="F15" s="67" t="s">
        <v>8</v>
      </c>
      <c r="G15" s="36">
        <f>Engr!B$40</f>
        <v>38840</v>
      </c>
      <c r="H15" s="36">
        <f>Engr!D$40</f>
        <v>38882</v>
      </c>
      <c r="I15" s="29" t="s">
        <v>26</v>
      </c>
      <c r="J15" s="29"/>
      <c r="K15" s="29"/>
      <c r="L15" s="29"/>
      <c r="M15" s="29"/>
      <c r="N15" s="69">
        <f>(H15-G15)/7</f>
        <v>6</v>
      </c>
      <c r="O15" s="37">
        <f t="shared" si="1"/>
        <v>0</v>
      </c>
      <c r="P15" s="37">
        <f t="shared" si="1"/>
        <v>0</v>
      </c>
      <c r="Q15" s="37">
        <f t="shared" si="1"/>
        <v>0</v>
      </c>
      <c r="R15" s="37">
        <f t="shared" si="1"/>
        <v>6</v>
      </c>
      <c r="S15" s="37">
        <f t="shared" si="1"/>
        <v>0</v>
      </c>
      <c r="T15" s="37">
        <f t="shared" si="1"/>
        <v>0</v>
      </c>
      <c r="U15" s="37"/>
      <c r="V15" s="34"/>
      <c r="W15" s="34"/>
      <c r="X15" s="34"/>
      <c r="Y15" s="34"/>
      <c r="Z15" s="34"/>
      <c r="AA15" s="34"/>
      <c r="AB15" s="34"/>
    </row>
    <row r="16" spans="4:28" ht="12.75">
      <c r="D16" s="66">
        <f>X14*Engr!$M$24</f>
        <v>895.2</v>
      </c>
      <c r="F16" s="67" t="s">
        <v>9</v>
      </c>
      <c r="G16" s="36">
        <f>Engr!B$40</f>
        <v>38840</v>
      </c>
      <c r="H16" s="36">
        <f>Engr!D$40</f>
        <v>38882</v>
      </c>
      <c r="I16" s="29" t="s">
        <v>29</v>
      </c>
      <c r="J16" s="29"/>
      <c r="K16" s="29"/>
      <c r="L16" s="29"/>
      <c r="M16" s="29"/>
      <c r="N16" s="69">
        <f>(H16-G16)/7</f>
        <v>6</v>
      </c>
      <c r="O16" s="37">
        <f t="shared" si="1"/>
        <v>0</v>
      </c>
      <c r="P16" s="37">
        <f t="shared" si="1"/>
        <v>0</v>
      </c>
      <c r="Q16" s="37">
        <f t="shared" si="1"/>
        <v>0</v>
      </c>
      <c r="R16" s="37">
        <f t="shared" si="1"/>
        <v>6</v>
      </c>
      <c r="S16" s="37">
        <f t="shared" si="1"/>
        <v>0</v>
      </c>
      <c r="T16" s="37">
        <f t="shared" si="1"/>
        <v>0</v>
      </c>
      <c r="U16" s="37"/>
      <c r="V16" s="34"/>
      <c r="W16" s="34"/>
      <c r="X16" s="34"/>
      <c r="Y16" s="34"/>
      <c r="Z16" s="34"/>
      <c r="AA16" s="34"/>
      <c r="AB16" s="34"/>
    </row>
    <row r="17" spans="4:28" ht="12.75">
      <c r="D17" s="66">
        <f>X14*Engr!$O$24</f>
        <v>20</v>
      </c>
      <c r="F17" s="67" t="s">
        <v>135</v>
      </c>
      <c r="G17" s="36">
        <f>Engr!B$40</f>
        <v>38840</v>
      </c>
      <c r="H17" s="36">
        <f>Engr!D$40</f>
        <v>38882</v>
      </c>
      <c r="I17" s="29" t="s">
        <v>30</v>
      </c>
      <c r="J17" s="29"/>
      <c r="K17" s="29"/>
      <c r="L17" s="29"/>
      <c r="M17" s="29"/>
      <c r="N17" s="69">
        <f>(H17-G17)/7</f>
        <v>6</v>
      </c>
      <c r="O17" s="37">
        <f t="shared" si="1"/>
        <v>0</v>
      </c>
      <c r="P17" s="37">
        <f t="shared" si="1"/>
        <v>0</v>
      </c>
      <c r="Q17" s="37">
        <f t="shared" si="1"/>
        <v>0</v>
      </c>
      <c r="R17" s="37">
        <f t="shared" si="1"/>
        <v>6</v>
      </c>
      <c r="S17" s="37">
        <f t="shared" si="1"/>
        <v>0</v>
      </c>
      <c r="T17" s="37">
        <f t="shared" si="1"/>
        <v>0</v>
      </c>
      <c r="U17" s="37"/>
      <c r="V17" s="34"/>
      <c r="W17" s="34"/>
      <c r="X17" s="34"/>
      <c r="Y17" s="34"/>
      <c r="Z17" s="34"/>
      <c r="AA17" s="34"/>
      <c r="AB17" s="34"/>
    </row>
    <row r="18" spans="4:28" ht="12.75">
      <c r="D18" s="66">
        <f>X14*Engr!$Q$24</f>
        <v>0</v>
      </c>
      <c r="F18" s="67" t="s">
        <v>136</v>
      </c>
      <c r="G18" s="36">
        <f>Engr!B$40</f>
        <v>38840</v>
      </c>
      <c r="H18" s="36">
        <f>Engr!D$40</f>
        <v>38882</v>
      </c>
      <c r="I18" s="29" t="s">
        <v>78</v>
      </c>
      <c r="J18" s="29"/>
      <c r="K18" s="29"/>
      <c r="L18" s="29"/>
      <c r="M18" s="29"/>
      <c r="N18" s="69">
        <f>(H18-G18)/7</f>
        <v>6</v>
      </c>
      <c r="O18" s="37">
        <f t="shared" si="1"/>
        <v>0</v>
      </c>
      <c r="P18" s="37">
        <f t="shared" si="1"/>
        <v>0</v>
      </c>
      <c r="Q18" s="37">
        <f t="shared" si="1"/>
        <v>0</v>
      </c>
      <c r="R18" s="37">
        <f t="shared" si="1"/>
        <v>6</v>
      </c>
      <c r="S18" s="37">
        <f t="shared" si="1"/>
        <v>0</v>
      </c>
      <c r="T18" s="37">
        <f t="shared" si="1"/>
        <v>0</v>
      </c>
      <c r="U18" s="37"/>
      <c r="V18" s="34"/>
      <c r="W18" s="34"/>
      <c r="X18" s="34"/>
      <c r="Y18" s="34"/>
      <c r="Z18" s="34"/>
      <c r="AA18" s="34"/>
      <c r="AB18" s="34"/>
    </row>
    <row r="19" spans="7:28" ht="12.75">
      <c r="G19" s="36"/>
      <c r="H19" s="36"/>
      <c r="I19" s="29"/>
      <c r="J19" s="29"/>
      <c r="K19" s="29"/>
      <c r="L19" s="29"/>
      <c r="M19" s="29"/>
      <c r="N19" s="69"/>
      <c r="O19" s="37"/>
      <c r="P19" s="37"/>
      <c r="Q19" s="37"/>
      <c r="R19" s="37"/>
      <c r="S19" s="37"/>
      <c r="T19" s="37"/>
      <c r="U19" s="37"/>
      <c r="V19" s="34"/>
      <c r="W19" s="34"/>
      <c r="X19" s="34"/>
      <c r="Y19" s="34"/>
      <c r="Z19" s="34"/>
      <c r="AA19" s="34"/>
      <c r="AB19" s="34"/>
    </row>
    <row r="20" spans="1:28" ht="12.75">
      <c r="A20" s="164" t="s">
        <v>88</v>
      </c>
      <c r="B20" s="164"/>
      <c r="C20" s="164"/>
      <c r="D20" s="164"/>
      <c r="G20" s="36"/>
      <c r="H20" s="36"/>
      <c r="I20" s="29"/>
      <c r="J20" s="29"/>
      <c r="K20" s="29"/>
      <c r="L20" s="29"/>
      <c r="M20" s="29"/>
      <c r="N20" s="69"/>
      <c r="O20" s="37"/>
      <c r="P20" s="37"/>
      <c r="Q20" s="37"/>
      <c r="R20" s="37"/>
      <c r="S20" s="37"/>
      <c r="T20" s="37"/>
      <c r="U20" s="37"/>
      <c r="V20" s="34"/>
      <c r="W20" s="34"/>
      <c r="X20" s="34"/>
      <c r="Y20" s="34"/>
      <c r="Z20" s="34"/>
      <c r="AA20" s="34"/>
      <c r="AB20" s="34"/>
    </row>
    <row r="21" spans="4:28" ht="12.75">
      <c r="D21" s="66">
        <f>'R&amp;D'!I32+'R&amp;D'!I41</f>
        <v>0</v>
      </c>
      <c r="F21" s="67" t="s">
        <v>6</v>
      </c>
      <c r="G21" s="36">
        <f>Engr!B$39</f>
        <v>38798</v>
      </c>
      <c r="H21" s="36">
        <f>Engr!D$39</f>
        <v>38840</v>
      </c>
      <c r="I21" s="29" t="s">
        <v>27</v>
      </c>
      <c r="J21" s="29"/>
      <c r="K21" s="29"/>
      <c r="L21" s="29"/>
      <c r="M21" s="29"/>
      <c r="N21" s="69">
        <f>(H21-G21)/7</f>
        <v>6</v>
      </c>
      <c r="O21" s="37">
        <f aca="true" t="shared" si="2" ref="O21:T25">(1/7)*IF((OR((O$4&gt;=$H21),(P$4&lt;=$G21))),0,IF(AND((O$4&lt;=$G21),(P$4&gt;=$H21)),($H21-$G21),IF(AND((O$4&gt;=$G21),(P$4&gt;=$H21)),($H21-O$4),IF(AND((O$4&gt;=$G21),($H21&gt;=P$4)),365,IF(AND((O$4&lt;=$G21),($H21&gt;=P$4)),(P$4-$G21))))))</f>
        <v>0</v>
      </c>
      <c r="P21" s="37">
        <f t="shared" si="2"/>
        <v>0</v>
      </c>
      <c r="Q21" s="37">
        <f t="shared" si="2"/>
        <v>0</v>
      </c>
      <c r="R21" s="37">
        <f t="shared" si="2"/>
        <v>6</v>
      </c>
      <c r="S21" s="37">
        <f t="shared" si="2"/>
        <v>0</v>
      </c>
      <c r="T21" s="37">
        <f t="shared" si="2"/>
        <v>0</v>
      </c>
      <c r="U21" s="37"/>
      <c r="V21" s="34"/>
      <c r="W21" s="34"/>
      <c r="X21" s="34"/>
      <c r="Y21" s="34"/>
      <c r="Z21" s="34"/>
      <c r="AA21" s="34"/>
      <c r="AB21" s="34"/>
    </row>
    <row r="22" spans="4:28" ht="12.75">
      <c r="D22" s="66">
        <f>'R&amp;D'!K32+'R&amp;D'!K41</f>
        <v>0</v>
      </c>
      <c r="F22" s="67" t="s">
        <v>8</v>
      </c>
      <c r="G22" s="36">
        <f>Engr!B$39</f>
        <v>38798</v>
      </c>
      <c r="H22" s="36">
        <f>Engr!D$39</f>
        <v>38840</v>
      </c>
      <c r="I22" s="29" t="s">
        <v>26</v>
      </c>
      <c r="J22" s="29"/>
      <c r="K22" s="29"/>
      <c r="L22" s="29"/>
      <c r="M22" s="29"/>
      <c r="N22" s="69">
        <f>(H22-G22)/7</f>
        <v>6</v>
      </c>
      <c r="O22" s="37">
        <f t="shared" si="2"/>
        <v>0</v>
      </c>
      <c r="P22" s="37">
        <f t="shared" si="2"/>
        <v>0</v>
      </c>
      <c r="Q22" s="37">
        <f t="shared" si="2"/>
        <v>0</v>
      </c>
      <c r="R22" s="37">
        <f t="shared" si="2"/>
        <v>6</v>
      </c>
      <c r="S22" s="37">
        <f t="shared" si="2"/>
        <v>0</v>
      </c>
      <c r="T22" s="37">
        <f t="shared" si="2"/>
        <v>0</v>
      </c>
      <c r="U22" s="37"/>
      <c r="V22" s="34"/>
      <c r="W22" s="34"/>
      <c r="X22" s="34"/>
      <c r="Y22" s="34"/>
      <c r="Z22" s="34"/>
      <c r="AA22" s="34"/>
      <c r="AB22" s="34"/>
    </row>
    <row r="23" spans="4:28" ht="12.75">
      <c r="D23" s="66">
        <f>'R&amp;D'!M32+'R&amp;D'!M41</f>
        <v>0</v>
      </c>
      <c r="F23" s="67" t="s">
        <v>9</v>
      </c>
      <c r="G23" s="36">
        <f>Engr!B$39</f>
        <v>38798</v>
      </c>
      <c r="H23" s="36">
        <f>Engr!D$39</f>
        <v>38840</v>
      </c>
      <c r="I23" s="29" t="s">
        <v>29</v>
      </c>
      <c r="J23" s="29"/>
      <c r="K23" s="29"/>
      <c r="L23" s="29"/>
      <c r="M23" s="29"/>
      <c r="N23" s="69">
        <f>(H23-G23)/7</f>
        <v>6</v>
      </c>
      <c r="O23" s="37">
        <f t="shared" si="2"/>
        <v>0</v>
      </c>
      <c r="P23" s="37">
        <f t="shared" si="2"/>
        <v>0</v>
      </c>
      <c r="Q23" s="37">
        <f t="shared" si="2"/>
        <v>0</v>
      </c>
      <c r="R23" s="37">
        <f t="shared" si="2"/>
        <v>6</v>
      </c>
      <c r="S23" s="37">
        <f t="shared" si="2"/>
        <v>0</v>
      </c>
      <c r="T23" s="37">
        <f t="shared" si="2"/>
        <v>0</v>
      </c>
      <c r="U23" s="37"/>
      <c r="V23" s="34"/>
      <c r="W23" s="34"/>
      <c r="X23" s="34"/>
      <c r="Y23" s="34"/>
      <c r="Z23" s="34"/>
      <c r="AA23" s="34"/>
      <c r="AB23" s="34"/>
    </row>
    <row r="24" spans="4:28" ht="12.75">
      <c r="D24" s="66">
        <f>'R&amp;D'!O32+'R&amp;D'!O41</f>
        <v>0</v>
      </c>
      <c r="F24" s="67" t="s">
        <v>7</v>
      </c>
      <c r="G24" s="36">
        <f>Engr!B$39</f>
        <v>38798</v>
      </c>
      <c r="H24" s="36">
        <f>Engr!D$39</f>
        <v>38840</v>
      </c>
      <c r="I24" s="29" t="s">
        <v>28</v>
      </c>
      <c r="J24" s="29"/>
      <c r="K24" s="29"/>
      <c r="L24" s="29"/>
      <c r="M24" s="29"/>
      <c r="N24" s="69">
        <f>(H24-G24)/7</f>
        <v>6</v>
      </c>
      <c r="O24" s="37">
        <f t="shared" si="2"/>
        <v>0</v>
      </c>
      <c r="P24" s="37">
        <f t="shared" si="2"/>
        <v>0</v>
      </c>
      <c r="Q24" s="37">
        <f t="shared" si="2"/>
        <v>0</v>
      </c>
      <c r="R24" s="37">
        <f t="shared" si="2"/>
        <v>6</v>
      </c>
      <c r="S24" s="37">
        <f t="shared" si="2"/>
        <v>0</v>
      </c>
      <c r="T24" s="37">
        <f t="shared" si="2"/>
        <v>0</v>
      </c>
      <c r="U24" s="37"/>
      <c r="V24" s="34"/>
      <c r="W24" s="34"/>
      <c r="X24" s="34"/>
      <c r="Y24" s="34"/>
      <c r="Z24" s="34"/>
      <c r="AA24" s="34"/>
      <c r="AB24" s="34"/>
    </row>
    <row r="25" spans="4:28" ht="12.75">
      <c r="D25" s="66">
        <f>'R&amp;D'!Q41</f>
        <v>0</v>
      </c>
      <c r="F25" s="67" t="s">
        <v>85</v>
      </c>
      <c r="G25" s="36">
        <f>Engr!B$39</f>
        <v>38798</v>
      </c>
      <c r="H25" s="36">
        <f>Engr!D$39</f>
        <v>38840</v>
      </c>
      <c r="I25" s="29" t="s">
        <v>86</v>
      </c>
      <c r="J25" s="29"/>
      <c r="K25" s="29"/>
      <c r="L25" s="29"/>
      <c r="M25" s="70"/>
      <c r="N25" s="69">
        <f>(H25-G25)/7</f>
        <v>6</v>
      </c>
      <c r="O25" s="37">
        <f t="shared" si="2"/>
        <v>0</v>
      </c>
      <c r="P25" s="37">
        <f t="shared" si="2"/>
        <v>0</v>
      </c>
      <c r="Q25" s="37">
        <f t="shared" si="2"/>
        <v>0</v>
      </c>
      <c r="R25" s="37">
        <f t="shared" si="2"/>
        <v>6</v>
      </c>
      <c r="S25" s="37">
        <f t="shared" si="2"/>
        <v>0</v>
      </c>
      <c r="T25" s="37">
        <f t="shared" si="2"/>
        <v>0</v>
      </c>
      <c r="U25" s="37"/>
      <c r="V25" s="34"/>
      <c r="W25" s="34"/>
      <c r="X25" s="34"/>
      <c r="Y25" s="34"/>
      <c r="Z25" s="34"/>
      <c r="AA25" s="34"/>
      <c r="AB25" s="34"/>
    </row>
    <row r="26" spans="6:28" ht="12.75">
      <c r="F26" s="67"/>
      <c r="G26" s="36"/>
      <c r="H26" s="36"/>
      <c r="I26" s="29"/>
      <c r="J26" s="29"/>
      <c r="K26" s="29"/>
      <c r="L26" s="29"/>
      <c r="M26" s="29"/>
      <c r="N26" s="69"/>
      <c r="O26" s="37"/>
      <c r="P26" s="37"/>
      <c r="Q26" s="37"/>
      <c r="R26" s="37"/>
      <c r="S26" s="37"/>
      <c r="T26" s="37"/>
      <c r="U26" s="37"/>
      <c r="V26" s="34"/>
      <c r="W26" s="34"/>
      <c r="X26" s="34"/>
      <c r="Y26" s="34"/>
      <c r="Z26" s="34"/>
      <c r="AA26" s="34"/>
      <c r="AB26" s="34"/>
    </row>
    <row r="27" spans="1:28" ht="12.75">
      <c r="A27" s="164" t="s">
        <v>16</v>
      </c>
      <c r="B27" s="164"/>
      <c r="C27" s="164"/>
      <c r="D27" s="164"/>
      <c r="G27" s="36"/>
      <c r="H27" s="36"/>
      <c r="I27" s="29"/>
      <c r="J27" s="29"/>
      <c r="K27" s="29"/>
      <c r="L27" s="29"/>
      <c r="M27" s="29"/>
      <c r="N27" s="69"/>
      <c r="O27" s="37"/>
      <c r="P27" s="37"/>
      <c r="Q27" s="37"/>
      <c r="R27" s="37"/>
      <c r="S27" s="37"/>
      <c r="T27" s="37"/>
      <c r="U27" s="34"/>
      <c r="V27" s="34"/>
      <c r="W27" s="34"/>
      <c r="X27" s="34"/>
      <c r="Y27" s="34"/>
      <c r="Z27" s="34"/>
      <c r="AA27" s="34"/>
      <c r="AB27" s="34"/>
    </row>
    <row r="28" spans="4:28" ht="12.75">
      <c r="D28" s="66">
        <f>Engr!I35+Fab_assy!I16+Fab_assy!I27</f>
        <v>0</v>
      </c>
      <c r="F28" s="67" t="s">
        <v>6</v>
      </c>
      <c r="G28" s="36">
        <f>Engr!B$41</f>
        <v>38882</v>
      </c>
      <c r="H28" s="36">
        <f>Engr!D$43</f>
        <v>39022</v>
      </c>
      <c r="I28" s="29" t="s">
        <v>27</v>
      </c>
      <c r="J28" s="29"/>
      <c r="K28" s="29"/>
      <c r="L28" s="29"/>
      <c r="M28" s="29"/>
      <c r="N28" s="69">
        <f>(H28-G28)/7</f>
        <v>20</v>
      </c>
      <c r="O28" s="37">
        <f aca="true" t="shared" si="3" ref="O28:T28">(1/7)*IF((OR((O$4&gt;=$H28),(P$4&lt;=$G28))),0,IF(AND((O$4&lt;=$G28),(P$4&gt;=$H28)),($H28-$G28),IF(AND((O$4&gt;=$G28),(P$4&gt;=$H28)),($H28-O$4),IF(AND((O$4&gt;=$G28),($H28&gt;=P$4)),365,IF(AND((O$4&lt;=$G28),($H28&gt;=P$4)),(P$4-$G28))))))</f>
        <v>0</v>
      </c>
      <c r="P28" s="37">
        <f t="shared" si="3"/>
        <v>0</v>
      </c>
      <c r="Q28" s="37">
        <f t="shared" si="3"/>
        <v>0</v>
      </c>
      <c r="R28" s="37">
        <f t="shared" si="3"/>
        <v>15.571428571428571</v>
      </c>
      <c r="S28" s="37">
        <f t="shared" si="3"/>
        <v>4.428571428571428</v>
      </c>
      <c r="T28" s="37">
        <f t="shared" si="3"/>
        <v>0</v>
      </c>
      <c r="U28" s="34"/>
      <c r="V28" s="34"/>
      <c r="W28" s="34"/>
      <c r="X28" s="34"/>
      <c r="Y28" s="34"/>
      <c r="Z28" s="34"/>
      <c r="AA28" s="34"/>
      <c r="AB28" s="34"/>
    </row>
    <row r="29" spans="4:28" ht="12.75">
      <c r="D29" s="66">
        <f>Engr!K35</f>
        <v>8</v>
      </c>
      <c r="F29" s="67" t="s">
        <v>8</v>
      </c>
      <c r="G29" s="36">
        <f>Engr!B$41</f>
        <v>38882</v>
      </c>
      <c r="H29" s="36">
        <f>Engr!D$43</f>
        <v>39022</v>
      </c>
      <c r="I29" s="29" t="s">
        <v>26</v>
      </c>
      <c r="J29" s="29"/>
      <c r="K29" s="29"/>
      <c r="L29" s="29"/>
      <c r="M29" s="29"/>
      <c r="N29" s="69">
        <f>(H29-G29)/7</f>
        <v>20</v>
      </c>
      <c r="O29" s="37">
        <f aca="true" t="shared" si="4" ref="O29:T32">(1/7)*IF((OR((O$4&gt;=$H29),(P$4&lt;=$G29))),0,IF(AND((O$4&lt;=$G29),(P$4&gt;=$H29)),($H29-$G29),IF(AND((O$4&gt;=$G29),(P$4&gt;=$H29)),($H29-O$4),IF(AND((O$4&gt;=$G29),($H29&gt;=P$4)),365,IF(AND((O$4&lt;=$G29),($H29&gt;=P$4)),(P$4-$G29))))))</f>
        <v>0</v>
      </c>
      <c r="P29" s="37">
        <f t="shared" si="4"/>
        <v>0</v>
      </c>
      <c r="Q29" s="37">
        <f t="shared" si="4"/>
        <v>0</v>
      </c>
      <c r="R29" s="37">
        <f t="shared" si="4"/>
        <v>15.571428571428571</v>
      </c>
      <c r="S29" s="37">
        <f t="shared" si="4"/>
        <v>4.428571428571428</v>
      </c>
      <c r="T29" s="37">
        <f t="shared" si="4"/>
        <v>0</v>
      </c>
      <c r="U29" s="34"/>
      <c r="V29" s="34"/>
      <c r="W29" s="34"/>
      <c r="X29" s="34"/>
      <c r="Y29" s="34"/>
      <c r="Z29" s="34"/>
      <c r="AA29" s="34"/>
      <c r="AB29" s="34"/>
    </row>
    <row r="30" spans="4:28" ht="12.75">
      <c r="D30" s="66">
        <f>Engr!O35+Fab_assy!O16+Fab_assy!O27</f>
        <v>102</v>
      </c>
      <c r="F30" s="67" t="s">
        <v>9</v>
      </c>
      <c r="G30" s="36">
        <f>Engr!B$41</f>
        <v>38882</v>
      </c>
      <c r="H30" s="36">
        <f>Engr!D$43</f>
        <v>39022</v>
      </c>
      <c r="I30" s="29" t="s">
        <v>29</v>
      </c>
      <c r="J30" s="29"/>
      <c r="K30" s="29"/>
      <c r="L30" s="29"/>
      <c r="M30" s="29"/>
      <c r="N30" s="69">
        <f>(H30-G30)/7</f>
        <v>20</v>
      </c>
      <c r="O30" s="37">
        <f t="shared" si="4"/>
        <v>0</v>
      </c>
      <c r="P30" s="37">
        <f t="shared" si="4"/>
        <v>0</v>
      </c>
      <c r="Q30" s="37">
        <f t="shared" si="4"/>
        <v>0</v>
      </c>
      <c r="R30" s="37">
        <f t="shared" si="4"/>
        <v>15.571428571428571</v>
      </c>
      <c r="S30" s="37">
        <f t="shared" si="4"/>
        <v>4.428571428571428</v>
      </c>
      <c r="T30" s="37">
        <f t="shared" si="4"/>
        <v>0</v>
      </c>
      <c r="U30" s="34"/>
      <c r="V30" s="34"/>
      <c r="W30" s="34"/>
      <c r="X30" s="34"/>
      <c r="Y30" s="34"/>
      <c r="Z30" s="34"/>
      <c r="AA30" s="34"/>
      <c r="AB30" s="34"/>
    </row>
    <row r="31" spans="4:28" ht="12.75">
      <c r="D31" s="66">
        <f>Engr!K35+Fab_assy!K16+Fab_assy!K27</f>
        <v>8</v>
      </c>
      <c r="F31" s="67" t="s">
        <v>7</v>
      </c>
      <c r="G31" s="36">
        <f>Engr!B$41</f>
        <v>38882</v>
      </c>
      <c r="H31" s="36">
        <f>Engr!D$43</f>
        <v>39022</v>
      </c>
      <c r="I31" s="29" t="s">
        <v>28</v>
      </c>
      <c r="J31" s="29"/>
      <c r="K31" s="29"/>
      <c r="L31" s="29"/>
      <c r="M31" s="29"/>
      <c r="N31" s="69">
        <f>(H31-G31)/7</f>
        <v>20</v>
      </c>
      <c r="O31" s="37">
        <f t="shared" si="4"/>
        <v>0</v>
      </c>
      <c r="P31" s="37">
        <f t="shared" si="4"/>
        <v>0</v>
      </c>
      <c r="Q31" s="37">
        <f t="shared" si="4"/>
        <v>0</v>
      </c>
      <c r="R31" s="37">
        <f t="shared" si="4"/>
        <v>15.571428571428571</v>
      </c>
      <c r="S31" s="37">
        <f t="shared" si="4"/>
        <v>4.428571428571428</v>
      </c>
      <c r="T31" s="37">
        <f t="shared" si="4"/>
        <v>0</v>
      </c>
      <c r="U31" s="34"/>
      <c r="V31" s="34"/>
      <c r="W31" s="34"/>
      <c r="X31" s="34"/>
      <c r="Y31" s="34"/>
      <c r="Z31" s="34"/>
      <c r="AA31" s="34"/>
      <c r="AB31" s="34"/>
    </row>
    <row r="32" spans="4:28" ht="12.75">
      <c r="D32" s="66">
        <f>Fab_assy!M16+Fab_assy!M27</f>
        <v>0</v>
      </c>
      <c r="F32" s="67" t="s">
        <v>85</v>
      </c>
      <c r="G32" s="36">
        <f>Engr!B$41</f>
        <v>38882</v>
      </c>
      <c r="H32" s="36">
        <f>Engr!D$43</f>
        <v>39022</v>
      </c>
      <c r="I32" s="29" t="s">
        <v>86</v>
      </c>
      <c r="J32" s="29"/>
      <c r="K32" s="29"/>
      <c r="L32" s="29"/>
      <c r="M32" s="29"/>
      <c r="N32" s="69">
        <f>(H32-G32)/7</f>
        <v>20</v>
      </c>
      <c r="O32" s="37">
        <f t="shared" si="4"/>
        <v>0</v>
      </c>
      <c r="P32" s="37">
        <f t="shared" si="4"/>
        <v>0</v>
      </c>
      <c r="Q32" s="37">
        <f t="shared" si="4"/>
        <v>0</v>
      </c>
      <c r="R32" s="37">
        <f t="shared" si="4"/>
        <v>15.571428571428571</v>
      </c>
      <c r="S32" s="37">
        <f t="shared" si="4"/>
        <v>4.428571428571428</v>
      </c>
      <c r="T32" s="37">
        <f t="shared" si="4"/>
        <v>0</v>
      </c>
      <c r="U32" s="34"/>
      <c r="V32" s="34"/>
      <c r="W32" s="34"/>
      <c r="X32" s="34"/>
      <c r="Y32" s="34"/>
      <c r="Z32" s="34"/>
      <c r="AA32" s="34"/>
      <c r="AB32" s="34"/>
    </row>
    <row r="33" spans="4:28" ht="12.75">
      <c r="D33" s="66"/>
      <c r="F33" s="67"/>
      <c r="G33" s="68"/>
      <c r="H33" s="68"/>
      <c r="I33" s="29"/>
      <c r="J33" s="29"/>
      <c r="K33" s="29"/>
      <c r="L33" s="29"/>
      <c r="M33" s="29"/>
      <c r="N33" s="66"/>
      <c r="O33" s="37"/>
      <c r="P33" s="37"/>
      <c r="Q33" s="37"/>
      <c r="R33" s="37"/>
      <c r="S33" s="37"/>
      <c r="T33" s="34"/>
      <c r="U33" s="34"/>
      <c r="V33" s="34"/>
      <c r="W33" s="34"/>
      <c r="X33" s="34"/>
      <c r="Y33" s="34"/>
      <c r="Z33" s="34"/>
      <c r="AA33" s="34"/>
      <c r="AB33" s="34"/>
    </row>
    <row r="34" spans="4:28" ht="12.75" hidden="1">
      <c r="D34" s="66"/>
      <c r="F34" s="67"/>
      <c r="G34" s="68"/>
      <c r="H34" s="68"/>
      <c r="I34" s="71"/>
      <c r="J34" s="71"/>
      <c r="K34" s="71"/>
      <c r="L34" s="71"/>
      <c r="M34" s="71"/>
      <c r="N34" s="66"/>
      <c r="O34" s="37"/>
      <c r="P34" s="37"/>
      <c r="Q34" s="37"/>
      <c r="R34" s="37"/>
      <c r="S34" s="37"/>
      <c r="T34" s="34"/>
      <c r="U34" s="34"/>
      <c r="V34" s="34"/>
      <c r="W34" s="34"/>
      <c r="X34" s="34"/>
      <c r="Y34" s="34"/>
      <c r="Z34" s="34"/>
      <c r="AA34" s="34"/>
      <c r="AB34" s="34"/>
    </row>
    <row r="35" spans="1:28" ht="18.75" hidden="1" thickBot="1">
      <c r="A35" s="167" t="s">
        <v>17</v>
      </c>
      <c r="B35" s="167"/>
      <c r="C35" s="167"/>
      <c r="D35" s="167"/>
      <c r="E35" s="72"/>
      <c r="F35" s="73"/>
      <c r="G35" s="74"/>
      <c r="H35" s="74"/>
      <c r="I35" s="75"/>
      <c r="J35" s="75"/>
      <c r="K35" s="75"/>
      <c r="L35" s="71"/>
      <c r="M35" s="71"/>
      <c r="N35" s="66"/>
      <c r="O35" s="37"/>
      <c r="P35" s="37"/>
      <c r="Q35" s="37"/>
      <c r="R35" s="37"/>
      <c r="S35" s="37"/>
      <c r="T35" s="34"/>
      <c r="U35" s="34"/>
      <c r="V35" s="34"/>
      <c r="W35" s="34"/>
      <c r="X35" s="34"/>
      <c r="Y35" s="34"/>
      <c r="Z35" s="34"/>
      <c r="AA35" s="34"/>
      <c r="AB35" s="34"/>
    </row>
    <row r="36" spans="1:19" ht="18" hidden="1">
      <c r="A36" s="76"/>
      <c r="B36" s="76"/>
      <c r="C36" s="76"/>
      <c r="D36" s="76"/>
      <c r="E36" s="77"/>
      <c r="F36" s="78"/>
      <c r="G36" s="79"/>
      <c r="H36" s="79"/>
      <c r="I36" s="80"/>
      <c r="J36" s="80"/>
      <c r="K36" s="80"/>
      <c r="L36" s="71"/>
      <c r="M36" s="71"/>
      <c r="N36" s="66"/>
      <c r="O36" s="69"/>
      <c r="P36" s="69"/>
      <c r="Q36" s="69"/>
      <c r="R36" s="69"/>
      <c r="S36" s="69"/>
    </row>
    <row r="37" spans="5:12" ht="12.75" hidden="1">
      <c r="E37" s="169" t="s">
        <v>105</v>
      </c>
      <c r="F37" s="169"/>
      <c r="G37" s="169"/>
      <c r="H37" s="169"/>
      <c r="I37" s="169"/>
      <c r="J37" s="169"/>
      <c r="K37" s="169"/>
      <c r="L37" s="67"/>
    </row>
    <row r="38" spans="1:12" ht="15" hidden="1">
      <c r="A38" s="81"/>
      <c r="B38" s="81"/>
      <c r="C38" s="81"/>
      <c r="D38" s="81"/>
      <c r="E38" s="82"/>
      <c r="F38" s="82"/>
      <c r="G38" s="82"/>
      <c r="H38" s="82"/>
      <c r="I38" s="82"/>
      <c r="J38" s="82"/>
      <c r="K38" s="82"/>
      <c r="L38" s="67"/>
    </row>
    <row r="39" spans="1:19" ht="12.75" hidden="1">
      <c r="A39" s="54" t="s">
        <v>19</v>
      </c>
      <c r="E39" s="54" t="s">
        <v>20</v>
      </c>
      <c r="F39" s="54" t="s">
        <v>21</v>
      </c>
      <c r="G39" s="54" t="s">
        <v>22</v>
      </c>
      <c r="H39" s="54" t="s">
        <v>23</v>
      </c>
      <c r="I39" s="54" t="s">
        <v>24</v>
      </c>
      <c r="J39" s="54" t="s">
        <v>84</v>
      </c>
      <c r="K39" s="61" t="s">
        <v>111</v>
      </c>
      <c r="S39" s="66"/>
    </row>
    <row r="40" spans="1:19" ht="12.75" hidden="1">
      <c r="A40" s="54"/>
      <c r="L40" s="67"/>
      <c r="S40" s="66"/>
    </row>
    <row r="41" spans="2:19" ht="12.75" hidden="1">
      <c r="B41" s="41" t="s">
        <v>27</v>
      </c>
      <c r="D41" s="67" t="s">
        <v>6</v>
      </c>
      <c r="E41" s="69">
        <f aca="true" t="shared" si="5" ref="E41:J41">O7*$D7/$N7+O14*$D14/$N14+O21*$D21/$N21+O28*$D28/$N28</f>
        <v>0</v>
      </c>
      <c r="F41" s="69">
        <f t="shared" si="5"/>
        <v>0</v>
      </c>
      <c r="G41" s="69">
        <f t="shared" si="5"/>
        <v>0</v>
      </c>
      <c r="H41" s="69">
        <f t="shared" si="5"/>
        <v>0</v>
      </c>
      <c r="I41" s="69">
        <f t="shared" si="5"/>
        <v>0</v>
      </c>
      <c r="J41" s="69">
        <f t="shared" si="5"/>
        <v>0</v>
      </c>
      <c r="K41" s="83">
        <f>SUM(E41:J41)</f>
        <v>0</v>
      </c>
      <c r="N41" s="84">
        <f>K41*O41</f>
        <v>0</v>
      </c>
      <c r="O41" s="85">
        <v>153</v>
      </c>
      <c r="P41" s="39" t="s">
        <v>90</v>
      </c>
      <c r="S41" s="66"/>
    </row>
    <row r="42" spans="4:19" ht="12.75" hidden="1">
      <c r="D42" s="67"/>
      <c r="E42" s="69"/>
      <c r="F42" s="69"/>
      <c r="G42" s="69"/>
      <c r="H42" s="69"/>
      <c r="I42" s="69"/>
      <c r="J42" s="69"/>
      <c r="K42" s="83"/>
      <c r="N42" s="84"/>
      <c r="O42" s="85"/>
      <c r="P42" s="39"/>
      <c r="S42" s="66"/>
    </row>
    <row r="43" spans="2:16" ht="12.75" hidden="1">
      <c r="B43" s="41" t="s">
        <v>26</v>
      </c>
      <c r="D43" s="67" t="s">
        <v>8</v>
      </c>
      <c r="E43" s="69">
        <f aca="true" t="shared" si="6" ref="E43:J43">O8*$D8/$N8+O15*$D15/$N15+O22*$D22/$N22+O29*$D29/$N29</f>
        <v>0</v>
      </c>
      <c r="F43" s="69">
        <f t="shared" si="6"/>
        <v>0</v>
      </c>
      <c r="G43" s="69">
        <f t="shared" si="6"/>
        <v>0</v>
      </c>
      <c r="H43" s="69">
        <f t="shared" si="6"/>
        <v>6.228571428571429</v>
      </c>
      <c r="I43" s="69">
        <f t="shared" si="6"/>
        <v>1.7714285714285711</v>
      </c>
      <c r="J43" s="69">
        <f t="shared" si="6"/>
        <v>0</v>
      </c>
      <c r="K43" s="83">
        <f aca="true" t="shared" si="7" ref="K43:K53">SUM(E43:J43)</f>
        <v>8</v>
      </c>
      <c r="N43" s="84">
        <f>K43*O43</f>
        <v>800</v>
      </c>
      <c r="O43" s="85">
        <v>100</v>
      </c>
      <c r="P43" s="39" t="s">
        <v>90</v>
      </c>
    </row>
    <row r="44" spans="4:16" ht="12.75" hidden="1">
      <c r="D44" s="67"/>
      <c r="E44" s="69"/>
      <c r="F44" s="69"/>
      <c r="G44" s="69"/>
      <c r="H44" s="69"/>
      <c r="I44" s="69"/>
      <c r="J44" s="69"/>
      <c r="K44" s="83"/>
      <c r="N44" s="84"/>
      <c r="O44" s="85"/>
      <c r="P44" s="39"/>
    </row>
    <row r="45" spans="2:16" ht="12.75" hidden="1">
      <c r="B45" s="41" t="s">
        <v>29</v>
      </c>
      <c r="D45" s="67" t="s">
        <v>9</v>
      </c>
      <c r="E45" s="69">
        <f aca="true" t="shared" si="8" ref="E45:J45">O9*$D9/$N9+O16*$D16/$N16+O23*$D23/$N23+O30*$D30/$N30</f>
        <v>0</v>
      </c>
      <c r="F45" s="69">
        <f t="shared" si="8"/>
        <v>0</v>
      </c>
      <c r="G45" s="69">
        <f t="shared" si="8"/>
        <v>0</v>
      </c>
      <c r="H45" s="69">
        <f t="shared" si="8"/>
        <v>1869.8142857142861</v>
      </c>
      <c r="I45" s="69">
        <f t="shared" si="8"/>
        <v>22.585714285714282</v>
      </c>
      <c r="J45" s="69">
        <f t="shared" si="8"/>
        <v>0</v>
      </c>
      <c r="K45" s="83">
        <f t="shared" si="7"/>
        <v>1892.4000000000003</v>
      </c>
      <c r="N45" s="84">
        <f>K45*O45</f>
        <v>246012.00000000003</v>
      </c>
      <c r="O45" s="85">
        <v>130</v>
      </c>
      <c r="P45" s="39" t="s">
        <v>90</v>
      </c>
    </row>
    <row r="46" spans="4:16" ht="12.75" hidden="1">
      <c r="D46" s="67"/>
      <c r="E46" s="69"/>
      <c r="F46" s="69"/>
      <c r="G46" s="69"/>
      <c r="H46" s="69"/>
      <c r="I46" s="69"/>
      <c r="J46" s="69"/>
      <c r="K46" s="83"/>
      <c r="N46" s="84"/>
      <c r="O46" s="85"/>
      <c r="P46" s="39"/>
    </row>
    <row r="47" spans="2:16" ht="12.75" hidden="1">
      <c r="B47" s="41" t="s">
        <v>28</v>
      </c>
      <c r="D47" s="67" t="s">
        <v>7</v>
      </c>
      <c r="E47" s="69">
        <f aca="true" t="shared" si="9" ref="E47:J47">O24*$D24/$N24+O31*$D31/$N31</f>
        <v>0</v>
      </c>
      <c r="F47" s="69">
        <f t="shared" si="9"/>
        <v>0</v>
      </c>
      <c r="G47" s="69">
        <f t="shared" si="9"/>
        <v>0</v>
      </c>
      <c r="H47" s="69">
        <f t="shared" si="9"/>
        <v>6.228571428571429</v>
      </c>
      <c r="I47" s="69">
        <f t="shared" si="9"/>
        <v>1.7714285714285711</v>
      </c>
      <c r="J47" s="69">
        <f t="shared" si="9"/>
        <v>0</v>
      </c>
      <c r="K47" s="83">
        <f t="shared" si="7"/>
        <v>8</v>
      </c>
      <c r="N47" s="84">
        <f>K47*O47</f>
        <v>800</v>
      </c>
      <c r="O47" s="85">
        <v>100</v>
      </c>
      <c r="P47" s="39" t="s">
        <v>90</v>
      </c>
    </row>
    <row r="48" spans="4:16" ht="12.75" hidden="1">
      <c r="D48" s="67"/>
      <c r="E48" s="69"/>
      <c r="F48" s="69"/>
      <c r="G48" s="69"/>
      <c r="H48" s="69"/>
      <c r="I48" s="69"/>
      <c r="J48" s="69"/>
      <c r="K48" s="83"/>
      <c r="N48" s="84"/>
      <c r="O48" s="85"/>
      <c r="P48" s="39"/>
    </row>
    <row r="49" spans="2:16" ht="12.75" hidden="1">
      <c r="B49" s="41" t="s">
        <v>86</v>
      </c>
      <c r="D49" s="67" t="s">
        <v>85</v>
      </c>
      <c r="E49" s="69">
        <f aca="true" t="shared" si="10" ref="E49:J49">O25*$D25/$N25+O32*$D32/$N32</f>
        <v>0</v>
      </c>
      <c r="F49" s="69">
        <f t="shared" si="10"/>
        <v>0</v>
      </c>
      <c r="G49" s="69">
        <f t="shared" si="10"/>
        <v>0</v>
      </c>
      <c r="H49" s="69">
        <f t="shared" si="10"/>
        <v>0</v>
      </c>
      <c r="I49" s="69">
        <f t="shared" si="10"/>
        <v>0</v>
      </c>
      <c r="J49" s="69">
        <f t="shared" si="10"/>
        <v>0</v>
      </c>
      <c r="K49" s="83">
        <f t="shared" si="7"/>
        <v>0</v>
      </c>
      <c r="N49" s="84">
        <f>K49*O49</f>
        <v>0</v>
      </c>
      <c r="O49" s="85">
        <v>73</v>
      </c>
      <c r="P49" s="39" t="s">
        <v>90</v>
      </c>
    </row>
    <row r="50" spans="4:16" ht="12.75" hidden="1">
      <c r="D50" s="67"/>
      <c r="E50" s="69"/>
      <c r="F50" s="69"/>
      <c r="G50" s="69"/>
      <c r="H50" s="69"/>
      <c r="I50" s="69"/>
      <c r="J50" s="69"/>
      <c r="K50" s="83"/>
      <c r="N50" s="84"/>
      <c r="O50" s="85"/>
      <c r="P50" s="39"/>
    </row>
    <row r="51" spans="2:16" ht="12.75" hidden="1">
      <c r="B51" s="41" t="s">
        <v>79</v>
      </c>
      <c r="D51" s="67" t="s">
        <v>137</v>
      </c>
      <c r="E51" s="69">
        <f aca="true" t="shared" si="11" ref="E51:J51">O10*$D10/$N10+O17*$D17/$N17</f>
        <v>0</v>
      </c>
      <c r="F51" s="69">
        <f t="shared" si="11"/>
        <v>0</v>
      </c>
      <c r="G51" s="69">
        <f t="shared" si="11"/>
        <v>0</v>
      </c>
      <c r="H51" s="69">
        <f t="shared" si="11"/>
        <v>40</v>
      </c>
      <c r="I51" s="69">
        <f t="shared" si="11"/>
        <v>0</v>
      </c>
      <c r="J51" s="69">
        <f t="shared" si="11"/>
        <v>0</v>
      </c>
      <c r="K51" s="83">
        <f t="shared" si="7"/>
        <v>40</v>
      </c>
      <c r="N51" s="84">
        <f>K51*O51</f>
        <v>6400</v>
      </c>
      <c r="O51" s="85">
        <v>160</v>
      </c>
      <c r="P51" s="39" t="s">
        <v>90</v>
      </c>
    </row>
    <row r="52" spans="4:16" ht="12.75" hidden="1">
      <c r="D52" s="67"/>
      <c r="E52" s="69"/>
      <c r="F52" s="69"/>
      <c r="G52" s="69"/>
      <c r="H52" s="69"/>
      <c r="I52" s="69"/>
      <c r="J52" s="69"/>
      <c r="K52" s="83"/>
      <c r="N52" s="84"/>
      <c r="O52" s="85"/>
      <c r="P52" s="39"/>
    </row>
    <row r="53" spans="2:16" ht="12.75" hidden="1">
      <c r="B53" s="41" t="s">
        <v>78</v>
      </c>
      <c r="D53" s="67" t="s">
        <v>138</v>
      </c>
      <c r="E53" s="69">
        <f aca="true" t="shared" si="12" ref="E53:J53">O11*$D11/$N11+O18*$D18/$N18</f>
        <v>0</v>
      </c>
      <c r="F53" s="69">
        <f t="shared" si="12"/>
        <v>0</v>
      </c>
      <c r="G53" s="69">
        <f t="shared" si="12"/>
        <v>0</v>
      </c>
      <c r="H53" s="69">
        <f t="shared" si="12"/>
        <v>0</v>
      </c>
      <c r="I53" s="69">
        <f t="shared" si="12"/>
        <v>0</v>
      </c>
      <c r="J53" s="69">
        <f t="shared" si="12"/>
        <v>0</v>
      </c>
      <c r="K53" s="83">
        <f t="shared" si="7"/>
        <v>0</v>
      </c>
      <c r="N53" s="84">
        <f>K53*O53</f>
        <v>0</v>
      </c>
      <c r="O53" s="85">
        <v>141</v>
      </c>
      <c r="P53" s="39" t="s">
        <v>90</v>
      </c>
    </row>
    <row r="54" spans="6:12" ht="12.75" hidden="1">
      <c r="F54" s="67"/>
      <c r="G54" s="69"/>
      <c r="H54" s="69"/>
      <c r="I54" s="69"/>
      <c r="J54" s="69"/>
      <c r="K54" s="69"/>
      <c r="L54" s="69"/>
    </row>
    <row r="55" spans="6:16" ht="12.75" hidden="1">
      <c r="F55" s="67"/>
      <c r="G55" s="69"/>
      <c r="H55" s="69"/>
      <c r="I55" s="69"/>
      <c r="J55" s="69"/>
      <c r="K55" s="69"/>
      <c r="L55" s="69"/>
      <c r="N55" s="86">
        <f>K41+K43+K47+K49+K53</f>
        <v>16</v>
      </c>
      <c r="O55" s="84">
        <f>N41+N43+N47+N49+N53</f>
        <v>1600</v>
      </c>
      <c r="P55" s="39" t="s">
        <v>126</v>
      </c>
    </row>
    <row r="56" spans="14:16" ht="12.75" hidden="1">
      <c r="N56" s="86">
        <f>K45+K51</f>
        <v>1932.4000000000003</v>
      </c>
      <c r="O56" s="84">
        <f>N45+N51</f>
        <v>252412.00000000003</v>
      </c>
      <c r="P56" s="39" t="s">
        <v>127</v>
      </c>
    </row>
    <row r="57" spans="1:11" ht="18.75" hidden="1" thickBot="1">
      <c r="A57" s="167" t="s">
        <v>10</v>
      </c>
      <c r="B57" s="167"/>
      <c r="C57" s="167"/>
      <c r="D57" s="167"/>
      <c r="E57" s="72"/>
      <c r="F57" s="72"/>
      <c r="G57" s="87"/>
      <c r="H57" s="87"/>
      <c r="I57" s="72"/>
      <c r="J57" s="72"/>
      <c r="K57" s="72"/>
    </row>
    <row r="58" spans="1:4" ht="15" hidden="1">
      <c r="A58" s="81"/>
      <c r="B58" s="81"/>
      <c r="C58" s="81"/>
      <c r="D58" s="81"/>
    </row>
    <row r="59" spans="1:13" ht="12.75" hidden="1">
      <c r="A59" s="52"/>
      <c r="B59" s="53" t="s">
        <v>0</v>
      </c>
      <c r="C59" s="53"/>
      <c r="D59" s="52"/>
      <c r="E59" s="52" t="s">
        <v>225</v>
      </c>
      <c r="G59" s="88" t="s">
        <v>112</v>
      </c>
      <c r="H59" s="88"/>
      <c r="I59" s="88"/>
      <c r="J59" s="88"/>
      <c r="K59" s="88"/>
      <c r="L59" s="88"/>
      <c r="M59" s="88"/>
    </row>
    <row r="60" spans="1:5" ht="12.75" hidden="1">
      <c r="A60" s="52"/>
      <c r="B60" s="52"/>
      <c r="C60" s="52"/>
      <c r="D60" s="52"/>
      <c r="E60" s="52"/>
    </row>
    <row r="61" spans="1:8" ht="12.75" hidden="1">
      <c r="A61" s="89"/>
      <c r="B61" s="40" t="s">
        <v>89</v>
      </c>
      <c r="C61" s="90"/>
      <c r="G61" s="41"/>
      <c r="H61" s="41"/>
    </row>
    <row r="62" spans="1:8" ht="12.75" hidden="1">
      <c r="A62" s="89"/>
      <c r="B62" s="40"/>
      <c r="C62" s="29" t="s">
        <v>12</v>
      </c>
      <c r="E62" s="91">
        <f>'R&amp;D'!B9</f>
        <v>0</v>
      </c>
      <c r="G62" s="41"/>
      <c r="H62" s="41"/>
    </row>
    <row r="63" spans="1:8" ht="12.75" hidden="1">
      <c r="A63" s="89"/>
      <c r="B63" s="40"/>
      <c r="C63" s="29" t="s">
        <v>11</v>
      </c>
      <c r="E63" s="91">
        <f>'R&amp;D'!B11</f>
        <v>0</v>
      </c>
      <c r="G63" s="41"/>
      <c r="H63" s="41"/>
    </row>
    <row r="64" spans="1:8" ht="12.75" hidden="1">
      <c r="A64" s="89"/>
      <c r="B64" s="92"/>
      <c r="C64" s="41" t="s">
        <v>101</v>
      </c>
      <c r="E64" s="93">
        <f>(E62+E63)*0.1</f>
        <v>0</v>
      </c>
      <c r="G64" s="41"/>
      <c r="H64" s="41"/>
    </row>
    <row r="65" spans="1:8" ht="12.75" hidden="1">
      <c r="A65" s="89"/>
      <c r="B65" s="92"/>
      <c r="C65" s="94" t="s">
        <v>104</v>
      </c>
      <c r="E65" s="84">
        <f>SUM(E62:E64)</f>
        <v>0</v>
      </c>
      <c r="G65" s="41" t="s">
        <v>98</v>
      </c>
      <c r="H65" s="41"/>
    </row>
    <row r="66" spans="1:8" ht="12.75" hidden="1">
      <c r="A66" s="89"/>
      <c r="B66" s="92"/>
      <c r="C66" s="94"/>
      <c r="E66" s="84"/>
      <c r="G66" s="41"/>
      <c r="H66" s="41"/>
    </row>
    <row r="67" spans="2:8" ht="12.75" hidden="1">
      <c r="B67" s="54" t="s">
        <v>11</v>
      </c>
      <c r="G67" s="41"/>
      <c r="H67" s="41"/>
    </row>
    <row r="68" spans="2:8" ht="12.75" hidden="1">
      <c r="B68" s="54"/>
      <c r="C68" s="41" t="str">
        <f>'M&amp;S'!A16</f>
        <v>set of cables</v>
      </c>
      <c r="E68" s="91">
        <f>'M&amp;S'!B16</f>
        <v>0</v>
      </c>
      <c r="G68" s="41"/>
      <c r="H68" s="41"/>
    </row>
    <row r="69" spans="2:8" ht="12.75" hidden="1">
      <c r="B69" s="54"/>
      <c r="C69" s="41" t="str">
        <f>'M&amp;S'!A17</f>
        <v>misc attachment hardware</v>
      </c>
      <c r="E69" s="91">
        <f>'M&amp;S'!B17</f>
        <v>11541.122592369706</v>
      </c>
      <c r="G69" s="41"/>
      <c r="H69" s="41"/>
    </row>
    <row r="70" spans="2:8" ht="12.75" hidden="1">
      <c r="B70" s="54"/>
      <c r="C70" s="41" t="str">
        <f>'M&amp;S'!A18</f>
        <v>thermal transition box material</v>
      </c>
      <c r="E70" s="91">
        <f>'M&amp;S'!B18</f>
        <v>0</v>
      </c>
      <c r="G70" s="41"/>
      <c r="H70" s="41"/>
    </row>
    <row r="71" spans="2:8" ht="12.75" hidden="1">
      <c r="B71" s="54"/>
      <c r="C71" s="41" t="s">
        <v>107</v>
      </c>
      <c r="E71" s="91">
        <f>'M&amp;S'!B31</f>
        <v>0</v>
      </c>
      <c r="G71" s="41"/>
      <c r="H71" s="41"/>
    </row>
    <row r="72" spans="2:8" ht="12.75" hidden="1">
      <c r="B72" s="54"/>
      <c r="C72" s="41" t="str">
        <f>'M&amp;S'!A19</f>
        <v>subtotal, purchased parts</v>
      </c>
      <c r="E72" s="91">
        <f>'M&amp;S'!B19</f>
        <v>11541.122592369706</v>
      </c>
      <c r="G72" s="41"/>
      <c r="H72" s="41"/>
    </row>
    <row r="73" spans="2:8" ht="12.75" hidden="1">
      <c r="B73" s="54"/>
      <c r="C73" s="41" t="s">
        <v>101</v>
      </c>
      <c r="E73" s="93">
        <f>E68*0.1</f>
        <v>0</v>
      </c>
      <c r="G73" s="41"/>
      <c r="H73" s="41"/>
    </row>
    <row r="74" spans="2:8" ht="12.75" hidden="1">
      <c r="B74" s="54"/>
      <c r="C74" s="94" t="s">
        <v>103</v>
      </c>
      <c r="E74" s="84">
        <f>SUM(E72:E73)</f>
        <v>11541.122592369706</v>
      </c>
      <c r="G74" s="41" t="s">
        <v>98</v>
      </c>
      <c r="H74" s="41"/>
    </row>
    <row r="75" spans="3:8" ht="12.75" hidden="1">
      <c r="C75" s="54"/>
      <c r="G75" s="41"/>
      <c r="H75" s="41"/>
    </row>
    <row r="76" spans="2:8" ht="12.75" hidden="1">
      <c r="B76" s="54" t="s">
        <v>12</v>
      </c>
      <c r="E76" s="84">
        <v>0</v>
      </c>
      <c r="G76" s="41" t="s">
        <v>113</v>
      </c>
      <c r="H76" s="41"/>
    </row>
    <row r="77" spans="7:8" ht="12.75" hidden="1">
      <c r="G77" s="41"/>
      <c r="H77" s="41"/>
    </row>
    <row r="78" spans="2:8" ht="12.75" hidden="1">
      <c r="B78" s="54" t="s">
        <v>13</v>
      </c>
      <c r="E78" s="84">
        <v>0</v>
      </c>
      <c r="G78" s="41" t="s">
        <v>114</v>
      </c>
      <c r="H78" s="41"/>
    </row>
    <row r="79" spans="7:8" ht="12.75" hidden="1">
      <c r="G79" s="41"/>
      <c r="H79" s="41"/>
    </row>
    <row r="80" spans="7:13" ht="12.75" hidden="1">
      <c r="G80" s="95"/>
      <c r="H80" s="95"/>
      <c r="I80" s="95"/>
      <c r="J80" s="95"/>
      <c r="K80" s="95"/>
      <c r="L80" s="95"/>
      <c r="M80" s="95"/>
    </row>
    <row r="81" spans="1:13" ht="18.75" hidden="1" thickBot="1">
      <c r="A81" s="167" t="s">
        <v>14</v>
      </c>
      <c r="B81" s="167"/>
      <c r="C81" s="167"/>
      <c r="D81" s="167"/>
      <c r="E81" s="72"/>
      <c r="F81" s="72"/>
      <c r="G81" s="96"/>
      <c r="H81" s="96"/>
      <c r="I81" s="96"/>
      <c r="J81" s="96"/>
      <c r="K81" s="96"/>
      <c r="L81" s="95"/>
      <c r="M81" s="95"/>
    </row>
    <row r="82" spans="1:13" ht="15" hidden="1">
      <c r="A82" s="81"/>
      <c r="B82" s="81"/>
      <c r="C82" s="81"/>
      <c r="D82" s="81"/>
      <c r="G82" s="95"/>
      <c r="H82" s="95"/>
      <c r="I82" s="95"/>
      <c r="J82" s="95"/>
      <c r="K82" s="95"/>
      <c r="L82" s="95"/>
      <c r="M82" s="95"/>
    </row>
    <row r="83" spans="1:13" ht="12.75" hidden="1">
      <c r="A83" s="52"/>
      <c r="B83" s="53" t="s">
        <v>0</v>
      </c>
      <c r="C83" s="53"/>
      <c r="D83" s="52"/>
      <c r="E83" s="52" t="s">
        <v>225</v>
      </c>
      <c r="G83" s="95" t="s">
        <v>112</v>
      </c>
      <c r="H83" s="95"/>
      <c r="I83" s="95"/>
      <c r="J83" s="95"/>
      <c r="K83" s="95"/>
      <c r="L83" s="95"/>
      <c r="M83" s="95"/>
    </row>
    <row r="84" spans="1:13" ht="12.75" hidden="1">
      <c r="A84" s="52"/>
      <c r="B84" s="52"/>
      <c r="C84" s="52"/>
      <c r="D84" s="52"/>
      <c r="E84" s="52"/>
      <c r="G84" s="95"/>
      <c r="H84" s="95"/>
      <c r="I84" s="95"/>
      <c r="J84" s="95"/>
      <c r="K84" s="95"/>
      <c r="L84" s="95"/>
      <c r="M84" s="95"/>
    </row>
    <row r="85" spans="7:13" ht="12.75" hidden="1">
      <c r="G85" s="95"/>
      <c r="H85" s="95"/>
      <c r="I85" s="95"/>
      <c r="J85" s="95"/>
      <c r="K85" s="95"/>
      <c r="L85" s="95"/>
      <c r="M85" s="95"/>
    </row>
    <row r="86" spans="2:13" ht="12.75" hidden="1">
      <c r="B86" s="54" t="s">
        <v>15</v>
      </c>
      <c r="E86" s="84">
        <v>0</v>
      </c>
      <c r="G86" s="95" t="s">
        <v>115</v>
      </c>
      <c r="H86" s="95"/>
      <c r="I86" s="95"/>
      <c r="J86" s="95"/>
      <c r="K86" s="95"/>
      <c r="L86" s="95"/>
      <c r="M86" s="95"/>
    </row>
    <row r="87" spans="7:13" ht="12.75" hidden="1">
      <c r="G87" s="95"/>
      <c r="H87" s="95"/>
      <c r="I87" s="95"/>
      <c r="J87" s="95"/>
      <c r="K87" s="95"/>
      <c r="L87" s="95"/>
      <c r="M87" s="95"/>
    </row>
    <row r="88" spans="7:13" ht="12.75" hidden="1">
      <c r="G88" s="95"/>
      <c r="H88" s="95"/>
      <c r="I88" s="95"/>
      <c r="J88" s="95"/>
      <c r="K88" s="95"/>
      <c r="L88" s="95"/>
      <c r="M88" s="95"/>
    </row>
    <row r="89" spans="7:13" ht="12.75" hidden="1">
      <c r="G89" s="95"/>
      <c r="H89" s="95"/>
      <c r="I89" s="95"/>
      <c r="J89" s="95"/>
      <c r="K89" s="95"/>
      <c r="L89" s="95"/>
      <c r="M89" s="95"/>
    </row>
    <row r="90" spans="1:11" ht="18.75" hidden="1" thickBot="1">
      <c r="A90" s="167" t="s">
        <v>116</v>
      </c>
      <c r="B90" s="167"/>
      <c r="C90" s="167"/>
      <c r="D90" s="167"/>
      <c r="E90" s="72"/>
      <c r="F90" s="72"/>
      <c r="G90" s="87"/>
      <c r="H90" s="87"/>
      <c r="I90" s="72"/>
      <c r="J90" s="72"/>
      <c r="K90" s="72"/>
    </row>
    <row r="91" spans="1:4" ht="15" hidden="1">
      <c r="A91" s="81"/>
      <c r="B91" s="81"/>
      <c r="C91" s="81"/>
      <c r="D91" s="81"/>
    </row>
    <row r="92" spans="1:13" ht="12.75" hidden="1">
      <c r="A92" s="52"/>
      <c r="B92" s="53" t="s">
        <v>0</v>
      </c>
      <c r="C92" s="53"/>
      <c r="D92" s="52" t="s">
        <v>1</v>
      </c>
      <c r="E92" s="52" t="s">
        <v>225</v>
      </c>
      <c r="G92" s="95" t="s">
        <v>112</v>
      </c>
      <c r="H92" s="95"/>
      <c r="I92" s="95"/>
      <c r="J92" s="95"/>
      <c r="K92" s="95"/>
      <c r="L92" s="95"/>
      <c r="M92" s="95"/>
    </row>
    <row r="93" spans="1:13" ht="12.75" hidden="1">
      <c r="A93" s="52"/>
      <c r="B93" s="52"/>
      <c r="C93" s="52"/>
      <c r="D93" s="52"/>
      <c r="E93" s="52"/>
      <c r="G93" s="95"/>
      <c r="H93" s="95"/>
      <c r="I93" s="95"/>
      <c r="J93" s="95"/>
      <c r="K93" s="95"/>
      <c r="L93" s="95"/>
      <c r="M93" s="95"/>
    </row>
    <row r="94" spans="1:5" ht="12.75" hidden="1">
      <c r="A94" s="52"/>
      <c r="B94" s="52"/>
      <c r="C94" s="52"/>
      <c r="D94" s="52"/>
      <c r="E94" s="52"/>
    </row>
    <row r="95" spans="2:11" ht="12.75" customHeight="1" hidden="1">
      <c r="B95" s="54" t="s">
        <v>17</v>
      </c>
      <c r="I95" s="97"/>
      <c r="J95" s="97"/>
      <c r="K95" s="97"/>
    </row>
    <row r="96" spans="2:10" ht="12.75" hidden="1">
      <c r="B96" s="41" t="s">
        <v>128</v>
      </c>
      <c r="D96" s="98">
        <f>N55</f>
        <v>16</v>
      </c>
      <c r="E96" s="84">
        <f>O55</f>
        <v>1600</v>
      </c>
      <c r="G96" s="168" t="s">
        <v>132</v>
      </c>
      <c r="H96" s="168"/>
      <c r="I96" s="94" t="s">
        <v>7</v>
      </c>
      <c r="J96" s="99" t="str">
        <f>CONCATENATE(O47," $/hr")</f>
        <v>100 $/hr</v>
      </c>
    </row>
    <row r="97" spans="2:10" ht="12.75" hidden="1">
      <c r="B97" s="41" t="s">
        <v>129</v>
      </c>
      <c r="D97" s="98">
        <f>N56</f>
        <v>1932.4000000000003</v>
      </c>
      <c r="E97" s="84">
        <f>O56</f>
        <v>252412.00000000003</v>
      </c>
      <c r="G97" s="94" t="s">
        <v>6</v>
      </c>
      <c r="H97" s="99" t="str">
        <f>CONCATENATE(O41," $/hr")</f>
        <v>153 $/hr</v>
      </c>
      <c r="I97" s="94" t="s">
        <v>85</v>
      </c>
      <c r="J97" s="99" t="str">
        <f>CONCATENATE(O49," $/hr")</f>
        <v>73 $/hr</v>
      </c>
    </row>
    <row r="98" spans="3:10" ht="12.75" hidden="1">
      <c r="C98" s="41" t="s">
        <v>118</v>
      </c>
      <c r="D98" s="98">
        <f>SUM(D96:D97)</f>
        <v>1948.4000000000003</v>
      </c>
      <c r="E98" s="84">
        <f>SUM(E96:E97)</f>
        <v>254012.00000000003</v>
      </c>
      <c r="G98" s="94" t="s">
        <v>8</v>
      </c>
      <c r="H98" s="99" t="str">
        <f>CONCATENATE(O43," $/hr")</f>
        <v>100 $/hr</v>
      </c>
      <c r="I98" s="100" t="s">
        <v>131</v>
      </c>
      <c r="J98" s="99" t="str">
        <f>CONCATENATE(O53," $/hr")</f>
        <v>141 $/hr</v>
      </c>
    </row>
    <row r="99" spans="4:10" ht="12.75" hidden="1">
      <c r="D99" s="66"/>
      <c r="E99" s="84"/>
      <c r="G99" s="94" t="s">
        <v>9</v>
      </c>
      <c r="H99" s="99" t="str">
        <f>CONCATENATE(O45," $/hr")</f>
        <v>130 $/hr</v>
      </c>
      <c r="I99" s="100" t="s">
        <v>130</v>
      </c>
      <c r="J99" s="99" t="str">
        <f>CONCATENATE(O51," $/hr")</f>
        <v>160 $/hr</v>
      </c>
    </row>
    <row r="100" ht="12.75" hidden="1">
      <c r="B100" s="54" t="s">
        <v>117</v>
      </c>
    </row>
    <row r="101" spans="2:5" ht="12.75" hidden="1">
      <c r="B101" s="101" t="s">
        <v>89</v>
      </c>
      <c r="C101" s="29"/>
      <c r="E101" s="84">
        <f>E65</f>
        <v>0</v>
      </c>
    </row>
    <row r="102" spans="2:5" ht="12.75" hidden="1">
      <c r="B102" s="29" t="s">
        <v>11</v>
      </c>
      <c r="C102" s="29"/>
      <c r="E102" s="84">
        <f>E74</f>
        <v>11541.122592369706</v>
      </c>
    </row>
    <row r="103" spans="2:5" ht="12.75" hidden="1">
      <c r="B103" s="29" t="s">
        <v>12</v>
      </c>
      <c r="C103" s="29"/>
      <c r="E103" s="84">
        <f>E76</f>
        <v>0</v>
      </c>
    </row>
    <row r="104" spans="2:5" ht="12.75" hidden="1">
      <c r="B104" s="29" t="s">
        <v>13</v>
      </c>
      <c r="C104" s="29"/>
      <c r="E104" s="84">
        <f>E78</f>
        <v>0</v>
      </c>
    </row>
    <row r="105" spans="2:5" ht="12.75" hidden="1">
      <c r="B105" s="29" t="s">
        <v>15</v>
      </c>
      <c r="C105" s="29"/>
      <c r="E105" s="84">
        <f>E86</f>
        <v>0</v>
      </c>
    </row>
    <row r="106" spans="3:5" ht="12.75" hidden="1">
      <c r="C106" s="41" t="s">
        <v>119</v>
      </c>
      <c r="E106" s="84">
        <f>SUM(E101:E105)</f>
        <v>11541.122592369706</v>
      </c>
    </row>
    <row r="107" ht="12.75" hidden="1"/>
    <row r="108" spans="2:8" ht="12.75" hidden="1">
      <c r="B108" s="54" t="s">
        <v>120</v>
      </c>
      <c r="E108" s="84">
        <f>G108*E106</f>
        <v>2885.2806480924264</v>
      </c>
      <c r="G108" s="102">
        <v>0.25</v>
      </c>
      <c r="H108" s="39" t="s">
        <v>121</v>
      </c>
    </row>
    <row r="109" ht="12.75" hidden="1"/>
    <row r="110" spans="2:5" ht="12.75" hidden="1">
      <c r="B110" s="54" t="s">
        <v>122</v>
      </c>
      <c r="E110" s="84">
        <f>E108+E106+E98</f>
        <v>268438.4032404622</v>
      </c>
    </row>
    <row r="111" ht="12.75" hidden="1">
      <c r="B111" s="54"/>
    </row>
    <row r="112" spans="2:8" ht="12.75" hidden="1">
      <c r="B112" s="54" t="s">
        <v>123</v>
      </c>
      <c r="E112" s="84">
        <f>E110*G112</f>
        <v>59056.44871290168</v>
      </c>
      <c r="G112" s="102">
        <v>0.22</v>
      </c>
      <c r="H112" s="39" t="s">
        <v>125</v>
      </c>
    </row>
    <row r="113" ht="12.75" hidden="1">
      <c r="B113" s="54"/>
    </row>
    <row r="114" spans="2:5" ht="12.75" hidden="1">
      <c r="B114" s="54" t="s">
        <v>124</v>
      </c>
      <c r="E114" s="84">
        <f>E112+E110</f>
        <v>327494.85195336386</v>
      </c>
    </row>
    <row r="115" ht="12.75" hidden="1"/>
    <row r="116" ht="12.75" hidden="1"/>
    <row r="117" ht="12.75" hidden="1"/>
    <row r="118" ht="12.75" hidden="1"/>
    <row r="119" ht="12.75" hidden="1"/>
  </sheetData>
  <mergeCells count="13">
    <mergeCell ref="A90:D90"/>
    <mergeCell ref="G96:H96"/>
    <mergeCell ref="E37:K37"/>
    <mergeCell ref="A35:D35"/>
    <mergeCell ref="A81:D81"/>
    <mergeCell ref="A57:D57"/>
    <mergeCell ref="A13:D13"/>
    <mergeCell ref="A20:D20"/>
    <mergeCell ref="A27:D27"/>
    <mergeCell ref="O1:T1"/>
    <mergeCell ref="A1:E1"/>
    <mergeCell ref="A6:D6"/>
    <mergeCell ref="A3:D3"/>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&amp;L&amp;"Arial,Bold"Date: August 20, 2003&amp;C&amp;"Arial,Bold"&amp;P</oddFooter>
  </headerFooter>
  <rowBreaks count="2" manualBreakCount="2">
    <brk id="33" max="10" man="1"/>
    <brk id="55" max="10" man="1"/>
  </rowBreaks>
</worksheet>
</file>

<file path=xl/worksheets/sheet2.xml><?xml version="1.0" encoding="utf-8"?>
<worksheet xmlns="http://schemas.openxmlformats.org/spreadsheetml/2006/main" xmlns:r="http://schemas.openxmlformats.org/officeDocument/2006/relationships">
  <sheetPr>
    <pageSetUpPr fitToPage="1"/>
  </sheetPr>
  <dimension ref="A1:V65"/>
  <sheetViews>
    <sheetView tabSelected="1" workbookViewId="0" topLeftCell="A1">
      <selection activeCell="B46" sqref="B46"/>
    </sheetView>
  </sheetViews>
  <sheetFormatPr defaultColWidth="9.140625" defaultRowHeight="12.75"/>
  <cols>
    <col min="1" max="1" width="28.57421875" style="0" customWidth="1"/>
    <col min="2" max="2" width="9.8515625" style="0" customWidth="1"/>
    <col min="3" max="4" width="9.28125" style="0" bestFit="1" customWidth="1"/>
    <col min="5" max="5" width="8.00390625" style="0" customWidth="1"/>
    <col min="6" max="6" width="2.57421875" style="0" customWidth="1"/>
    <col min="7" max="7" width="7.00390625" style="0" customWidth="1"/>
    <col min="8" max="11" width="5.7109375" style="0" customWidth="1"/>
    <col min="12" max="12" width="5.28125" style="0" bestFit="1" customWidth="1"/>
    <col min="13" max="13" width="8.140625" style="0" bestFit="1" customWidth="1"/>
    <col min="14" max="14" width="5.28125" style="0" bestFit="1" customWidth="1"/>
    <col min="15" max="15" width="5.8515625" style="0" bestFit="1" customWidth="1"/>
    <col min="16" max="16" width="5.28125" style="0" bestFit="1" customWidth="1"/>
    <col min="17" max="17" width="4.140625" style="0" bestFit="1" customWidth="1"/>
    <col min="18" max="18" width="6.421875" style="0" customWidth="1"/>
    <col min="19" max="19" width="43.421875" style="0" customWidth="1"/>
  </cols>
  <sheetData>
    <row r="1" ht="20.25">
      <c r="A1" s="21" t="str">
        <f>'Fab Project'!A1</f>
        <v>WBS 162 Coil Leads</v>
      </c>
    </row>
    <row r="3" spans="1:18" ht="18.75" thickBot="1">
      <c r="A3" s="22" t="s">
        <v>43</v>
      </c>
      <c r="B3" s="23"/>
      <c r="C3" s="23"/>
      <c r="D3" s="23"/>
      <c r="E3" s="23"/>
      <c r="F3" s="23"/>
      <c r="G3" s="23"/>
      <c r="H3" s="23"/>
      <c r="I3" s="23"/>
      <c r="J3" s="23"/>
      <c r="K3" s="23"/>
      <c r="L3" s="23"/>
      <c r="M3" s="23"/>
      <c r="N3" s="23"/>
      <c r="O3" s="23"/>
      <c r="P3" s="23"/>
      <c r="Q3" s="23"/>
      <c r="R3" s="23"/>
    </row>
    <row r="4" ht="12.75">
      <c r="A4" s="1"/>
    </row>
    <row r="5" ht="12.75">
      <c r="A5" s="1" t="s">
        <v>53</v>
      </c>
    </row>
    <row r="6" spans="1:21" ht="42.75" customHeight="1">
      <c r="A6" s="173" t="s">
        <v>191</v>
      </c>
      <c r="B6" s="173"/>
      <c r="C6" s="173"/>
      <c r="D6" s="173"/>
      <c r="E6" s="173"/>
      <c r="F6" s="173"/>
      <c r="G6" s="174" t="s">
        <v>80</v>
      </c>
      <c r="H6" s="174"/>
      <c r="I6" s="174"/>
      <c r="J6" s="174"/>
      <c r="K6" s="174"/>
      <c r="L6" s="174"/>
      <c r="M6" s="174"/>
      <c r="N6" s="174"/>
      <c r="O6" s="174"/>
      <c r="P6" s="174"/>
      <c r="Q6" s="174"/>
      <c r="R6" s="123"/>
      <c r="S6" s="43"/>
      <c r="T6" s="43"/>
      <c r="U6" s="43"/>
    </row>
    <row r="7" spans="1:21" ht="13.5" customHeight="1">
      <c r="A7" s="173"/>
      <c r="B7" s="173"/>
      <c r="C7" s="173"/>
      <c r="D7" s="173"/>
      <c r="E7" s="173"/>
      <c r="F7" s="173"/>
      <c r="G7" s="44" t="s">
        <v>75</v>
      </c>
      <c r="H7" s="171" t="s">
        <v>6</v>
      </c>
      <c r="I7" s="171"/>
      <c r="J7" s="171" t="s">
        <v>8</v>
      </c>
      <c r="K7" s="171"/>
      <c r="L7" s="171" t="s">
        <v>9</v>
      </c>
      <c r="M7" s="171"/>
      <c r="N7" s="171" t="s">
        <v>25</v>
      </c>
      <c r="O7" s="171"/>
      <c r="P7" s="171" t="s">
        <v>51</v>
      </c>
      <c r="Q7" s="171"/>
      <c r="R7" s="44"/>
      <c r="S7" s="43"/>
      <c r="T7" s="43"/>
      <c r="U7" s="43"/>
    </row>
    <row r="8" spans="2:21" ht="12.75">
      <c r="B8" s="6" t="s">
        <v>35</v>
      </c>
      <c r="C8" s="6" t="s">
        <v>36</v>
      </c>
      <c r="D8" s="6" t="s">
        <v>37</v>
      </c>
      <c r="E8" s="172" t="s">
        <v>76</v>
      </c>
      <c r="F8" s="172"/>
      <c r="G8" s="45"/>
      <c r="H8" s="46" t="s">
        <v>74</v>
      </c>
      <c r="I8" s="47" t="s">
        <v>44</v>
      </c>
      <c r="J8" s="46" t="s">
        <v>74</v>
      </c>
      <c r="K8" s="47" t="s">
        <v>44</v>
      </c>
      <c r="L8" s="46" t="s">
        <v>74</v>
      </c>
      <c r="M8" s="47" t="s">
        <v>44</v>
      </c>
      <c r="N8" s="46" t="s">
        <v>74</v>
      </c>
      <c r="O8" s="47" t="s">
        <v>44</v>
      </c>
      <c r="P8" s="46" t="s">
        <v>74</v>
      </c>
      <c r="Q8" s="47" t="s">
        <v>44</v>
      </c>
      <c r="R8" s="47"/>
      <c r="S8" s="43"/>
      <c r="T8" s="43"/>
      <c r="U8" s="43"/>
    </row>
    <row r="9" spans="1:21" ht="12.75">
      <c r="A9" s="1" t="s">
        <v>45</v>
      </c>
      <c r="G9" s="45"/>
      <c r="H9" s="45"/>
      <c r="I9" s="43"/>
      <c r="J9" s="45"/>
      <c r="K9" s="43"/>
      <c r="L9" s="45"/>
      <c r="M9" s="43"/>
      <c r="N9" s="45"/>
      <c r="O9" s="43"/>
      <c r="P9" s="45"/>
      <c r="Q9" s="43"/>
      <c r="R9" s="43"/>
      <c r="S9" s="43"/>
      <c r="T9" s="43"/>
      <c r="U9" s="43"/>
    </row>
    <row r="10" spans="1:21" ht="12.75">
      <c r="A10" s="3" t="s">
        <v>31</v>
      </c>
      <c r="B10" s="5">
        <v>8</v>
      </c>
      <c r="C10" s="4" t="s">
        <v>38</v>
      </c>
      <c r="D10" s="5">
        <f>B52</f>
        <v>50</v>
      </c>
      <c r="E10" s="14">
        <f>D10*$B10</f>
        <v>400</v>
      </c>
      <c r="F10" s="14"/>
      <c r="G10" s="48">
        <f>H10+J10+L10+N10+P10</f>
        <v>1</v>
      </c>
      <c r="H10" s="48">
        <v>0</v>
      </c>
      <c r="I10" s="49">
        <f>$E10*H10</f>
        <v>0</v>
      </c>
      <c r="J10" s="48">
        <v>0</v>
      </c>
      <c r="K10" s="49">
        <f aca="true" t="shared" si="0" ref="K10:K22">$E10*J10</f>
        <v>0</v>
      </c>
      <c r="L10" s="48">
        <v>1</v>
      </c>
      <c r="M10" s="49">
        <f aca="true" t="shared" si="1" ref="M10:M22">$E10*L10</f>
        <v>400</v>
      </c>
      <c r="N10" s="48">
        <v>0</v>
      </c>
      <c r="O10" s="49">
        <f aca="true" t="shared" si="2" ref="O10:O22">$E10*N10</f>
        <v>0</v>
      </c>
      <c r="P10" s="48">
        <v>0</v>
      </c>
      <c r="Q10" s="49">
        <f aca="true" t="shared" si="3" ref="Q10:Q22">$E10*P10</f>
        <v>0</v>
      </c>
      <c r="R10" s="49"/>
      <c r="S10" s="43"/>
      <c r="T10" s="43"/>
      <c r="U10" s="43"/>
    </row>
    <row r="11" spans="1:21" ht="12.75">
      <c r="A11" s="3" t="s">
        <v>32</v>
      </c>
      <c r="B11" s="5">
        <v>16</v>
      </c>
      <c r="C11" s="4" t="s">
        <v>39</v>
      </c>
      <c r="D11" s="5">
        <f aca="true" t="shared" si="4" ref="D11:D21">B53</f>
        <v>15</v>
      </c>
      <c r="E11" s="14">
        <f aca="true" t="shared" si="5" ref="E11:E22">D11*$B11</f>
        <v>240</v>
      </c>
      <c r="F11" s="14"/>
      <c r="G11" s="48">
        <f aca="true" t="shared" si="6" ref="G11:G22">H11+J11+L11+N11+P11</f>
        <v>1</v>
      </c>
      <c r="H11" s="48">
        <v>0</v>
      </c>
      <c r="I11" s="49">
        <f aca="true" t="shared" si="7" ref="I11:I22">$E11*H11</f>
        <v>0</v>
      </c>
      <c r="J11" s="48">
        <v>0</v>
      </c>
      <c r="K11" s="49">
        <f t="shared" si="0"/>
        <v>0</v>
      </c>
      <c r="L11" s="48">
        <v>1</v>
      </c>
      <c r="M11" s="49">
        <f t="shared" si="1"/>
        <v>240</v>
      </c>
      <c r="N11" s="48">
        <v>0</v>
      </c>
      <c r="O11" s="49">
        <f t="shared" si="2"/>
        <v>0</v>
      </c>
      <c r="P11" s="48">
        <v>0</v>
      </c>
      <c r="Q11" s="49">
        <f t="shared" si="3"/>
        <v>0</v>
      </c>
      <c r="R11" s="49"/>
      <c r="S11" s="43"/>
      <c r="T11" s="43"/>
      <c r="U11" s="43"/>
    </row>
    <row r="12" spans="1:21" ht="12.75">
      <c r="A12" s="3" t="s">
        <v>33</v>
      </c>
      <c r="B12" s="5">
        <v>8</v>
      </c>
      <c r="C12" s="4" t="s">
        <v>39</v>
      </c>
      <c r="D12" s="5">
        <f t="shared" si="4"/>
        <v>40</v>
      </c>
      <c r="E12" s="14">
        <f t="shared" si="5"/>
        <v>320</v>
      </c>
      <c r="F12" s="14"/>
      <c r="G12" s="48">
        <f t="shared" si="6"/>
        <v>1</v>
      </c>
      <c r="H12" s="48">
        <v>0</v>
      </c>
      <c r="I12" s="49">
        <f t="shared" si="7"/>
        <v>0</v>
      </c>
      <c r="J12" s="48">
        <v>0</v>
      </c>
      <c r="K12" s="49">
        <f t="shared" si="0"/>
        <v>0</v>
      </c>
      <c r="L12" s="48">
        <v>1</v>
      </c>
      <c r="M12" s="49">
        <f t="shared" si="1"/>
        <v>320</v>
      </c>
      <c r="N12" s="48">
        <v>0</v>
      </c>
      <c r="O12" s="49">
        <f t="shared" si="2"/>
        <v>0</v>
      </c>
      <c r="P12" s="48">
        <v>0</v>
      </c>
      <c r="Q12" s="49">
        <f t="shared" si="3"/>
        <v>0</v>
      </c>
      <c r="R12" s="49"/>
      <c r="S12" s="43"/>
      <c r="T12" s="43"/>
      <c r="U12" s="43"/>
    </row>
    <row r="13" spans="1:21" ht="12.75">
      <c r="A13" s="3" t="s">
        <v>34</v>
      </c>
      <c r="B13" s="5">
        <v>16</v>
      </c>
      <c r="C13" s="4" t="s">
        <v>39</v>
      </c>
      <c r="D13" s="19">
        <v>28</v>
      </c>
      <c r="E13" s="14">
        <f t="shared" si="5"/>
        <v>448</v>
      </c>
      <c r="F13" s="14"/>
      <c r="G13" s="48">
        <f t="shared" si="6"/>
        <v>1</v>
      </c>
      <c r="H13" s="48">
        <v>0</v>
      </c>
      <c r="I13" s="49">
        <f t="shared" si="7"/>
        <v>0</v>
      </c>
      <c r="J13" s="48">
        <v>0</v>
      </c>
      <c r="K13" s="49">
        <f t="shared" si="0"/>
        <v>0</v>
      </c>
      <c r="L13" s="48">
        <v>1</v>
      </c>
      <c r="M13" s="49">
        <f t="shared" si="1"/>
        <v>448</v>
      </c>
      <c r="N13" s="48">
        <v>0</v>
      </c>
      <c r="O13" s="49">
        <f t="shared" si="2"/>
        <v>0</v>
      </c>
      <c r="P13" s="48">
        <v>0</v>
      </c>
      <c r="Q13" s="49">
        <f t="shared" si="3"/>
        <v>0</v>
      </c>
      <c r="R13" s="49"/>
      <c r="S13" s="43"/>
      <c r="T13" s="43"/>
      <c r="U13" s="43"/>
    </row>
    <row r="14" spans="1:21" ht="12.75">
      <c r="A14" s="3" t="s">
        <v>63</v>
      </c>
      <c r="B14" s="5">
        <v>0</v>
      </c>
      <c r="C14" s="4" t="s">
        <v>39</v>
      </c>
      <c r="D14" s="5">
        <f t="shared" si="4"/>
        <v>1</v>
      </c>
      <c r="E14" s="14">
        <f t="shared" si="5"/>
        <v>0</v>
      </c>
      <c r="F14" s="14"/>
      <c r="G14" s="48">
        <f t="shared" si="6"/>
        <v>1</v>
      </c>
      <c r="H14" s="48">
        <v>0</v>
      </c>
      <c r="I14" s="49">
        <f t="shared" si="7"/>
        <v>0</v>
      </c>
      <c r="J14" s="48">
        <v>0</v>
      </c>
      <c r="K14" s="49">
        <f t="shared" si="0"/>
        <v>0</v>
      </c>
      <c r="L14" s="48">
        <v>1</v>
      </c>
      <c r="M14" s="49">
        <f t="shared" si="1"/>
        <v>0</v>
      </c>
      <c r="N14" s="48">
        <v>0</v>
      </c>
      <c r="O14" s="49">
        <f t="shared" si="2"/>
        <v>0</v>
      </c>
      <c r="P14" s="48">
        <v>0</v>
      </c>
      <c r="Q14" s="49">
        <f t="shared" si="3"/>
        <v>0</v>
      </c>
      <c r="R14" s="49"/>
      <c r="S14" s="43"/>
      <c r="T14" s="43"/>
      <c r="U14" s="43"/>
    </row>
    <row r="15" spans="1:21" ht="12.75">
      <c r="A15" s="3" t="s">
        <v>64</v>
      </c>
      <c r="B15" s="5">
        <v>8</v>
      </c>
      <c r="C15" s="4" t="s">
        <v>39</v>
      </c>
      <c r="D15" s="5">
        <v>14</v>
      </c>
      <c r="E15" s="14">
        <f t="shared" si="5"/>
        <v>112</v>
      </c>
      <c r="F15" s="14"/>
      <c r="G15" s="48">
        <f t="shared" si="6"/>
        <v>1</v>
      </c>
      <c r="H15" s="48">
        <v>0</v>
      </c>
      <c r="I15" s="49">
        <f t="shared" si="7"/>
        <v>0</v>
      </c>
      <c r="J15" s="48">
        <v>0</v>
      </c>
      <c r="K15" s="49">
        <f t="shared" si="0"/>
        <v>0</v>
      </c>
      <c r="L15" s="48">
        <v>1</v>
      </c>
      <c r="M15" s="49">
        <f t="shared" si="1"/>
        <v>112</v>
      </c>
      <c r="N15" s="48">
        <v>0</v>
      </c>
      <c r="O15" s="49">
        <f t="shared" si="2"/>
        <v>0</v>
      </c>
      <c r="P15" s="48">
        <v>0</v>
      </c>
      <c r="Q15" s="49">
        <f t="shared" si="3"/>
        <v>0</v>
      </c>
      <c r="R15" s="49"/>
      <c r="S15" s="43"/>
      <c r="T15" s="43"/>
      <c r="U15" s="43"/>
    </row>
    <row r="16" spans="1:21" ht="12.75">
      <c r="A16" s="3" t="s">
        <v>65</v>
      </c>
      <c r="B16" s="5">
        <v>8</v>
      </c>
      <c r="C16" s="4" t="s">
        <v>39</v>
      </c>
      <c r="D16" s="5">
        <f t="shared" si="4"/>
        <v>0</v>
      </c>
      <c r="E16" s="14">
        <f t="shared" si="5"/>
        <v>0</v>
      </c>
      <c r="F16" s="14"/>
      <c r="G16" s="48">
        <f t="shared" si="6"/>
        <v>1</v>
      </c>
      <c r="H16" s="48">
        <v>0</v>
      </c>
      <c r="I16" s="49">
        <f t="shared" si="7"/>
        <v>0</v>
      </c>
      <c r="J16" s="48">
        <v>0</v>
      </c>
      <c r="K16" s="49">
        <f t="shared" si="0"/>
        <v>0</v>
      </c>
      <c r="L16" s="48">
        <v>1</v>
      </c>
      <c r="M16" s="49">
        <f t="shared" si="1"/>
        <v>0</v>
      </c>
      <c r="N16" s="48">
        <v>0</v>
      </c>
      <c r="O16" s="49">
        <f t="shared" si="2"/>
        <v>0</v>
      </c>
      <c r="P16" s="48">
        <v>0</v>
      </c>
      <c r="Q16" s="49">
        <f t="shared" si="3"/>
        <v>0</v>
      </c>
      <c r="R16" s="49"/>
      <c r="S16" s="43"/>
      <c r="T16" s="43"/>
      <c r="U16" s="43"/>
    </row>
    <row r="17" spans="1:21" ht="12.75">
      <c r="A17" s="3" t="s">
        <v>67</v>
      </c>
      <c r="B17" s="5">
        <v>0</v>
      </c>
      <c r="C17" s="4" t="s">
        <v>40</v>
      </c>
      <c r="D17" s="5">
        <f t="shared" si="4"/>
        <v>0</v>
      </c>
      <c r="E17" s="14">
        <f t="shared" si="5"/>
        <v>0</v>
      </c>
      <c r="F17" s="14"/>
      <c r="G17" s="48">
        <f t="shared" si="6"/>
        <v>1</v>
      </c>
      <c r="H17" s="48">
        <v>0</v>
      </c>
      <c r="I17" s="49">
        <f t="shared" si="7"/>
        <v>0</v>
      </c>
      <c r="J17" s="48">
        <v>0</v>
      </c>
      <c r="K17" s="49">
        <f t="shared" si="0"/>
        <v>0</v>
      </c>
      <c r="L17" s="48">
        <v>1</v>
      </c>
      <c r="M17" s="49">
        <f t="shared" si="1"/>
        <v>0</v>
      </c>
      <c r="N17" s="48">
        <v>0</v>
      </c>
      <c r="O17" s="49">
        <f t="shared" si="2"/>
        <v>0</v>
      </c>
      <c r="P17" s="48">
        <v>0</v>
      </c>
      <c r="Q17" s="49">
        <f t="shared" si="3"/>
        <v>0</v>
      </c>
      <c r="R17" s="49"/>
      <c r="S17" s="43"/>
      <c r="T17" s="43"/>
      <c r="U17" s="43"/>
    </row>
    <row r="18" spans="1:21" ht="12.75">
      <c r="A18" s="3" t="s">
        <v>68</v>
      </c>
      <c r="B18" s="5">
        <v>24</v>
      </c>
      <c r="C18" s="4" t="s">
        <v>40</v>
      </c>
      <c r="D18" s="5">
        <f t="shared" si="4"/>
        <v>1</v>
      </c>
      <c r="E18" s="14">
        <f t="shared" si="5"/>
        <v>24</v>
      </c>
      <c r="F18" s="14"/>
      <c r="G18" s="48">
        <f t="shared" si="6"/>
        <v>1</v>
      </c>
      <c r="H18" s="48">
        <v>0</v>
      </c>
      <c r="I18" s="49">
        <f t="shared" si="7"/>
        <v>0</v>
      </c>
      <c r="J18" s="48">
        <v>0</v>
      </c>
      <c r="K18" s="49">
        <f t="shared" si="0"/>
        <v>0</v>
      </c>
      <c r="L18" s="48">
        <v>1</v>
      </c>
      <c r="M18" s="49">
        <f t="shared" si="1"/>
        <v>24</v>
      </c>
      <c r="N18" s="48">
        <v>0</v>
      </c>
      <c r="O18" s="49">
        <f t="shared" si="2"/>
        <v>0</v>
      </c>
      <c r="P18" s="48">
        <v>0</v>
      </c>
      <c r="Q18" s="49">
        <f t="shared" si="3"/>
        <v>0</v>
      </c>
      <c r="R18" s="49"/>
      <c r="S18" s="43"/>
      <c r="T18" s="43"/>
      <c r="U18" s="43"/>
    </row>
    <row r="19" spans="1:21" ht="12.75">
      <c r="A19" s="3" t="s">
        <v>66</v>
      </c>
      <c r="B19" s="5">
        <v>40</v>
      </c>
      <c r="C19" s="4" t="s">
        <v>40</v>
      </c>
      <c r="D19" s="5">
        <f t="shared" si="4"/>
        <v>1</v>
      </c>
      <c r="E19" s="14">
        <f t="shared" si="5"/>
        <v>40</v>
      </c>
      <c r="F19" s="14"/>
      <c r="G19" s="48">
        <f t="shared" si="6"/>
        <v>1</v>
      </c>
      <c r="H19" s="48">
        <v>0</v>
      </c>
      <c r="I19" s="49">
        <f t="shared" si="7"/>
        <v>0</v>
      </c>
      <c r="J19" s="48">
        <v>0</v>
      </c>
      <c r="K19" s="49">
        <f t="shared" si="0"/>
        <v>0</v>
      </c>
      <c r="L19" s="48">
        <v>0</v>
      </c>
      <c r="M19" s="49">
        <f t="shared" si="1"/>
        <v>0</v>
      </c>
      <c r="N19" s="48">
        <v>1</v>
      </c>
      <c r="O19" s="49">
        <f t="shared" si="2"/>
        <v>40</v>
      </c>
      <c r="P19" s="48">
        <v>0</v>
      </c>
      <c r="Q19" s="49">
        <f t="shared" si="3"/>
        <v>0</v>
      </c>
      <c r="R19" s="49"/>
      <c r="S19" s="43"/>
      <c r="T19" s="43"/>
      <c r="U19" s="43"/>
    </row>
    <row r="20" spans="1:21" ht="12.75">
      <c r="A20" s="3" t="s">
        <v>73</v>
      </c>
      <c r="B20" s="5">
        <v>40</v>
      </c>
      <c r="C20" s="4" t="s">
        <v>41</v>
      </c>
      <c r="D20" s="5">
        <f t="shared" si="4"/>
        <v>1</v>
      </c>
      <c r="E20" s="14">
        <f t="shared" si="5"/>
        <v>40</v>
      </c>
      <c r="F20" s="14"/>
      <c r="G20" s="48">
        <f t="shared" si="6"/>
        <v>1</v>
      </c>
      <c r="H20" s="48">
        <v>0</v>
      </c>
      <c r="I20" s="49">
        <f t="shared" si="7"/>
        <v>0</v>
      </c>
      <c r="J20" s="48">
        <v>0</v>
      </c>
      <c r="K20" s="49">
        <f t="shared" si="0"/>
        <v>0</v>
      </c>
      <c r="L20" s="48">
        <v>1</v>
      </c>
      <c r="M20" s="49">
        <f t="shared" si="1"/>
        <v>40</v>
      </c>
      <c r="N20" s="48">
        <v>0</v>
      </c>
      <c r="O20" s="49">
        <f t="shared" si="2"/>
        <v>0</v>
      </c>
      <c r="P20" s="48">
        <v>0</v>
      </c>
      <c r="Q20" s="49">
        <f t="shared" si="3"/>
        <v>0</v>
      </c>
      <c r="R20" s="49"/>
      <c r="S20" s="43"/>
      <c r="T20" s="43"/>
      <c r="U20" s="43"/>
    </row>
    <row r="21" spans="1:22" ht="25.5">
      <c r="A21" s="3" t="s">
        <v>69</v>
      </c>
      <c r="B21" s="5">
        <v>40</v>
      </c>
      <c r="C21" s="4" t="s">
        <v>70</v>
      </c>
      <c r="D21" s="5">
        <f t="shared" si="4"/>
        <v>1</v>
      </c>
      <c r="E21" s="14">
        <f t="shared" si="5"/>
        <v>40</v>
      </c>
      <c r="F21" s="14"/>
      <c r="G21" s="48">
        <f t="shared" si="6"/>
        <v>1</v>
      </c>
      <c r="H21" s="48">
        <v>0</v>
      </c>
      <c r="I21" s="49">
        <f t="shared" si="7"/>
        <v>0</v>
      </c>
      <c r="J21" s="48">
        <v>0</v>
      </c>
      <c r="K21" s="49">
        <f t="shared" si="0"/>
        <v>0</v>
      </c>
      <c r="L21" s="48">
        <v>1</v>
      </c>
      <c r="M21" s="49">
        <f t="shared" si="1"/>
        <v>40</v>
      </c>
      <c r="N21" s="48">
        <v>0</v>
      </c>
      <c r="O21" s="49">
        <f t="shared" si="2"/>
        <v>0</v>
      </c>
      <c r="P21" s="48">
        <v>0</v>
      </c>
      <c r="Q21" s="49">
        <f t="shared" si="3"/>
        <v>0</v>
      </c>
      <c r="R21" s="49"/>
      <c r="S21" s="43"/>
      <c r="T21" s="43"/>
      <c r="U21" s="43"/>
      <c r="V21" s="42"/>
    </row>
    <row r="22" spans="1:21" ht="12.75">
      <c r="A22" s="3" t="s">
        <v>71</v>
      </c>
      <c r="B22" s="9">
        <v>0.1</v>
      </c>
      <c r="C22" s="4" t="s">
        <v>72</v>
      </c>
      <c r="D22" s="26">
        <f>SUM(E10:E21)</f>
        <v>1664</v>
      </c>
      <c r="E22" s="14">
        <f t="shared" si="5"/>
        <v>166.4</v>
      </c>
      <c r="F22" s="14"/>
      <c r="G22" s="48">
        <f t="shared" si="6"/>
        <v>1</v>
      </c>
      <c r="H22" s="48">
        <v>0</v>
      </c>
      <c r="I22" s="49">
        <f t="shared" si="7"/>
        <v>0</v>
      </c>
      <c r="J22" s="48">
        <v>0</v>
      </c>
      <c r="K22" s="49">
        <f t="shared" si="0"/>
        <v>0</v>
      </c>
      <c r="L22" s="48">
        <v>1</v>
      </c>
      <c r="M22" s="49">
        <f t="shared" si="1"/>
        <v>166.4</v>
      </c>
      <c r="N22" s="48">
        <v>0</v>
      </c>
      <c r="O22" s="49">
        <f t="shared" si="2"/>
        <v>0</v>
      </c>
      <c r="P22" s="48">
        <v>0</v>
      </c>
      <c r="Q22" s="49">
        <f t="shared" si="3"/>
        <v>0</v>
      </c>
      <c r="R22" s="49"/>
      <c r="S22" s="43"/>
      <c r="T22" s="43"/>
      <c r="U22" s="43"/>
    </row>
    <row r="23" spans="5:21" ht="12.75">
      <c r="E23" s="14"/>
      <c r="F23" s="14"/>
      <c r="G23" s="45"/>
      <c r="H23" s="45"/>
      <c r="I23" s="43"/>
      <c r="J23" s="45"/>
      <c r="K23" s="43"/>
      <c r="L23" s="45"/>
      <c r="M23" s="43"/>
      <c r="N23" s="45"/>
      <c r="O23" s="43"/>
      <c r="P23" s="45"/>
      <c r="Q23" s="43"/>
      <c r="R23" s="43"/>
      <c r="S23" s="43"/>
      <c r="T23" s="43"/>
      <c r="U23" s="43"/>
    </row>
    <row r="24" spans="1:21" ht="12.75">
      <c r="A24" s="8" t="s">
        <v>52</v>
      </c>
      <c r="E24" s="15">
        <f>SUM(E10:E23)</f>
        <v>1830.4</v>
      </c>
      <c r="F24" s="15"/>
      <c r="G24" s="50"/>
      <c r="H24" s="50"/>
      <c r="I24" s="55">
        <f>SUM(I10:I23)</f>
        <v>0</v>
      </c>
      <c r="J24" s="50"/>
      <c r="K24" s="55">
        <f>SUM(K10:K23)</f>
        <v>0</v>
      </c>
      <c r="L24" s="50"/>
      <c r="M24" s="55">
        <f>SUM(M10:M23)</f>
        <v>1790.4</v>
      </c>
      <c r="N24" s="50"/>
      <c r="O24" s="55">
        <f>SUM(O10:O23)</f>
        <v>40</v>
      </c>
      <c r="P24" s="50"/>
      <c r="Q24" s="55">
        <f>SUM(Q10:Q23)</f>
        <v>0</v>
      </c>
      <c r="R24" s="55"/>
      <c r="S24" s="43"/>
      <c r="T24" s="43"/>
      <c r="U24" s="43"/>
    </row>
    <row r="25" spans="1:21" ht="12.75">
      <c r="A25" s="8"/>
      <c r="E25" s="15"/>
      <c r="F25" s="15"/>
      <c r="G25" s="45"/>
      <c r="H25" s="45"/>
      <c r="I25" s="56"/>
      <c r="J25" s="45"/>
      <c r="K25" s="56"/>
      <c r="L25" s="45"/>
      <c r="M25" s="56"/>
      <c r="N25" s="45"/>
      <c r="O25" s="56"/>
      <c r="P25" s="45"/>
      <c r="Q25" s="56"/>
      <c r="R25" s="56"/>
      <c r="S25" s="43"/>
      <c r="T25" s="43"/>
      <c r="U25" s="43"/>
    </row>
    <row r="26" spans="1:21" ht="25.5" customHeight="1">
      <c r="A26" s="8"/>
      <c r="E26" s="15"/>
      <c r="F26" s="15"/>
      <c r="G26" s="57" t="s">
        <v>75</v>
      </c>
      <c r="H26" s="171" t="s">
        <v>6</v>
      </c>
      <c r="I26" s="171"/>
      <c r="J26" s="171" t="s">
        <v>7</v>
      </c>
      <c r="K26" s="171"/>
      <c r="L26" s="171" t="s">
        <v>8</v>
      </c>
      <c r="M26" s="171"/>
      <c r="N26" s="171" t="s">
        <v>9</v>
      </c>
      <c r="O26" s="171"/>
      <c r="P26" s="43"/>
      <c r="Q26" s="56"/>
      <c r="R26" s="56"/>
      <c r="S26" s="43"/>
      <c r="T26" s="43"/>
      <c r="U26" s="43"/>
    </row>
    <row r="27" spans="1:21" ht="12.75">
      <c r="A27" s="1" t="s">
        <v>46</v>
      </c>
      <c r="G27" s="45"/>
      <c r="H27" s="46" t="s">
        <v>74</v>
      </c>
      <c r="I27" s="47" t="s">
        <v>44</v>
      </c>
      <c r="J27" s="46" t="s">
        <v>74</v>
      </c>
      <c r="K27" s="47" t="s">
        <v>44</v>
      </c>
      <c r="L27" s="46" t="s">
        <v>74</v>
      </c>
      <c r="M27" s="47" t="s">
        <v>44</v>
      </c>
      <c r="N27" s="46" t="s">
        <v>74</v>
      </c>
      <c r="O27" s="47" t="s">
        <v>44</v>
      </c>
      <c r="P27" s="43"/>
      <c r="Q27" s="43"/>
      <c r="R27" s="43"/>
      <c r="S27" s="43"/>
      <c r="T27" s="43"/>
      <c r="U27" s="43"/>
    </row>
    <row r="28" spans="1:21" ht="12.75">
      <c r="A28" s="1"/>
      <c r="G28" s="45"/>
      <c r="H28" s="46"/>
      <c r="I28" s="47"/>
      <c r="J28" s="46"/>
      <c r="K28" s="47"/>
      <c r="L28" s="46"/>
      <c r="M28" s="47"/>
      <c r="N28" s="46"/>
      <c r="O28" s="47"/>
      <c r="P28" s="43"/>
      <c r="Q28" s="43"/>
      <c r="R28" s="43"/>
      <c r="S28" s="43"/>
      <c r="T28" s="43"/>
      <c r="U28" s="43"/>
    </row>
    <row r="29" spans="1:21" ht="12.75">
      <c r="A29" s="3" t="s">
        <v>49</v>
      </c>
      <c r="B29" s="5">
        <v>8</v>
      </c>
      <c r="C29" s="4" t="s">
        <v>142</v>
      </c>
      <c r="D29" s="7">
        <v>1</v>
      </c>
      <c r="E29">
        <f>D29*$B29</f>
        <v>8</v>
      </c>
      <c r="G29" s="48">
        <f>H29+J29+L29+N29+P29</f>
        <v>1</v>
      </c>
      <c r="H29" s="48">
        <v>0</v>
      </c>
      <c r="I29" s="49">
        <f>$E29*H29</f>
        <v>0</v>
      </c>
      <c r="J29" s="48">
        <v>0</v>
      </c>
      <c r="K29" s="49">
        <f>$E29*J29</f>
        <v>0</v>
      </c>
      <c r="L29" s="48">
        <v>0</v>
      </c>
      <c r="M29" s="49">
        <f>$E29*L29</f>
        <v>0</v>
      </c>
      <c r="N29" s="48">
        <v>1</v>
      </c>
      <c r="O29" s="49">
        <f>$E29*N29</f>
        <v>8</v>
      </c>
      <c r="P29" s="58"/>
      <c r="Q29" s="49"/>
      <c r="R29" s="49"/>
      <c r="S29" s="43"/>
      <c r="T29" s="43"/>
      <c r="U29" s="43"/>
    </row>
    <row r="30" spans="1:21" ht="25.5">
      <c r="A30" s="3" t="s">
        <v>47</v>
      </c>
      <c r="B30" s="5">
        <v>2</v>
      </c>
      <c r="C30" s="4" t="s">
        <v>42</v>
      </c>
      <c r="D30" s="7">
        <f>C42</f>
        <v>4</v>
      </c>
      <c r="E30">
        <f>D30*$B30</f>
        <v>8</v>
      </c>
      <c r="G30" s="48">
        <f>H30+J30+L30+N30+P30</f>
        <v>1</v>
      </c>
      <c r="H30" s="48">
        <v>0</v>
      </c>
      <c r="I30" s="49">
        <f>$E30*H30</f>
        <v>0</v>
      </c>
      <c r="J30" s="48">
        <v>1</v>
      </c>
      <c r="K30" s="49">
        <f>$E30*J30</f>
        <v>8</v>
      </c>
      <c r="L30" s="48">
        <v>0</v>
      </c>
      <c r="M30" s="49">
        <f>$E30*L30</f>
        <v>0</v>
      </c>
      <c r="N30" s="48">
        <v>0</v>
      </c>
      <c r="O30" s="49">
        <f>$E30*N30</f>
        <v>0</v>
      </c>
      <c r="P30" s="58"/>
      <c r="Q30" s="49"/>
      <c r="R30" s="49"/>
      <c r="S30" s="43"/>
      <c r="T30" s="43"/>
      <c r="U30" s="43"/>
    </row>
    <row r="31" spans="1:21" ht="25.5">
      <c r="A31" s="3" t="s">
        <v>50</v>
      </c>
      <c r="B31" s="5">
        <v>0.5</v>
      </c>
      <c r="C31" s="4" t="s">
        <v>42</v>
      </c>
      <c r="D31" s="7">
        <f>SUM(C41:C43)</f>
        <v>20</v>
      </c>
      <c r="E31">
        <f>D31*$B31</f>
        <v>10</v>
      </c>
      <c r="G31" s="48">
        <f>H31+J31+L31+N31+P31</f>
        <v>1</v>
      </c>
      <c r="H31" s="48">
        <v>0</v>
      </c>
      <c r="I31" s="49">
        <f>$E31*H31</f>
        <v>0</v>
      </c>
      <c r="J31" s="48">
        <v>0</v>
      </c>
      <c r="K31" s="49">
        <f>$E31*J31</f>
        <v>0</v>
      </c>
      <c r="L31" s="48">
        <v>0</v>
      </c>
      <c r="M31" s="49">
        <f>$E31*L31</f>
        <v>0</v>
      </c>
      <c r="N31" s="48">
        <v>1</v>
      </c>
      <c r="O31" s="49">
        <f>$E31*N31</f>
        <v>10</v>
      </c>
      <c r="P31" s="58"/>
      <c r="Q31" s="49"/>
      <c r="R31" s="49"/>
      <c r="S31" s="43"/>
      <c r="T31" s="43"/>
      <c r="U31" s="43"/>
    </row>
    <row r="32" spans="1:21" ht="12.75">
      <c r="A32" t="s">
        <v>48</v>
      </c>
      <c r="B32" s="5">
        <v>1</v>
      </c>
      <c r="C32" s="4" t="s">
        <v>39</v>
      </c>
      <c r="D32" s="26">
        <f>D11+D12+D13+D14</f>
        <v>84</v>
      </c>
      <c r="E32">
        <f>D32*$B32</f>
        <v>84</v>
      </c>
      <c r="G32" s="48">
        <f>H32+J32+L32+N32+P32</f>
        <v>1</v>
      </c>
      <c r="H32" s="48">
        <v>0</v>
      </c>
      <c r="I32" s="49">
        <f>$E32*H32</f>
        <v>0</v>
      </c>
      <c r="J32" s="48">
        <v>0</v>
      </c>
      <c r="K32" s="49">
        <f>$E32*J32</f>
        <v>0</v>
      </c>
      <c r="L32" s="48">
        <v>0</v>
      </c>
      <c r="M32" s="49">
        <f>$E32*L32</f>
        <v>0</v>
      </c>
      <c r="N32" s="48">
        <v>1</v>
      </c>
      <c r="O32" s="49">
        <f>$E32*N32</f>
        <v>84</v>
      </c>
      <c r="P32" s="58"/>
      <c r="Q32" s="49"/>
      <c r="R32" s="49"/>
      <c r="S32" s="43"/>
      <c r="T32" s="43"/>
      <c r="U32" s="43"/>
    </row>
    <row r="33" spans="1:21" ht="25.5">
      <c r="A33" s="3" t="s">
        <v>62</v>
      </c>
      <c r="B33" s="5">
        <v>0</v>
      </c>
      <c r="C33" s="4" t="s">
        <v>42</v>
      </c>
      <c r="D33" s="4">
        <f>C43</f>
        <v>4</v>
      </c>
      <c r="E33">
        <f>D33*$B33</f>
        <v>0</v>
      </c>
      <c r="G33" s="48">
        <f>H33+J33+L33+N33+P33</f>
        <v>1</v>
      </c>
      <c r="H33" s="48">
        <v>0.25</v>
      </c>
      <c r="I33" s="49">
        <f>$E33*H33</f>
        <v>0</v>
      </c>
      <c r="J33" s="48">
        <v>0.75</v>
      </c>
      <c r="K33" s="49">
        <f>$E33*J33</f>
        <v>0</v>
      </c>
      <c r="L33" s="48">
        <v>0</v>
      </c>
      <c r="M33" s="49">
        <f>$E33*L33</f>
        <v>0</v>
      </c>
      <c r="N33" s="48">
        <v>0</v>
      </c>
      <c r="O33" s="49">
        <f>$E33*N33</f>
        <v>0</v>
      </c>
      <c r="P33" s="58"/>
      <c r="Q33" s="49"/>
      <c r="R33" s="49"/>
      <c r="S33" s="43"/>
      <c r="T33" s="43"/>
      <c r="U33" s="43"/>
    </row>
    <row r="34" spans="7:21" ht="12.75">
      <c r="G34" s="45"/>
      <c r="H34" s="45"/>
      <c r="I34" s="43"/>
      <c r="J34" s="45"/>
      <c r="K34" s="43"/>
      <c r="L34" s="45"/>
      <c r="M34" s="43"/>
      <c r="N34" s="45"/>
      <c r="O34" s="43"/>
      <c r="P34" s="43"/>
      <c r="Q34" s="43"/>
      <c r="R34" s="43"/>
      <c r="S34" s="43"/>
      <c r="T34" s="43"/>
      <c r="U34" s="43"/>
    </row>
    <row r="35" spans="1:21" ht="12.75">
      <c r="A35" s="8" t="s">
        <v>52</v>
      </c>
      <c r="E35" s="15">
        <f>SUM(E29:E34)</f>
        <v>110</v>
      </c>
      <c r="F35" s="15"/>
      <c r="G35" s="55"/>
      <c r="H35" s="55"/>
      <c r="I35" s="55">
        <f>SUM(I29:I34)</f>
        <v>0</v>
      </c>
      <c r="J35" s="55"/>
      <c r="K35" s="55">
        <f>SUM(K29:K34)</f>
        <v>8</v>
      </c>
      <c r="L35" s="55"/>
      <c r="M35" s="55">
        <f>SUM(M29:M34)</f>
        <v>0</v>
      </c>
      <c r="N35" s="55"/>
      <c r="O35" s="55">
        <f>SUM(O29:O34)</f>
        <v>102</v>
      </c>
      <c r="P35" s="43"/>
      <c r="Q35" s="56"/>
      <c r="R35" s="56"/>
      <c r="S35" s="49">
        <f>SUM(M24,O24,O35)*171.9</f>
        <v>332179.56</v>
      </c>
      <c r="T35" s="43"/>
      <c r="U35" s="43"/>
    </row>
    <row r="36" spans="7:21" ht="12.75">
      <c r="G36" s="43"/>
      <c r="H36" s="43"/>
      <c r="I36" s="43"/>
      <c r="J36" s="43"/>
      <c r="K36" s="43"/>
      <c r="L36" s="43"/>
      <c r="M36" s="43"/>
      <c r="N36" s="43"/>
      <c r="O36" s="43"/>
      <c r="P36" s="43"/>
      <c r="Q36" s="43"/>
      <c r="R36" s="43"/>
      <c r="S36" s="43"/>
      <c r="T36" s="43"/>
      <c r="U36" s="43"/>
    </row>
    <row r="37" spans="7:21" ht="12.75">
      <c r="G37" s="43"/>
      <c r="H37" s="43"/>
      <c r="I37" s="43"/>
      <c r="J37" s="43"/>
      <c r="K37" s="43"/>
      <c r="L37" s="43"/>
      <c r="M37" s="43"/>
      <c r="N37" s="43"/>
      <c r="O37" s="43"/>
      <c r="P37" s="43"/>
      <c r="Q37" s="43"/>
      <c r="R37" s="43"/>
      <c r="S37" s="43"/>
      <c r="T37" s="43"/>
      <c r="U37" s="43"/>
    </row>
    <row r="38" spans="1:4" ht="25.5" hidden="1">
      <c r="A38" s="1" t="s">
        <v>54</v>
      </c>
      <c r="B38" s="6" t="s">
        <v>59</v>
      </c>
      <c r="C38" s="2" t="s">
        <v>61</v>
      </c>
      <c r="D38" s="6" t="s">
        <v>60</v>
      </c>
    </row>
    <row r="39" spans="1:14" ht="12.75" hidden="1">
      <c r="A39" t="s">
        <v>82</v>
      </c>
      <c r="B39" s="11">
        <f>D39-C39*7</f>
        <v>38798</v>
      </c>
      <c r="C39" s="5">
        <v>6</v>
      </c>
      <c r="D39" s="12">
        <f>B40</f>
        <v>38840</v>
      </c>
      <c r="K39" s="170"/>
      <c r="L39" s="170"/>
      <c r="M39" s="170"/>
      <c r="N39" s="170"/>
    </row>
    <row r="40" spans="1:4" ht="12.75" hidden="1">
      <c r="A40" t="s">
        <v>55</v>
      </c>
      <c r="B40" s="12">
        <f>D40-C40*7</f>
        <v>38840</v>
      </c>
      <c r="C40" s="5">
        <v>6</v>
      </c>
      <c r="D40" s="12">
        <f>B41</f>
        <v>38882</v>
      </c>
    </row>
    <row r="41" spans="1:4" ht="12.75" hidden="1">
      <c r="A41" t="s">
        <v>56</v>
      </c>
      <c r="B41" s="12">
        <f>D41-C41*7</f>
        <v>38882</v>
      </c>
      <c r="C41" s="5">
        <v>12</v>
      </c>
      <c r="D41" s="12">
        <f>B42</f>
        <v>38966</v>
      </c>
    </row>
    <row r="42" spans="1:4" ht="12.75" hidden="1">
      <c r="A42" t="s">
        <v>58</v>
      </c>
      <c r="B42" s="12">
        <f>D42-C42*7</f>
        <v>38966</v>
      </c>
      <c r="C42" s="5">
        <v>4</v>
      </c>
      <c r="D42" s="12">
        <f>B43</f>
        <v>38994</v>
      </c>
    </row>
    <row r="43" spans="1:4" ht="12.75" hidden="1">
      <c r="A43" t="s">
        <v>57</v>
      </c>
      <c r="B43" s="12">
        <f>D43-C43*7</f>
        <v>38994</v>
      </c>
      <c r="C43" s="5">
        <v>4</v>
      </c>
      <c r="D43" s="13">
        <v>39022</v>
      </c>
    </row>
    <row r="47" ht="12.75">
      <c r="A47" s="1" t="s">
        <v>77</v>
      </c>
    </row>
    <row r="49" ht="12.75">
      <c r="A49" s="1" t="s">
        <v>156</v>
      </c>
    </row>
    <row r="51" spans="2:19" ht="173.25" customHeight="1">
      <c r="B51" t="s">
        <v>143</v>
      </c>
      <c r="C51" s="25" t="s">
        <v>207</v>
      </c>
      <c r="D51" s="25" t="s">
        <v>208</v>
      </c>
      <c r="E51" s="27" t="s">
        <v>209</v>
      </c>
      <c r="F51" s="27"/>
      <c r="G51" s="25" t="s">
        <v>144</v>
      </c>
      <c r="H51" s="25" t="s">
        <v>145</v>
      </c>
      <c r="I51" s="27" t="s">
        <v>146</v>
      </c>
      <c r="J51" s="25" t="s">
        <v>147</v>
      </c>
      <c r="K51" s="25" t="s">
        <v>148</v>
      </c>
      <c r="L51" s="25" t="s">
        <v>212</v>
      </c>
      <c r="M51" s="25" t="s">
        <v>213</v>
      </c>
      <c r="N51" s="27" t="s">
        <v>214</v>
      </c>
      <c r="O51" s="25" t="s">
        <v>218</v>
      </c>
      <c r="P51" s="25" t="s">
        <v>219</v>
      </c>
      <c r="Q51" s="27" t="s">
        <v>220</v>
      </c>
      <c r="R51" s="27" t="s">
        <v>236</v>
      </c>
      <c r="S51" s="3"/>
    </row>
    <row r="52" spans="1:19" ht="25.5">
      <c r="A52" t="s">
        <v>31</v>
      </c>
      <c r="B52">
        <f>SUM(C52:R52)</f>
        <v>50</v>
      </c>
      <c r="C52">
        <v>6</v>
      </c>
      <c r="D52">
        <v>6</v>
      </c>
      <c r="E52">
        <v>6</v>
      </c>
      <c r="G52">
        <v>1</v>
      </c>
      <c r="H52">
        <v>1</v>
      </c>
      <c r="I52">
        <v>1</v>
      </c>
      <c r="J52">
        <v>1</v>
      </c>
      <c r="K52">
        <v>1</v>
      </c>
      <c r="L52">
        <v>3</v>
      </c>
      <c r="M52">
        <v>3</v>
      </c>
      <c r="N52">
        <v>2</v>
      </c>
      <c r="O52">
        <v>6</v>
      </c>
      <c r="P52">
        <v>6</v>
      </c>
      <c r="Q52">
        <v>6</v>
      </c>
      <c r="R52" s="4">
        <v>1</v>
      </c>
      <c r="S52" s="3" t="s">
        <v>151</v>
      </c>
    </row>
    <row r="53" spans="1:19" ht="12.75">
      <c r="A53" t="s">
        <v>32</v>
      </c>
      <c r="B53">
        <f>SUM(C53:R53)</f>
        <v>15</v>
      </c>
      <c r="C53">
        <v>1</v>
      </c>
      <c r="D53">
        <v>1</v>
      </c>
      <c r="E53">
        <v>1</v>
      </c>
      <c r="G53">
        <v>1</v>
      </c>
      <c r="H53">
        <v>1</v>
      </c>
      <c r="I53">
        <v>1</v>
      </c>
      <c r="J53">
        <v>1</v>
      </c>
      <c r="K53">
        <v>1</v>
      </c>
      <c r="L53">
        <v>1</v>
      </c>
      <c r="M53">
        <v>1</v>
      </c>
      <c r="N53">
        <v>1</v>
      </c>
      <c r="O53">
        <v>1</v>
      </c>
      <c r="P53">
        <v>1</v>
      </c>
      <c r="Q53">
        <v>1</v>
      </c>
      <c r="R53" s="4">
        <v>1</v>
      </c>
      <c r="S53" s="3" t="s">
        <v>150</v>
      </c>
    </row>
    <row r="54" spans="1:19" ht="12.75">
      <c r="A54" t="s">
        <v>33</v>
      </c>
      <c r="B54">
        <f>SUM(C54:R54)</f>
        <v>40</v>
      </c>
      <c r="C54">
        <v>3</v>
      </c>
      <c r="D54">
        <v>3</v>
      </c>
      <c r="E54">
        <v>3</v>
      </c>
      <c r="G54">
        <v>2</v>
      </c>
      <c r="H54">
        <v>2</v>
      </c>
      <c r="I54">
        <v>2</v>
      </c>
      <c r="J54">
        <v>2</v>
      </c>
      <c r="K54">
        <v>2</v>
      </c>
      <c r="L54">
        <v>3</v>
      </c>
      <c r="M54">
        <v>3</v>
      </c>
      <c r="N54">
        <v>3</v>
      </c>
      <c r="O54">
        <v>3</v>
      </c>
      <c r="P54">
        <v>3</v>
      </c>
      <c r="Q54">
        <v>3</v>
      </c>
      <c r="R54" s="4">
        <v>3</v>
      </c>
      <c r="S54" s="3" t="s">
        <v>149</v>
      </c>
    </row>
    <row r="55" spans="1:19" ht="12.75">
      <c r="A55" t="s">
        <v>34</v>
      </c>
      <c r="B55">
        <f>SUM(C55:R55)</f>
        <v>29</v>
      </c>
      <c r="C55">
        <v>2</v>
      </c>
      <c r="D55">
        <v>2</v>
      </c>
      <c r="E55">
        <v>2</v>
      </c>
      <c r="G55">
        <v>2</v>
      </c>
      <c r="H55">
        <v>2</v>
      </c>
      <c r="I55">
        <v>2</v>
      </c>
      <c r="J55">
        <v>2</v>
      </c>
      <c r="K55">
        <v>2</v>
      </c>
      <c r="L55">
        <v>2</v>
      </c>
      <c r="M55">
        <v>2</v>
      </c>
      <c r="N55">
        <v>2</v>
      </c>
      <c r="O55">
        <v>2</v>
      </c>
      <c r="P55">
        <v>2</v>
      </c>
      <c r="Q55">
        <v>2</v>
      </c>
      <c r="R55" s="4">
        <v>1</v>
      </c>
      <c r="S55" s="3" t="s">
        <v>185</v>
      </c>
    </row>
    <row r="56" spans="1:19" ht="12.75">
      <c r="A56" t="s">
        <v>63</v>
      </c>
      <c r="B56">
        <v>1</v>
      </c>
      <c r="R56" s="4"/>
      <c r="S56" s="3" t="s">
        <v>221</v>
      </c>
    </row>
    <row r="57" spans="1:19" ht="12.75">
      <c r="A57" t="s">
        <v>64</v>
      </c>
      <c r="B57">
        <f>SUM(C57:R57)</f>
        <v>14</v>
      </c>
      <c r="C57">
        <v>1</v>
      </c>
      <c r="D57">
        <v>1</v>
      </c>
      <c r="E57">
        <v>1</v>
      </c>
      <c r="G57">
        <v>1</v>
      </c>
      <c r="H57">
        <v>1</v>
      </c>
      <c r="I57">
        <v>1</v>
      </c>
      <c r="J57">
        <v>1</v>
      </c>
      <c r="K57">
        <v>1</v>
      </c>
      <c r="L57">
        <v>1</v>
      </c>
      <c r="M57">
        <v>1</v>
      </c>
      <c r="N57">
        <v>1</v>
      </c>
      <c r="O57">
        <v>1</v>
      </c>
      <c r="P57">
        <v>1</v>
      </c>
      <c r="Q57">
        <v>1</v>
      </c>
      <c r="R57" s="4">
        <v>0</v>
      </c>
      <c r="S57" s="3" t="s">
        <v>152</v>
      </c>
    </row>
    <row r="58" spans="1:19" ht="12.75">
      <c r="A58" t="s">
        <v>65</v>
      </c>
      <c r="R58" s="4"/>
      <c r="S58" s="3" t="s">
        <v>222</v>
      </c>
    </row>
    <row r="59" spans="1:19" ht="12.75">
      <c r="A59" s="3" t="s">
        <v>67</v>
      </c>
      <c r="R59" s="4"/>
      <c r="S59" s="3"/>
    </row>
    <row r="60" spans="1:19" ht="12.75">
      <c r="A60" s="3" t="s">
        <v>68</v>
      </c>
      <c r="B60">
        <v>1</v>
      </c>
      <c r="R60" s="4"/>
      <c r="S60" s="3" t="s">
        <v>154</v>
      </c>
    </row>
    <row r="61" spans="1:19" ht="12.75">
      <c r="A61" t="s">
        <v>66</v>
      </c>
      <c r="B61">
        <v>1</v>
      </c>
      <c r="R61" s="4"/>
      <c r="S61" s="3" t="s">
        <v>155</v>
      </c>
    </row>
    <row r="62" spans="1:19" ht="38.25">
      <c r="A62" t="s">
        <v>73</v>
      </c>
      <c r="B62">
        <v>1</v>
      </c>
      <c r="R62" s="4"/>
      <c r="S62" s="3" t="s">
        <v>153</v>
      </c>
    </row>
    <row r="63" spans="1:19" ht="12.75">
      <c r="A63" t="s">
        <v>69</v>
      </c>
      <c r="B63">
        <v>1</v>
      </c>
      <c r="R63" s="4"/>
      <c r="S63" s="3" t="s">
        <v>184</v>
      </c>
    </row>
    <row r="64" spans="1:19" ht="12.75">
      <c r="A64" t="s">
        <v>71</v>
      </c>
      <c r="B64" s="10">
        <v>0.1</v>
      </c>
      <c r="R64" s="4"/>
      <c r="S64" s="3"/>
    </row>
    <row r="65" ht="12.75">
      <c r="S65" s="3"/>
    </row>
  </sheetData>
  <mergeCells count="14">
    <mergeCell ref="H26:I26"/>
    <mergeCell ref="E8:F8"/>
    <mergeCell ref="A6:F7"/>
    <mergeCell ref="G6:Q6"/>
    <mergeCell ref="N7:O7"/>
    <mergeCell ref="P7:Q7"/>
    <mergeCell ref="H7:I7"/>
    <mergeCell ref="J7:K7"/>
    <mergeCell ref="L7:M7"/>
    <mergeCell ref="K39:L39"/>
    <mergeCell ref="M39:N39"/>
    <mergeCell ref="J26:K26"/>
    <mergeCell ref="L26:M26"/>
    <mergeCell ref="N26:O26"/>
  </mergeCells>
  <printOptions gridLines="1"/>
  <pageMargins left="0.17" right="0.17" top="1" bottom="1" header="0.5" footer="0.5"/>
  <pageSetup fitToHeight="1" fitToWidth="1" horizontalDpi="300" verticalDpi="300" orientation="landscape" scale="75" r:id="rId1"/>
  <headerFooter alignWithMargins="0">
    <oddHeader xml:space="preserve">&amp;C&amp;"Arial,Bold"&amp;14NCSX Fabrication Project Cost and Schedule  </oddHeader>
    <oddFooter xml:space="preserve">&amp;L&amp;F&amp;C&amp;"Arial,Bold"&amp;A   &amp;P of &amp;N&amp;R&amp;D    &amp;T  </oddFooter>
  </headerFooter>
  <rowBreaks count="2" manualBreakCount="2">
    <brk id="25" max="16" man="1"/>
    <brk id="45" max="16" man="1"/>
  </rowBreaks>
</worksheet>
</file>

<file path=xl/worksheets/sheet3.xml><?xml version="1.0" encoding="utf-8"?>
<worksheet xmlns="http://schemas.openxmlformats.org/spreadsheetml/2006/main" xmlns:r="http://schemas.openxmlformats.org/officeDocument/2006/relationships">
  <dimension ref="A1:S78"/>
  <sheetViews>
    <sheetView zoomScaleSheetLayoutView="100" workbookViewId="0" topLeftCell="A1">
      <selection activeCell="A8" sqref="A8:IV74"/>
    </sheetView>
  </sheetViews>
  <sheetFormatPr defaultColWidth="9.140625" defaultRowHeight="12.75"/>
  <cols>
    <col min="1" max="1" width="29.57421875" style="41" customWidth="1"/>
    <col min="2" max="2" width="8.7109375" style="41" customWidth="1"/>
    <col min="3" max="3" width="9.140625" style="41" customWidth="1"/>
    <col min="4" max="4" width="7.140625" style="41" customWidth="1"/>
    <col min="5" max="5" width="6.28125" style="41" customWidth="1"/>
    <col min="6" max="6" width="2.28125" style="41" customWidth="1"/>
    <col min="7" max="7" width="7.28125" style="41" customWidth="1"/>
    <col min="8" max="8" width="5.7109375" style="41" customWidth="1"/>
    <col min="9" max="9" width="4.7109375" style="41" customWidth="1"/>
    <col min="10" max="10" width="5.7109375" style="41" customWidth="1"/>
    <col min="11" max="11" width="4.7109375" style="41" customWidth="1"/>
    <col min="12" max="12" width="5.7109375" style="41" customWidth="1"/>
    <col min="13" max="13" width="4.7109375" style="41" customWidth="1"/>
    <col min="14" max="14" width="5.7109375" style="41" customWidth="1"/>
    <col min="15" max="15" width="4.7109375" style="41" customWidth="1"/>
    <col min="16" max="16" width="5.7109375" style="41" customWidth="1"/>
    <col min="17" max="17" width="4.7109375" style="41" customWidth="1"/>
    <col min="18" max="19" width="5.7109375" style="41" customWidth="1"/>
    <col min="20" max="16384" width="9.140625" style="41" customWidth="1"/>
  </cols>
  <sheetData>
    <row r="1" ht="20.25">
      <c r="A1" s="103" t="str">
        <f>'Fab Project'!A1</f>
        <v>WBS 162 Coil Leads</v>
      </c>
    </row>
    <row r="3" spans="1:17" ht="18.75" thickBot="1">
      <c r="A3" s="104" t="s">
        <v>81</v>
      </c>
      <c r="B3" s="72"/>
      <c r="C3" s="72"/>
      <c r="D3" s="72"/>
      <c r="E3" s="72"/>
      <c r="F3" s="72"/>
      <c r="G3" s="72"/>
      <c r="H3" s="72"/>
      <c r="I3" s="72"/>
      <c r="J3" s="72"/>
      <c r="K3" s="72"/>
      <c r="L3" s="72"/>
      <c r="M3" s="72"/>
      <c r="N3" s="72"/>
      <c r="O3" s="72"/>
      <c r="P3" s="72"/>
      <c r="Q3" s="72"/>
    </row>
    <row r="4" ht="12.75">
      <c r="A4" s="54"/>
    </row>
    <row r="5" ht="12.75">
      <c r="A5" s="54" t="s">
        <v>53</v>
      </c>
    </row>
    <row r="6" spans="1:5" ht="21.75" customHeight="1">
      <c r="A6" s="178" t="s">
        <v>157</v>
      </c>
      <c r="B6" s="178"/>
      <c r="C6" s="178"/>
      <c r="D6" s="178"/>
      <c r="E6" s="178"/>
    </row>
    <row r="7" spans="1:5" ht="20.25" customHeight="1">
      <c r="A7" s="178"/>
      <c r="B7" s="178"/>
      <c r="C7" s="178"/>
      <c r="D7" s="178"/>
      <c r="E7" s="178"/>
    </row>
    <row r="8" spans="1:19" ht="12.75">
      <c r="A8" s="40"/>
      <c r="B8" s="90"/>
      <c r="C8" s="105"/>
      <c r="D8" s="105"/>
      <c r="E8" s="105"/>
      <c r="F8" s="105"/>
      <c r="G8" s="106"/>
      <c r="H8" s="106"/>
      <c r="I8" s="106"/>
      <c r="J8" s="106"/>
      <c r="K8" s="106"/>
      <c r="L8" s="106"/>
      <c r="M8" s="106"/>
      <c r="N8" s="106"/>
      <c r="O8" s="106"/>
      <c r="P8" s="106"/>
      <c r="Q8" s="106"/>
      <c r="R8" s="106"/>
      <c r="S8" s="106"/>
    </row>
    <row r="9" spans="1:19" ht="12.75">
      <c r="A9" s="29"/>
      <c r="B9" s="107"/>
      <c r="C9" s="108"/>
      <c r="F9" s="178"/>
      <c r="G9" s="178"/>
      <c r="H9" s="106"/>
      <c r="I9" s="106"/>
      <c r="J9" s="106"/>
      <c r="K9" s="106"/>
      <c r="L9" s="106"/>
      <c r="M9" s="106"/>
      <c r="N9" s="106"/>
      <c r="O9" s="106"/>
      <c r="P9" s="106"/>
      <c r="Q9" s="106"/>
      <c r="R9" s="106"/>
      <c r="S9" s="106"/>
    </row>
    <row r="10" spans="2:19" ht="12.75">
      <c r="B10" s="109"/>
      <c r="F10" s="105"/>
      <c r="G10" s="105"/>
      <c r="H10" s="106"/>
      <c r="I10" s="106"/>
      <c r="J10" s="106"/>
      <c r="K10" s="106"/>
      <c r="L10" s="106"/>
      <c r="M10" s="106"/>
      <c r="N10" s="106"/>
      <c r="O10" s="106"/>
      <c r="P10" s="106"/>
      <c r="Q10" s="106"/>
      <c r="R10" s="106"/>
      <c r="S10" s="106"/>
    </row>
    <row r="11" spans="1:19" ht="12.75">
      <c r="A11" s="29"/>
      <c r="B11" s="107"/>
      <c r="F11" s="178"/>
      <c r="G11" s="178"/>
      <c r="H11" s="106"/>
      <c r="I11" s="106"/>
      <c r="J11" s="106"/>
      <c r="K11" s="106"/>
      <c r="L11" s="106"/>
      <c r="M11" s="106"/>
      <c r="N11" s="106"/>
      <c r="O11" s="106"/>
      <c r="P11" s="106"/>
      <c r="Q11" s="106"/>
      <c r="R11" s="106"/>
      <c r="S11" s="106"/>
    </row>
    <row r="12" spans="1:7" ht="12.75">
      <c r="A12" s="29"/>
      <c r="B12" s="109"/>
      <c r="F12" s="178"/>
      <c r="G12" s="178"/>
    </row>
    <row r="13" spans="1:17" ht="12.75">
      <c r="A13" s="29"/>
      <c r="B13" s="109"/>
      <c r="F13" s="165"/>
      <c r="G13" s="165"/>
      <c r="H13" s="165"/>
      <c r="I13" s="165"/>
      <c r="J13" s="165"/>
      <c r="K13" s="165"/>
      <c r="L13" s="165"/>
      <c r="M13" s="165"/>
      <c r="N13" s="165"/>
      <c r="O13" s="165"/>
      <c r="P13" s="165"/>
      <c r="Q13" s="165"/>
    </row>
    <row r="14" spans="1:17" ht="20.25" customHeight="1">
      <c r="A14" s="54"/>
      <c r="B14" s="90"/>
      <c r="C14" s="105"/>
      <c r="D14" s="105"/>
      <c r="E14" s="105"/>
      <c r="G14" s="179"/>
      <c r="H14" s="177"/>
      <c r="I14" s="177"/>
      <c r="J14" s="177"/>
      <c r="K14" s="177"/>
      <c r="L14" s="177"/>
      <c r="M14" s="177"/>
      <c r="N14" s="177"/>
      <c r="O14" s="177"/>
      <c r="P14" s="177"/>
      <c r="Q14" s="177"/>
    </row>
    <row r="15" spans="1:17" ht="12.75">
      <c r="A15" s="92"/>
      <c r="C15" s="61"/>
      <c r="D15" s="61"/>
      <c r="E15" s="180"/>
      <c r="F15" s="180"/>
      <c r="G15" s="179"/>
      <c r="H15" s="97"/>
      <c r="I15" s="97"/>
      <c r="J15" s="97"/>
      <c r="K15" s="97"/>
      <c r="L15" s="97"/>
      <c r="M15" s="97"/>
      <c r="N15" s="97"/>
      <c r="O15" s="97"/>
      <c r="P15" s="97"/>
      <c r="Q15" s="97"/>
    </row>
    <row r="16" ht="12.75">
      <c r="A16" s="54"/>
    </row>
    <row r="17" spans="2:17" ht="12.75">
      <c r="B17" s="111"/>
      <c r="C17" s="97"/>
      <c r="D17" s="111"/>
      <c r="E17" s="112"/>
      <c r="F17" s="112"/>
      <c r="G17" s="65"/>
      <c r="H17" s="113"/>
      <c r="I17" s="66"/>
      <c r="J17" s="113"/>
      <c r="K17" s="66"/>
      <c r="L17" s="113"/>
      <c r="M17" s="66"/>
      <c r="N17" s="113"/>
      <c r="O17" s="66"/>
      <c r="P17" s="113"/>
      <c r="Q17" s="66"/>
    </row>
    <row r="18" spans="2:17" ht="12.75">
      <c r="B18" s="111"/>
      <c r="C18" s="97"/>
      <c r="D18" s="111"/>
      <c r="E18" s="112"/>
      <c r="F18" s="112"/>
      <c r="G18" s="65"/>
      <c r="H18" s="113"/>
      <c r="I18" s="66"/>
      <c r="J18" s="113"/>
      <c r="K18" s="66"/>
      <c r="L18" s="113"/>
      <c r="M18" s="66"/>
      <c r="N18" s="113"/>
      <c r="O18" s="66"/>
      <c r="P18" s="113"/>
      <c r="Q18" s="66"/>
    </row>
    <row r="19" spans="2:17" ht="12.75">
      <c r="B19" s="111"/>
      <c r="C19" s="97"/>
      <c r="D19" s="111"/>
      <c r="E19" s="112"/>
      <c r="F19" s="112"/>
      <c r="G19" s="65"/>
      <c r="H19" s="113"/>
      <c r="I19" s="66"/>
      <c r="J19" s="113"/>
      <c r="K19" s="66"/>
      <c r="L19" s="113"/>
      <c r="M19" s="66"/>
      <c r="N19" s="113"/>
      <c r="O19" s="66"/>
      <c r="P19" s="113"/>
      <c r="Q19" s="66"/>
    </row>
    <row r="20" spans="2:17" ht="12.75">
      <c r="B20" s="111"/>
      <c r="C20" s="97"/>
      <c r="D20" s="111"/>
      <c r="E20" s="112"/>
      <c r="F20" s="112"/>
      <c r="G20" s="65"/>
      <c r="H20" s="113"/>
      <c r="I20" s="66"/>
      <c r="J20" s="113"/>
      <c r="K20" s="66"/>
      <c r="L20" s="113"/>
      <c r="M20" s="66"/>
      <c r="N20" s="113"/>
      <c r="O20" s="66"/>
      <c r="P20" s="113"/>
      <c r="Q20" s="66"/>
    </row>
    <row r="21" spans="2:17" ht="12.75">
      <c r="B21" s="111"/>
      <c r="C21" s="97"/>
      <c r="D21" s="111"/>
      <c r="E21" s="112"/>
      <c r="F21" s="112"/>
      <c r="G21" s="65"/>
      <c r="H21" s="113"/>
      <c r="I21" s="66"/>
      <c r="J21" s="113"/>
      <c r="K21" s="66"/>
      <c r="L21" s="113"/>
      <c r="M21" s="66"/>
      <c r="N21" s="113"/>
      <c r="O21" s="66"/>
      <c r="P21" s="113"/>
      <c r="Q21" s="66"/>
    </row>
    <row r="22" spans="2:17" ht="12.75">
      <c r="B22" s="111"/>
      <c r="C22" s="97"/>
      <c r="D22" s="111"/>
      <c r="E22" s="112"/>
      <c r="F22" s="112"/>
      <c r="G22" s="65"/>
      <c r="H22" s="113"/>
      <c r="I22" s="66"/>
      <c r="J22" s="113"/>
      <c r="K22" s="66"/>
      <c r="L22" s="113"/>
      <c r="M22" s="66"/>
      <c r="N22" s="113"/>
      <c r="O22" s="66"/>
      <c r="P22" s="113"/>
      <c r="Q22" s="66"/>
    </row>
    <row r="23" spans="2:17" ht="12.75">
      <c r="B23" s="111"/>
      <c r="C23" s="97"/>
      <c r="D23" s="111"/>
      <c r="E23" s="112"/>
      <c r="F23" s="112"/>
      <c r="G23" s="65"/>
      <c r="H23" s="113"/>
      <c r="I23" s="66"/>
      <c r="J23" s="113"/>
      <c r="K23" s="66"/>
      <c r="L23" s="113"/>
      <c r="M23" s="66"/>
      <c r="N23" s="113"/>
      <c r="O23" s="66"/>
      <c r="P23" s="113"/>
      <c r="Q23" s="66"/>
    </row>
    <row r="24" spans="2:17" ht="12.75">
      <c r="B24" s="111"/>
      <c r="C24" s="97"/>
      <c r="D24" s="111"/>
      <c r="E24" s="112"/>
      <c r="F24" s="112"/>
      <c r="G24" s="65"/>
      <c r="H24" s="113"/>
      <c r="I24" s="66"/>
      <c r="J24" s="113"/>
      <c r="K24" s="66"/>
      <c r="L24" s="113"/>
      <c r="M24" s="66"/>
      <c r="N24" s="113"/>
      <c r="O24" s="66"/>
      <c r="P24" s="113"/>
      <c r="Q24" s="66"/>
    </row>
    <row r="25" spans="2:17" ht="12.75">
      <c r="B25" s="111"/>
      <c r="C25" s="97"/>
      <c r="D25" s="111"/>
      <c r="E25" s="112"/>
      <c r="F25" s="112"/>
      <c r="G25" s="65"/>
      <c r="H25" s="113"/>
      <c r="I25" s="66"/>
      <c r="J25" s="113"/>
      <c r="K25" s="66"/>
      <c r="L25" s="113"/>
      <c r="M25" s="66"/>
      <c r="N25" s="113"/>
      <c r="O25" s="66"/>
      <c r="P25" s="113"/>
      <c r="Q25" s="66"/>
    </row>
    <row r="26" spans="2:17" ht="12.75">
      <c r="B26" s="111"/>
      <c r="C26" s="97"/>
      <c r="D26" s="111"/>
      <c r="E26" s="112"/>
      <c r="F26" s="112"/>
      <c r="G26" s="65"/>
      <c r="H26" s="113"/>
      <c r="I26" s="66"/>
      <c r="J26" s="113"/>
      <c r="K26" s="66"/>
      <c r="L26" s="113"/>
      <c r="M26" s="66"/>
      <c r="N26" s="113"/>
      <c r="O26" s="66"/>
      <c r="P26" s="113"/>
      <c r="Q26" s="66"/>
    </row>
    <row r="27" spans="2:17" ht="12.75">
      <c r="B27" s="111"/>
      <c r="C27" s="97"/>
      <c r="D27" s="111"/>
      <c r="E27" s="112"/>
      <c r="F27" s="112"/>
      <c r="G27" s="65"/>
      <c r="H27" s="113"/>
      <c r="I27" s="66"/>
      <c r="J27" s="113"/>
      <c r="K27" s="66"/>
      <c r="L27" s="113"/>
      <c r="M27" s="66"/>
      <c r="N27" s="113"/>
      <c r="O27" s="66"/>
      <c r="P27" s="113"/>
      <c r="Q27" s="66"/>
    </row>
    <row r="28" spans="2:17" ht="12.75">
      <c r="B28" s="114"/>
      <c r="C28" s="97"/>
      <c r="D28" s="115"/>
      <c r="E28" s="112"/>
      <c r="F28" s="112"/>
      <c r="G28" s="65"/>
      <c r="H28" s="113"/>
      <c r="I28" s="66"/>
      <c r="J28" s="113"/>
      <c r="K28" s="66"/>
      <c r="L28" s="113"/>
      <c r="M28" s="66"/>
      <c r="N28" s="113"/>
      <c r="O28" s="66"/>
      <c r="P28" s="113"/>
      <c r="Q28" s="66"/>
    </row>
    <row r="29" spans="2:17" ht="12.75">
      <c r="B29" s="111"/>
      <c r="C29" s="97"/>
      <c r="D29" s="111"/>
      <c r="E29" s="112"/>
      <c r="F29" s="112"/>
      <c r="G29" s="65"/>
      <c r="H29" s="113"/>
      <c r="I29" s="66"/>
      <c r="J29" s="113"/>
      <c r="K29" s="66"/>
      <c r="L29" s="113"/>
      <c r="M29" s="66"/>
      <c r="N29" s="113"/>
      <c r="O29" s="66"/>
      <c r="P29" s="113"/>
      <c r="Q29" s="66"/>
    </row>
    <row r="30" spans="2:17" ht="12.75">
      <c r="B30" s="114"/>
      <c r="C30" s="97"/>
      <c r="D30" s="115"/>
      <c r="E30" s="112"/>
      <c r="F30" s="112"/>
      <c r="G30" s="65"/>
      <c r="H30" s="113"/>
      <c r="I30" s="66"/>
      <c r="J30" s="113"/>
      <c r="K30" s="66"/>
      <c r="L30" s="113"/>
      <c r="M30" s="66"/>
      <c r="N30" s="113"/>
      <c r="O30" s="66"/>
      <c r="P30" s="113"/>
      <c r="Q30" s="66"/>
    </row>
    <row r="31" spans="5:6" ht="12.75">
      <c r="E31" s="112"/>
      <c r="F31" s="112"/>
    </row>
    <row r="32" spans="1:17" ht="12.75">
      <c r="A32" s="94"/>
      <c r="E32" s="116"/>
      <c r="F32" s="116"/>
      <c r="G32" s="116"/>
      <c r="H32" s="116"/>
      <c r="I32" s="116"/>
      <c r="J32" s="116"/>
      <c r="K32" s="116"/>
      <c r="L32" s="116"/>
      <c r="M32" s="116"/>
      <c r="N32" s="116"/>
      <c r="O32" s="116"/>
      <c r="P32" s="116"/>
      <c r="Q32" s="116"/>
    </row>
    <row r="33" spans="1:19" ht="12.75">
      <c r="A33" s="94"/>
      <c r="E33" s="116"/>
      <c r="F33" s="116"/>
      <c r="I33" s="94"/>
      <c r="K33" s="94"/>
      <c r="M33" s="94"/>
      <c r="O33" s="94"/>
      <c r="Q33" s="94"/>
      <c r="S33" s="94"/>
    </row>
    <row r="34" spans="1:19" ht="24" customHeight="1">
      <c r="A34" s="94"/>
      <c r="E34" s="116"/>
      <c r="F34" s="176"/>
      <c r="G34" s="176"/>
      <c r="H34" s="181"/>
      <c r="I34" s="181"/>
      <c r="J34" s="181"/>
      <c r="K34" s="181"/>
      <c r="L34" s="181"/>
      <c r="M34" s="181"/>
      <c r="N34" s="181"/>
      <c r="O34" s="181"/>
      <c r="P34" s="175"/>
      <c r="Q34" s="175"/>
      <c r="R34" s="175"/>
      <c r="S34" s="175"/>
    </row>
    <row r="35" spans="1:19" ht="12.75">
      <c r="A35" s="94"/>
      <c r="E35" s="116"/>
      <c r="F35" s="176"/>
      <c r="G35" s="176"/>
      <c r="H35" s="97"/>
      <c r="I35" s="97"/>
      <c r="J35" s="97"/>
      <c r="K35" s="97"/>
      <c r="L35" s="97"/>
      <c r="M35" s="97"/>
      <c r="N35" s="97"/>
      <c r="O35" s="97"/>
      <c r="P35" s="97"/>
      <c r="Q35" s="97"/>
      <c r="S35" s="94"/>
    </row>
    <row r="36" ht="12.75">
      <c r="A36" s="54"/>
    </row>
    <row r="37" spans="1:19" ht="12.75">
      <c r="A37" s="118"/>
      <c r="B37" s="111"/>
      <c r="C37" s="97"/>
      <c r="D37" s="110"/>
      <c r="G37" s="65"/>
      <c r="H37" s="113"/>
      <c r="I37" s="66"/>
      <c r="J37" s="113"/>
      <c r="K37" s="66"/>
      <c r="L37" s="113"/>
      <c r="M37" s="66"/>
      <c r="N37" s="113"/>
      <c r="O37" s="66"/>
      <c r="P37" s="113"/>
      <c r="Q37" s="66"/>
      <c r="R37" s="113"/>
      <c r="S37" s="66"/>
    </row>
    <row r="38" spans="1:19" ht="12.75">
      <c r="A38" s="118"/>
      <c r="B38" s="111"/>
      <c r="C38" s="97"/>
      <c r="D38" s="110"/>
      <c r="G38" s="65"/>
      <c r="H38" s="113"/>
      <c r="I38" s="66"/>
      <c r="J38" s="113"/>
      <c r="K38" s="66"/>
      <c r="L38" s="113"/>
      <c r="M38" s="66"/>
      <c r="N38" s="113"/>
      <c r="O38" s="66"/>
      <c r="P38" s="113"/>
      <c r="Q38" s="66"/>
      <c r="R38" s="113"/>
      <c r="S38" s="66"/>
    </row>
    <row r="39" spans="1:19" ht="12.75">
      <c r="A39" s="118"/>
      <c r="B39" s="111"/>
      <c r="C39" s="97"/>
      <c r="D39" s="110"/>
      <c r="G39" s="65"/>
      <c r="H39" s="113"/>
      <c r="I39" s="66"/>
      <c r="J39" s="113"/>
      <c r="K39" s="66"/>
      <c r="L39" s="113"/>
      <c r="M39" s="66"/>
      <c r="N39" s="113"/>
      <c r="O39" s="66"/>
      <c r="P39" s="113"/>
      <c r="Q39" s="66"/>
      <c r="R39" s="113"/>
      <c r="S39" s="66"/>
    </row>
    <row r="41" spans="1:19" ht="12.75">
      <c r="A41" s="94"/>
      <c r="E41" s="116"/>
      <c r="F41" s="116"/>
      <c r="G41" s="116"/>
      <c r="H41" s="116"/>
      <c r="I41" s="116"/>
      <c r="J41" s="116"/>
      <c r="K41" s="116"/>
      <c r="L41" s="116"/>
      <c r="M41" s="116"/>
      <c r="N41" s="116"/>
      <c r="O41" s="116"/>
      <c r="P41" s="116"/>
      <c r="Q41" s="116"/>
      <c r="S41" s="94"/>
    </row>
    <row r="44" spans="1:4" ht="12.75">
      <c r="A44" s="54"/>
      <c r="B44" s="61"/>
      <c r="C44" s="52"/>
      <c r="D44" s="61"/>
    </row>
    <row r="45" spans="2:4" ht="12.75">
      <c r="B45" s="119"/>
      <c r="C45" s="111"/>
      <c r="D45" s="68"/>
    </row>
    <row r="46" spans="2:4" ht="12.75">
      <c r="B46" s="68"/>
      <c r="C46" s="111"/>
      <c r="D46" s="68"/>
    </row>
    <row r="47" spans="2:4" ht="12.75">
      <c r="B47" s="68"/>
      <c r="C47" s="111"/>
      <c r="D47" s="68"/>
    </row>
    <row r="48" spans="2:4" ht="12.75">
      <c r="B48" s="68"/>
      <c r="C48" s="111"/>
      <c r="D48" s="120"/>
    </row>
    <row r="49" spans="2:4" ht="12.75">
      <c r="B49" s="68"/>
      <c r="C49" s="111"/>
      <c r="D49" s="68"/>
    </row>
    <row r="50" spans="2:4" ht="12.75">
      <c r="B50" s="68"/>
      <c r="C50" s="111"/>
      <c r="D50" s="120"/>
    </row>
    <row r="54" ht="12.75">
      <c r="A54" s="54"/>
    </row>
    <row r="56" ht="12.75">
      <c r="A56" s="54"/>
    </row>
    <row r="58" ht="12.75">
      <c r="B58" s="121"/>
    </row>
    <row r="59" ht="12.75">
      <c r="B59" s="84"/>
    </row>
    <row r="61" ht="12.75">
      <c r="A61" s="54"/>
    </row>
    <row r="62" ht="12.75">
      <c r="B62" s="121"/>
    </row>
    <row r="63" ht="12.75">
      <c r="B63" s="84"/>
    </row>
    <row r="65" spans="1:2" ht="12.75">
      <c r="A65" s="54"/>
      <c r="B65" s="84"/>
    </row>
    <row r="67" spans="1:2" ht="12.75">
      <c r="A67" s="54"/>
      <c r="B67" s="84"/>
    </row>
    <row r="69" spans="1:2" ht="12.75">
      <c r="A69" s="54"/>
      <c r="B69" s="84"/>
    </row>
    <row r="71" ht="12.75">
      <c r="B71" s="84"/>
    </row>
    <row r="72" ht="12.75">
      <c r="B72" s="84"/>
    </row>
    <row r="78" ht="12.75">
      <c r="B78" s="84"/>
    </row>
  </sheetData>
  <mergeCells count="19">
    <mergeCell ref="G14:G15"/>
    <mergeCell ref="P34:Q34"/>
    <mergeCell ref="F11:G11"/>
    <mergeCell ref="F12:G12"/>
    <mergeCell ref="E15:F15"/>
    <mergeCell ref="H34:I34"/>
    <mergeCell ref="J34:K34"/>
    <mergeCell ref="L34:M34"/>
    <mergeCell ref="N34:O34"/>
    <mergeCell ref="R34:S34"/>
    <mergeCell ref="F34:G35"/>
    <mergeCell ref="N14:O14"/>
    <mergeCell ref="A6:E7"/>
    <mergeCell ref="H14:I14"/>
    <mergeCell ref="J14:K14"/>
    <mergeCell ref="L14:M14"/>
    <mergeCell ref="F9:G9"/>
    <mergeCell ref="F13:Q13"/>
    <mergeCell ref="P14:Q14"/>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1" manualBreakCount="1">
    <brk id="5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174"/>
  <sheetViews>
    <sheetView workbookViewId="0" topLeftCell="A7">
      <selection activeCell="C12" sqref="C12"/>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s>
  <sheetData>
    <row r="1" ht="20.25">
      <c r="A1" s="21" t="str">
        <f>'Fab Project'!A1:E1</f>
        <v>WBS 162 Coil Leads</v>
      </c>
    </row>
    <row r="3" spans="1:11" ht="18.75" thickBot="1">
      <c r="A3" s="22" t="s">
        <v>92</v>
      </c>
      <c r="B3" s="23"/>
      <c r="C3" s="23"/>
      <c r="D3" s="23"/>
      <c r="E3" s="23"/>
      <c r="F3" s="23"/>
      <c r="G3" s="23"/>
      <c r="H3" s="23"/>
      <c r="I3" s="23"/>
      <c r="J3" s="23"/>
      <c r="K3" s="24"/>
    </row>
    <row r="4" ht="12.75">
      <c r="A4" s="1"/>
    </row>
    <row r="5" ht="12.75">
      <c r="A5" s="1" t="s">
        <v>53</v>
      </c>
    </row>
    <row r="6" spans="1:5" ht="67.5" customHeight="1">
      <c r="A6" s="173" t="s">
        <v>235</v>
      </c>
      <c r="B6" s="173"/>
      <c r="C6" s="173"/>
      <c r="D6" s="173"/>
      <c r="E6" s="173"/>
    </row>
    <row r="7" ht="12.75">
      <c r="A7" s="1" t="s">
        <v>93</v>
      </c>
    </row>
    <row r="8" spans="1:3" ht="12.75">
      <c r="A8" t="s">
        <v>94</v>
      </c>
      <c r="B8" s="18">
        <v>120</v>
      </c>
      <c r="C8" t="s">
        <v>95</v>
      </c>
    </row>
    <row r="9" spans="1:3" ht="12.75">
      <c r="A9" t="s">
        <v>96</v>
      </c>
      <c r="B9" s="18">
        <v>60</v>
      </c>
      <c r="C9" t="s">
        <v>95</v>
      </c>
    </row>
    <row r="10" spans="1:3" ht="12.75">
      <c r="A10" t="s">
        <v>97</v>
      </c>
      <c r="B10" s="18">
        <v>80</v>
      </c>
      <c r="C10" t="s">
        <v>95</v>
      </c>
    </row>
    <row r="12" spans="1:3" ht="20.25">
      <c r="A12" s="21" t="s">
        <v>254</v>
      </c>
      <c r="B12" s="21"/>
      <c r="C12" s="163">
        <f>SUM(B19,B41,B74,B105,B136,E172)</f>
        <v>109069.73555421823</v>
      </c>
    </row>
    <row r="14" ht="13.5" thickBot="1"/>
    <row r="15" spans="1:10" ht="12.75">
      <c r="A15" s="131" t="s">
        <v>99</v>
      </c>
      <c r="B15" s="132"/>
      <c r="C15" s="132"/>
      <c r="D15" s="132"/>
      <c r="E15" s="132"/>
      <c r="F15" s="132"/>
      <c r="G15" s="132"/>
      <c r="H15" s="132"/>
      <c r="I15" s="132"/>
      <c r="J15" s="133"/>
    </row>
    <row r="16" spans="1:10" ht="12.75">
      <c r="A16" s="134" t="s">
        <v>183</v>
      </c>
      <c r="B16" s="159">
        <f>E41+E74+E105+E136</f>
        <v>0</v>
      </c>
      <c r="C16" s="24"/>
      <c r="D16" s="24"/>
      <c r="E16" s="24"/>
      <c r="F16" s="24"/>
      <c r="G16" s="24"/>
      <c r="H16" s="24"/>
      <c r="I16" s="24"/>
      <c r="J16" s="136"/>
    </row>
    <row r="17" spans="1:10" ht="12.75">
      <c r="A17" s="134" t="s">
        <v>187</v>
      </c>
      <c r="B17" s="159">
        <f>10*(B93+B58+B119+B153)</f>
        <v>11541.122592369706</v>
      </c>
      <c r="C17" s="24" t="s">
        <v>224</v>
      </c>
      <c r="D17" s="24"/>
      <c r="E17" s="24"/>
      <c r="F17" s="24"/>
      <c r="G17" s="24"/>
      <c r="H17" s="24"/>
      <c r="I17" s="24"/>
      <c r="J17" s="136"/>
    </row>
    <row r="18" spans="1:10" ht="12.75">
      <c r="A18" s="134" t="s">
        <v>229</v>
      </c>
      <c r="B18" s="160">
        <f>E174</f>
        <v>0</v>
      </c>
      <c r="C18" s="24"/>
      <c r="D18" s="24"/>
      <c r="E18" s="24"/>
      <c r="F18" s="24"/>
      <c r="G18" s="24"/>
      <c r="H18" s="24"/>
      <c r="I18" s="24"/>
      <c r="J18" s="136"/>
    </row>
    <row r="19" spans="1:10" ht="18">
      <c r="A19" s="161" t="s">
        <v>100</v>
      </c>
      <c r="B19" s="162">
        <f>SUM(B16:B18)</f>
        <v>11541.122592369706</v>
      </c>
      <c r="C19" s="24"/>
      <c r="D19" s="24"/>
      <c r="E19" s="24"/>
      <c r="F19" s="24"/>
      <c r="G19" s="24"/>
      <c r="H19" s="24"/>
      <c r="I19" s="24"/>
      <c r="J19" s="136"/>
    </row>
    <row r="20" spans="1:10" ht="12.75">
      <c r="A20" s="161"/>
      <c r="B20" s="159"/>
      <c r="C20" s="24"/>
      <c r="D20" s="24"/>
      <c r="E20" s="24"/>
      <c r="F20" s="24"/>
      <c r="G20" s="24"/>
      <c r="H20" s="24"/>
      <c r="I20" s="24"/>
      <c r="J20" s="136"/>
    </row>
    <row r="21" spans="1:10" ht="12.75">
      <c r="A21" s="141"/>
      <c r="B21" s="159"/>
      <c r="C21" s="24"/>
      <c r="D21" s="24"/>
      <c r="E21" s="24"/>
      <c r="F21" s="24"/>
      <c r="G21" s="24"/>
      <c r="H21" s="24"/>
      <c r="I21" s="24"/>
      <c r="J21" s="136"/>
    </row>
    <row r="22" spans="1:10" ht="12.75">
      <c r="A22" s="152" t="s">
        <v>226</v>
      </c>
      <c r="B22" s="159"/>
      <c r="C22" s="24" t="s">
        <v>227</v>
      </c>
      <c r="D22" s="24"/>
      <c r="E22" s="24"/>
      <c r="F22" s="24"/>
      <c r="G22" s="24"/>
      <c r="H22" s="24"/>
      <c r="I22" s="24"/>
      <c r="J22" s="136"/>
    </row>
    <row r="23" spans="1:10" ht="12.75">
      <c r="A23" s="152" t="s">
        <v>169</v>
      </c>
      <c r="B23" s="159"/>
      <c r="C23" s="24"/>
      <c r="D23" s="24"/>
      <c r="E23" s="24"/>
      <c r="F23" s="24"/>
      <c r="G23" s="24"/>
      <c r="H23" s="24"/>
      <c r="I23" s="24"/>
      <c r="J23" s="136"/>
    </row>
    <row r="24" spans="1:10" ht="13.5" thickBot="1">
      <c r="A24" s="138" t="s">
        <v>170</v>
      </c>
      <c r="B24" s="23"/>
      <c r="C24" s="23"/>
      <c r="D24" s="23"/>
      <c r="E24" s="23"/>
      <c r="F24" s="23"/>
      <c r="G24" s="23"/>
      <c r="H24" s="23"/>
      <c r="I24" s="23"/>
      <c r="J24" s="140"/>
    </row>
    <row r="26" ht="12.75">
      <c r="A26" s="1" t="s">
        <v>108</v>
      </c>
    </row>
    <row r="27" ht="12.75">
      <c r="A27" s="1"/>
    </row>
    <row r="28" spans="1:2" ht="12.75">
      <c r="A28" t="s">
        <v>141</v>
      </c>
      <c r="B28" s="17">
        <v>0</v>
      </c>
    </row>
    <row r="29" ht="12.75">
      <c r="A29" s="1"/>
    </row>
    <row r="30" spans="1:2" ht="12.75">
      <c r="A30" s="1"/>
      <c r="B30" s="20"/>
    </row>
    <row r="31" spans="1:2" ht="12.75">
      <c r="A31" s="8" t="s">
        <v>106</v>
      </c>
      <c r="B31">
        <f>SUM(B27:B30)</f>
        <v>0</v>
      </c>
    </row>
    <row r="32" ht="12.75">
      <c r="A32" s="1"/>
    </row>
    <row r="33" ht="13.5" thickBot="1">
      <c r="A33" s="1"/>
    </row>
    <row r="34" spans="1:11" ht="12.75">
      <c r="A34" s="131" t="s">
        <v>194</v>
      </c>
      <c r="B34" s="132"/>
      <c r="C34" s="132"/>
      <c r="D34" s="132"/>
      <c r="E34" s="132"/>
      <c r="F34" s="132"/>
      <c r="G34" s="132"/>
      <c r="H34" s="132"/>
      <c r="I34" s="132"/>
      <c r="J34" s="132"/>
      <c r="K34" s="133"/>
    </row>
    <row r="35" spans="1:11" ht="12.75">
      <c r="A35" s="134"/>
      <c r="B35" s="24"/>
      <c r="C35" s="24"/>
      <c r="D35" s="24"/>
      <c r="E35" s="24"/>
      <c r="F35" s="24"/>
      <c r="G35" s="24"/>
      <c r="H35" s="24"/>
      <c r="I35" s="24"/>
      <c r="J35" s="24"/>
      <c r="K35" s="136"/>
    </row>
    <row r="36" spans="1:11" ht="12.75">
      <c r="A36" s="141" t="s">
        <v>211</v>
      </c>
      <c r="B36" s="24"/>
      <c r="C36" s="24"/>
      <c r="D36" s="24"/>
      <c r="E36" s="24"/>
      <c r="F36" s="24"/>
      <c r="G36" s="24"/>
      <c r="H36" s="24"/>
      <c r="I36" s="24"/>
      <c r="J36" s="24"/>
      <c r="K36" s="136"/>
    </row>
    <row r="37" spans="1:11" ht="12.75">
      <c r="A37" s="134" t="s">
        <v>158</v>
      </c>
      <c r="B37" s="142">
        <v>200</v>
      </c>
      <c r="C37" s="24" t="s">
        <v>91</v>
      </c>
      <c r="D37" s="24"/>
      <c r="E37" s="24"/>
      <c r="F37" s="24"/>
      <c r="G37" s="24"/>
      <c r="H37" s="24"/>
      <c r="I37" s="24"/>
      <c r="J37" s="24"/>
      <c r="K37" s="136"/>
    </row>
    <row r="38" spans="1:11" ht="25.5">
      <c r="A38" s="143" t="s">
        <v>159</v>
      </c>
      <c r="B38" s="142">
        <v>50</v>
      </c>
      <c r="C38" s="24" t="s">
        <v>180</v>
      </c>
      <c r="D38" s="24"/>
      <c r="E38" s="24"/>
      <c r="F38" s="24"/>
      <c r="G38" s="24"/>
      <c r="H38" s="24"/>
      <c r="I38" s="24"/>
      <c r="J38" s="24"/>
      <c r="K38" s="136"/>
    </row>
    <row r="39" spans="1:11" ht="12.75">
      <c r="A39" s="134" t="s">
        <v>179</v>
      </c>
      <c r="B39" s="24">
        <v>18</v>
      </c>
      <c r="C39" s="24"/>
      <c r="D39" s="24"/>
      <c r="E39" s="24"/>
      <c r="F39" s="24"/>
      <c r="G39" s="24"/>
      <c r="H39" s="24"/>
      <c r="I39" s="24"/>
      <c r="J39" s="24"/>
      <c r="K39" s="136"/>
    </row>
    <row r="40" spans="1:11" ht="12.75">
      <c r="A40" s="143" t="s">
        <v>174</v>
      </c>
      <c r="B40" s="145">
        <f>B58</f>
        <v>277.0427643026725</v>
      </c>
      <c r="C40" s="24"/>
      <c r="D40" s="24"/>
      <c r="E40" s="145"/>
      <c r="F40" s="24"/>
      <c r="G40" s="24"/>
      <c r="H40" s="24"/>
      <c r="I40" s="24"/>
      <c r="J40" s="24"/>
      <c r="K40" s="136"/>
    </row>
    <row r="41" spans="1:11" ht="18">
      <c r="A41" s="134" t="s">
        <v>181</v>
      </c>
      <c r="B41" s="153">
        <f>B40*B38+B37*B39</f>
        <v>17452.138215133622</v>
      </c>
      <c r="C41" s="24"/>
      <c r="D41" s="24"/>
      <c r="E41" s="146"/>
      <c r="F41" s="24"/>
      <c r="G41" s="24"/>
      <c r="H41" s="24"/>
      <c r="I41" s="24"/>
      <c r="J41" s="24"/>
      <c r="K41" s="136"/>
    </row>
    <row r="42" spans="1:11" ht="12.75">
      <c r="A42" s="143"/>
      <c r="B42" s="146"/>
      <c r="C42" s="24"/>
      <c r="D42" s="24"/>
      <c r="E42" s="24"/>
      <c r="F42" s="24"/>
      <c r="G42" s="24"/>
      <c r="H42" s="24"/>
      <c r="I42" s="24"/>
      <c r="J42" s="24"/>
      <c r="K42" s="136"/>
    </row>
    <row r="43" spans="1:11" ht="12.75">
      <c r="A43" s="141" t="s">
        <v>182</v>
      </c>
      <c r="B43" s="146"/>
      <c r="C43" s="24"/>
      <c r="D43" s="24"/>
      <c r="E43" s="24"/>
      <c r="F43" s="24"/>
      <c r="G43" s="24"/>
      <c r="H43" s="24"/>
      <c r="I43" s="24"/>
      <c r="J43" s="24"/>
      <c r="K43" s="136"/>
    </row>
    <row r="44" spans="1:11" ht="12.75">
      <c r="A44" s="134" t="s">
        <v>166</v>
      </c>
      <c r="B44" s="24">
        <v>12</v>
      </c>
      <c r="C44" s="24" t="s">
        <v>171</v>
      </c>
      <c r="D44" s="24"/>
      <c r="E44" s="24"/>
      <c r="F44" s="24"/>
      <c r="G44" s="24"/>
      <c r="H44" s="24"/>
      <c r="I44" s="24"/>
      <c r="J44" s="24"/>
      <c r="K44" s="136"/>
    </row>
    <row r="45" spans="1:11" ht="12.75">
      <c r="A45" s="134" t="s">
        <v>195</v>
      </c>
      <c r="B45" s="24">
        <v>11</v>
      </c>
      <c r="C45" s="24" t="s">
        <v>171</v>
      </c>
      <c r="D45" s="24"/>
      <c r="E45" s="24"/>
      <c r="F45" s="24"/>
      <c r="G45" s="24"/>
      <c r="H45" s="24"/>
      <c r="I45" s="24"/>
      <c r="J45" s="24"/>
      <c r="K45" s="136"/>
    </row>
    <row r="46" spans="1:11" ht="12.75">
      <c r="A46" s="134" t="s">
        <v>196</v>
      </c>
      <c r="B46" s="24">
        <v>7</v>
      </c>
      <c r="C46" s="24" t="s">
        <v>171</v>
      </c>
      <c r="D46" s="24"/>
      <c r="E46" s="24"/>
      <c r="F46" s="24"/>
      <c r="G46" s="24"/>
      <c r="H46" s="24"/>
      <c r="I46" s="24"/>
      <c r="J46" s="24"/>
      <c r="K46" s="136"/>
    </row>
    <row r="47" spans="1:11" ht="25.5">
      <c r="A47" s="134" t="s">
        <v>160</v>
      </c>
      <c r="B47" s="147" t="s">
        <v>172</v>
      </c>
      <c r="C47" s="147" t="s">
        <v>197</v>
      </c>
      <c r="D47" s="147" t="s">
        <v>198</v>
      </c>
      <c r="E47" s="147"/>
      <c r="F47" s="24"/>
      <c r="G47" s="24"/>
      <c r="H47" s="24"/>
      <c r="I47" s="24"/>
      <c r="J47" s="24"/>
      <c r="K47" s="136"/>
    </row>
    <row r="48" spans="1:11" ht="12.75">
      <c r="A48" s="134"/>
      <c r="B48" s="148" t="s">
        <v>164</v>
      </c>
      <c r="C48" s="135" t="s">
        <v>165</v>
      </c>
      <c r="D48" s="135" t="s">
        <v>165</v>
      </c>
      <c r="E48" s="135"/>
      <c r="F48" s="24"/>
      <c r="G48" s="24"/>
      <c r="H48" s="24"/>
      <c r="I48" s="24"/>
      <c r="J48" s="24"/>
      <c r="K48" s="136"/>
    </row>
    <row r="49" spans="1:11" ht="12.75">
      <c r="A49" s="143" t="s">
        <v>199</v>
      </c>
      <c r="B49" s="149">
        <v>3</v>
      </c>
      <c r="C49" s="149">
        <f>B45</f>
        <v>11</v>
      </c>
      <c r="D49" s="150">
        <f>C49+B$45*PI()/18</f>
        <v>12.919862177193762</v>
      </c>
      <c r="E49" s="150"/>
      <c r="F49" s="24"/>
      <c r="G49" s="24"/>
      <c r="H49" s="24"/>
      <c r="I49" s="24"/>
      <c r="J49" s="24"/>
      <c r="K49" s="136"/>
    </row>
    <row r="50" spans="1:11" ht="12.75">
      <c r="A50" s="143" t="s">
        <v>200</v>
      </c>
      <c r="B50" s="149">
        <v>3</v>
      </c>
      <c r="C50" s="149">
        <f>B46</f>
        <v>7</v>
      </c>
      <c r="D50" s="150">
        <f>C50+B$45*PI()/18</f>
        <v>8.919862177193762</v>
      </c>
      <c r="E50" s="150"/>
      <c r="F50" s="24"/>
      <c r="G50" s="24"/>
      <c r="H50" s="24"/>
      <c r="I50" s="24"/>
      <c r="J50" s="24"/>
      <c r="K50" s="136"/>
    </row>
    <row r="51" spans="1:11" ht="12.75">
      <c r="A51" s="143" t="s">
        <v>201</v>
      </c>
      <c r="B51" s="149">
        <v>3</v>
      </c>
      <c r="C51" s="149">
        <f>B45</f>
        <v>11</v>
      </c>
      <c r="D51" s="150">
        <f>C51+B$45*PI()/6</f>
        <v>16.759586531581288</v>
      </c>
      <c r="E51" s="150"/>
      <c r="F51" s="24"/>
      <c r="G51" s="24"/>
      <c r="H51" s="24"/>
      <c r="I51" s="24"/>
      <c r="J51" s="24"/>
      <c r="K51" s="136"/>
    </row>
    <row r="52" spans="1:11" ht="12.75">
      <c r="A52" s="143" t="s">
        <v>202</v>
      </c>
      <c r="B52" s="149">
        <v>3</v>
      </c>
      <c r="C52" s="149">
        <f>B46</f>
        <v>7</v>
      </c>
      <c r="D52" s="150">
        <f>C52+B$45*PI()/6</f>
        <v>12.759586531581288</v>
      </c>
      <c r="E52" s="150"/>
      <c r="F52" s="24"/>
      <c r="G52" s="24"/>
      <c r="H52" s="24"/>
      <c r="I52" s="24"/>
      <c r="J52" s="24"/>
      <c r="K52" s="136"/>
    </row>
    <row r="53" spans="1:11" ht="12.75">
      <c r="A53" s="143" t="s">
        <v>203</v>
      </c>
      <c r="B53" s="149">
        <v>3</v>
      </c>
      <c r="C53" s="149">
        <f>B45</f>
        <v>11</v>
      </c>
      <c r="D53" s="150">
        <f>C53+B$45*PI()/3</f>
        <v>22.519173063162576</v>
      </c>
      <c r="E53" s="150"/>
      <c r="F53" s="24"/>
      <c r="G53" s="24"/>
      <c r="H53" s="24"/>
      <c r="I53" s="24"/>
      <c r="J53" s="24"/>
      <c r="K53" s="136"/>
    </row>
    <row r="54" spans="1:11" ht="12.75">
      <c r="A54" s="143" t="s">
        <v>204</v>
      </c>
      <c r="B54" s="149">
        <v>3</v>
      </c>
      <c r="C54" s="149">
        <f>B46</f>
        <v>7</v>
      </c>
      <c r="D54" s="150">
        <f>C54+B$45*PI()/3</f>
        <v>18.519173063162576</v>
      </c>
      <c r="E54" s="150"/>
      <c r="F54" s="24"/>
      <c r="G54" s="24"/>
      <c r="H54" s="24"/>
      <c r="I54" s="24"/>
      <c r="J54" s="24"/>
      <c r="K54" s="136"/>
    </row>
    <row r="55" spans="1:11" ht="12.75">
      <c r="A55" s="134" t="s">
        <v>176</v>
      </c>
      <c r="B55" s="24"/>
      <c r="C55" s="24"/>
      <c r="D55" s="150">
        <f>SUM(D49:D53)</f>
        <v>73.87807048071267</v>
      </c>
      <c r="E55" s="150"/>
      <c r="F55" s="24"/>
      <c r="G55" s="24"/>
      <c r="H55" s="24"/>
      <c r="I55" s="24"/>
      <c r="J55" s="24"/>
      <c r="K55" s="136"/>
    </row>
    <row r="56" spans="1:11" ht="12.75">
      <c r="A56" s="134" t="s">
        <v>175</v>
      </c>
      <c r="B56" s="145">
        <f>3*(D55+E55)</f>
        <v>221.634211442138</v>
      </c>
      <c r="C56" s="24" t="s">
        <v>171</v>
      </c>
      <c r="D56" s="24"/>
      <c r="E56" s="24"/>
      <c r="F56" s="24"/>
      <c r="G56" s="24"/>
      <c r="H56" s="24"/>
      <c r="I56" s="24"/>
      <c r="J56" s="24"/>
      <c r="K56" s="136"/>
    </row>
    <row r="57" spans="1:11" ht="12.75">
      <c r="A57" s="134" t="s">
        <v>205</v>
      </c>
      <c r="B57" s="145">
        <f>0.25*B56</f>
        <v>55.4085528605345</v>
      </c>
      <c r="C57" s="24"/>
      <c r="D57" s="24"/>
      <c r="E57" s="24"/>
      <c r="F57" s="24"/>
      <c r="G57" s="24"/>
      <c r="H57" s="24"/>
      <c r="I57" s="24"/>
      <c r="J57" s="24"/>
      <c r="K57" s="136"/>
    </row>
    <row r="58" spans="1:11" ht="12.75">
      <c r="A58" s="134" t="s">
        <v>177</v>
      </c>
      <c r="B58" s="151">
        <f>B57+B56</f>
        <v>277.0427643026725</v>
      </c>
      <c r="C58" s="24" t="s">
        <v>171</v>
      </c>
      <c r="D58" s="24"/>
      <c r="E58" s="24"/>
      <c r="F58" s="24"/>
      <c r="G58" s="24"/>
      <c r="H58" s="24"/>
      <c r="I58" s="24"/>
      <c r="J58" s="24"/>
      <c r="K58" s="136"/>
    </row>
    <row r="59" spans="1:11" ht="12.75">
      <c r="A59" s="152" t="s">
        <v>178</v>
      </c>
      <c r="B59" s="145">
        <f>B58/B39</f>
        <v>15.391264683481804</v>
      </c>
      <c r="C59" s="24" t="s">
        <v>171</v>
      </c>
      <c r="D59" s="24"/>
      <c r="E59" s="24"/>
      <c r="F59" s="24"/>
      <c r="G59" s="24"/>
      <c r="H59" s="24"/>
      <c r="I59" s="24"/>
      <c r="J59" s="24"/>
      <c r="K59" s="136"/>
    </row>
    <row r="60" spans="1:11" ht="12.75">
      <c r="A60" s="141"/>
      <c r="B60" s="24"/>
      <c r="C60" s="24"/>
      <c r="D60" s="24"/>
      <c r="E60" s="24"/>
      <c r="F60" s="24"/>
      <c r="G60" s="24"/>
      <c r="H60" s="24"/>
      <c r="I60" s="24"/>
      <c r="J60" s="24"/>
      <c r="K60" s="136"/>
    </row>
    <row r="61" spans="1:11" ht="13.5" thickBot="1">
      <c r="A61" s="158"/>
      <c r="B61" s="23"/>
      <c r="C61" s="23"/>
      <c r="D61" s="23"/>
      <c r="E61" s="23"/>
      <c r="F61" s="23"/>
      <c r="G61" s="23"/>
      <c r="H61" s="23"/>
      <c r="I61" s="23"/>
      <c r="J61" s="23"/>
      <c r="K61" s="140"/>
    </row>
    <row r="62" ht="12.75">
      <c r="A62" s="1"/>
    </row>
    <row r="63" ht="12.75">
      <c r="A63" s="1"/>
    </row>
    <row r="64" ht="12.75">
      <c r="A64" s="1"/>
    </row>
    <row r="65" ht="12.75">
      <c r="A65" s="1"/>
    </row>
    <row r="66" ht="13.5" thickBot="1">
      <c r="A66" s="1"/>
    </row>
    <row r="67" spans="1:13" ht="12.75">
      <c r="A67" s="131" t="s">
        <v>206</v>
      </c>
      <c r="B67" s="132"/>
      <c r="C67" s="132"/>
      <c r="D67" s="132"/>
      <c r="E67" s="132"/>
      <c r="F67" s="132"/>
      <c r="G67" s="132"/>
      <c r="H67" s="132"/>
      <c r="I67" s="132"/>
      <c r="J67" s="132"/>
      <c r="K67" s="132"/>
      <c r="L67" s="132"/>
      <c r="M67" s="133"/>
    </row>
    <row r="68" spans="1:13" ht="12.75">
      <c r="A68" s="134"/>
      <c r="B68" s="24"/>
      <c r="C68" s="24"/>
      <c r="D68" s="24"/>
      <c r="E68" s="24"/>
      <c r="F68" s="24"/>
      <c r="G68" s="24"/>
      <c r="H68" s="24"/>
      <c r="I68" s="24"/>
      <c r="J68" s="24"/>
      <c r="K68" s="24"/>
      <c r="L68" s="24"/>
      <c r="M68" s="136"/>
    </row>
    <row r="69" spans="1:13" ht="12.75">
      <c r="A69" s="141" t="s">
        <v>210</v>
      </c>
      <c r="B69" s="24"/>
      <c r="C69" s="24"/>
      <c r="D69" s="24"/>
      <c r="E69" s="24"/>
      <c r="F69" s="24"/>
      <c r="G69" s="24"/>
      <c r="H69" s="24"/>
      <c r="I69" s="24"/>
      <c r="J69" s="24"/>
      <c r="K69" s="24"/>
      <c r="L69" s="24"/>
      <c r="M69" s="136"/>
    </row>
    <row r="70" spans="1:13" ht="12.75">
      <c r="A70" s="134" t="s">
        <v>158</v>
      </c>
      <c r="B70" s="142">
        <v>200</v>
      </c>
      <c r="C70" s="24" t="s">
        <v>91</v>
      </c>
      <c r="D70" s="24"/>
      <c r="E70" s="24"/>
      <c r="F70" s="24"/>
      <c r="G70" s="24"/>
      <c r="H70" s="24"/>
      <c r="I70" s="24"/>
      <c r="J70" s="24"/>
      <c r="K70" s="24"/>
      <c r="L70" s="24"/>
      <c r="M70" s="136"/>
    </row>
    <row r="71" spans="1:13" ht="25.5">
      <c r="A71" s="143" t="s">
        <v>159</v>
      </c>
      <c r="B71" s="142">
        <v>50</v>
      </c>
      <c r="C71" s="24" t="s">
        <v>180</v>
      </c>
      <c r="D71" s="24"/>
      <c r="E71" s="24"/>
      <c r="F71" s="24"/>
      <c r="G71" s="24"/>
      <c r="H71" s="24"/>
      <c r="I71" s="24"/>
      <c r="J71" s="24"/>
      <c r="K71" s="24"/>
      <c r="L71" s="24"/>
      <c r="M71" s="136"/>
    </row>
    <row r="72" spans="1:13" ht="12.75">
      <c r="A72" s="134" t="s">
        <v>179</v>
      </c>
      <c r="B72" s="24">
        <v>10</v>
      </c>
      <c r="C72" s="24"/>
      <c r="D72" s="24"/>
      <c r="E72" s="24"/>
      <c r="F72" s="24"/>
      <c r="G72" s="24"/>
      <c r="H72" s="24"/>
      <c r="I72" s="24"/>
      <c r="J72" s="24"/>
      <c r="K72" s="24"/>
      <c r="L72" s="24"/>
      <c r="M72" s="136"/>
    </row>
    <row r="73" spans="1:13" ht="12.75">
      <c r="A73" s="143" t="s">
        <v>174</v>
      </c>
      <c r="B73" s="145">
        <f>B93</f>
        <v>226.085</v>
      </c>
      <c r="C73" s="24"/>
      <c r="D73" s="24"/>
      <c r="E73" s="145"/>
      <c r="F73" s="24"/>
      <c r="G73" s="24"/>
      <c r="H73" s="24"/>
      <c r="I73" s="24"/>
      <c r="J73" s="24"/>
      <c r="K73" s="24"/>
      <c r="L73" s="24"/>
      <c r="M73" s="136"/>
    </row>
    <row r="74" spans="1:13" ht="18">
      <c r="A74" s="134" t="s">
        <v>181</v>
      </c>
      <c r="B74" s="153">
        <f>B73*B71+B70*B72</f>
        <v>13304.25</v>
      </c>
      <c r="C74" s="24"/>
      <c r="D74" s="24"/>
      <c r="E74" s="146"/>
      <c r="F74" s="24"/>
      <c r="G74" s="24"/>
      <c r="H74" s="24"/>
      <c r="I74" s="24"/>
      <c r="J74" s="24"/>
      <c r="K74" s="24"/>
      <c r="L74" s="24"/>
      <c r="M74" s="136"/>
    </row>
    <row r="75" spans="1:13" ht="12.75">
      <c r="A75" s="134"/>
      <c r="B75" s="146"/>
      <c r="C75" s="24"/>
      <c r="D75" s="24"/>
      <c r="E75" s="24"/>
      <c r="F75" s="24"/>
      <c r="G75" s="24"/>
      <c r="H75" s="24"/>
      <c r="I75" s="24"/>
      <c r="J75" s="24"/>
      <c r="K75" s="24"/>
      <c r="L75" s="24"/>
      <c r="M75" s="136"/>
    </row>
    <row r="76" spans="1:13" ht="12.75">
      <c r="A76" s="141" t="s">
        <v>182</v>
      </c>
      <c r="B76" s="146"/>
      <c r="C76" s="24"/>
      <c r="D76" s="24"/>
      <c r="E76" s="24"/>
      <c r="F76" s="24"/>
      <c r="G76" s="24"/>
      <c r="H76" s="24"/>
      <c r="I76" s="24"/>
      <c r="J76" s="24"/>
      <c r="K76" s="24"/>
      <c r="L76" s="24"/>
      <c r="M76" s="136"/>
    </row>
    <row r="77" spans="1:13" ht="12.75">
      <c r="A77" s="134" t="s">
        <v>166</v>
      </c>
      <c r="B77" s="24">
        <v>10</v>
      </c>
      <c r="C77" s="24" t="s">
        <v>171</v>
      </c>
      <c r="D77" s="24"/>
      <c r="E77" s="24"/>
      <c r="F77" s="24"/>
      <c r="G77" s="24"/>
      <c r="H77" s="24"/>
      <c r="I77" s="24"/>
      <c r="J77" s="24"/>
      <c r="K77" s="24"/>
      <c r="L77" s="24"/>
      <c r="M77" s="136"/>
    </row>
    <row r="78" spans="1:13" ht="12.75">
      <c r="A78" s="134" t="s">
        <v>167</v>
      </c>
      <c r="B78" s="24">
        <v>12</v>
      </c>
      <c r="C78" s="24" t="s">
        <v>171</v>
      </c>
      <c r="D78" s="24"/>
      <c r="E78" s="24"/>
      <c r="F78" s="24"/>
      <c r="G78" s="24"/>
      <c r="H78" s="24"/>
      <c r="I78" s="24"/>
      <c r="J78" s="24"/>
      <c r="K78" s="24"/>
      <c r="L78" s="24"/>
      <c r="M78" s="136"/>
    </row>
    <row r="79" spans="1:13" ht="12.75">
      <c r="A79" s="134" t="s">
        <v>168</v>
      </c>
      <c r="B79" s="24">
        <v>0</v>
      </c>
      <c r="C79" s="24" t="s">
        <v>171</v>
      </c>
      <c r="D79" s="24"/>
      <c r="E79" s="24"/>
      <c r="F79" s="24"/>
      <c r="G79" s="24"/>
      <c r="H79" s="24"/>
      <c r="I79" s="24"/>
      <c r="J79" s="24"/>
      <c r="K79" s="24"/>
      <c r="L79" s="24"/>
      <c r="M79" s="136"/>
    </row>
    <row r="80" spans="1:13" ht="25.5">
      <c r="A80" s="134" t="s">
        <v>160</v>
      </c>
      <c r="B80" s="147" t="s">
        <v>172</v>
      </c>
      <c r="C80" s="147" t="s">
        <v>173</v>
      </c>
      <c r="D80" s="147" t="s">
        <v>161</v>
      </c>
      <c r="E80" s="147" t="s">
        <v>162</v>
      </c>
      <c r="F80" s="24"/>
      <c r="G80" s="24"/>
      <c r="H80" s="24"/>
      <c r="I80" s="24"/>
      <c r="J80" s="24"/>
      <c r="K80" s="24"/>
      <c r="L80" s="24"/>
      <c r="M80" s="136"/>
    </row>
    <row r="81" spans="1:13" ht="12.75">
      <c r="A81" s="134"/>
      <c r="B81" s="148" t="s">
        <v>164</v>
      </c>
      <c r="C81" s="135" t="s">
        <v>164</v>
      </c>
      <c r="D81" s="135" t="s">
        <v>165</v>
      </c>
      <c r="E81" s="135" t="s">
        <v>165</v>
      </c>
      <c r="F81" s="24"/>
      <c r="G81" s="24"/>
      <c r="H81" s="24"/>
      <c r="I81" s="24"/>
      <c r="J81" s="24"/>
      <c r="K81" s="24"/>
      <c r="L81" s="24"/>
      <c r="M81" s="136"/>
    </row>
    <row r="82" spans="1:13" ht="12.75">
      <c r="A82" s="134" t="s">
        <v>188</v>
      </c>
      <c r="B82" s="24"/>
      <c r="C82" s="24"/>
      <c r="D82" s="24"/>
      <c r="E82" s="24"/>
      <c r="F82" s="24"/>
      <c r="G82" s="24"/>
      <c r="H82" s="24"/>
      <c r="I82" s="24"/>
      <c r="J82" s="24"/>
      <c r="K82" s="24"/>
      <c r="L82" s="24"/>
      <c r="M82" s="136"/>
    </row>
    <row r="83" spans="1:13" ht="12.75">
      <c r="A83" s="157" t="s">
        <v>163</v>
      </c>
      <c r="B83" s="149">
        <v>0</v>
      </c>
      <c r="C83" s="149">
        <v>1.3</v>
      </c>
      <c r="D83" s="150">
        <f>(B$78-C83*39.37/12)+(B$77-B$83*39.37/12)+B$78</f>
        <v>29.734916666666667</v>
      </c>
      <c r="E83" s="150">
        <f>C83*39.37/12+B$77-B$83*39.37/12</f>
        <v>14.265083333333333</v>
      </c>
      <c r="F83" s="24"/>
      <c r="G83" s="24"/>
      <c r="H83" s="24"/>
      <c r="I83" s="24"/>
      <c r="J83" s="24"/>
      <c r="K83" s="24"/>
      <c r="L83" s="24"/>
      <c r="M83" s="136"/>
    </row>
    <row r="84" spans="1:13" ht="12.75">
      <c r="A84" s="134" t="s">
        <v>145</v>
      </c>
      <c r="B84" s="149">
        <v>0</v>
      </c>
      <c r="C84" s="149">
        <v>1.3</v>
      </c>
      <c r="D84" s="150">
        <f>(B$78-C84*39.37/12)+(B$77-B$83*39.37/12)+B$78</f>
        <v>29.734916666666667</v>
      </c>
      <c r="E84" s="150">
        <f>C84*39.37/12+B$77-B$83*39.37/12</f>
        <v>14.265083333333333</v>
      </c>
      <c r="F84" s="24"/>
      <c r="G84" s="24"/>
      <c r="H84" s="24"/>
      <c r="I84" s="24"/>
      <c r="J84" s="24"/>
      <c r="K84" s="24"/>
      <c r="L84" s="24"/>
      <c r="M84" s="136"/>
    </row>
    <row r="85" spans="1:13" ht="12.75">
      <c r="A85" s="134" t="s">
        <v>146</v>
      </c>
      <c r="B85" s="149">
        <f>0.59+0.1</f>
        <v>0.69</v>
      </c>
      <c r="C85" s="149">
        <v>1.6</v>
      </c>
      <c r="D85" s="150">
        <f>(B$78-C85*39.37/12)+(B$77-B$83*39.37/12)+B$78</f>
        <v>28.750666666666667</v>
      </c>
      <c r="E85" s="150">
        <f>C85*39.37/12+B$77-B$83*39.37/12</f>
        <v>15.249333333333333</v>
      </c>
      <c r="F85" s="24"/>
      <c r="G85" s="24"/>
      <c r="H85" s="24"/>
      <c r="I85" s="24"/>
      <c r="J85" s="24"/>
      <c r="K85" s="24"/>
      <c r="L85" s="24"/>
      <c r="M85" s="136"/>
    </row>
    <row r="86" spans="1:13" ht="12.75">
      <c r="A86" s="134" t="s">
        <v>147</v>
      </c>
      <c r="B86" s="149">
        <f>2.13+0.1</f>
        <v>2.23</v>
      </c>
      <c r="C86" s="149">
        <v>1.5</v>
      </c>
      <c r="D86" s="150">
        <f>(C86*39.37/12)+(B$77-B$83*39.37/12)</f>
        <v>14.92125</v>
      </c>
      <c r="E86" s="150">
        <f>C86*39.37/12+B$77-B$83*39.37/12</f>
        <v>14.92125</v>
      </c>
      <c r="F86" s="24"/>
      <c r="G86" s="24"/>
      <c r="H86" s="24"/>
      <c r="I86" s="24"/>
      <c r="J86" s="24"/>
      <c r="K86" s="24"/>
      <c r="L86" s="24"/>
      <c r="M86" s="136"/>
    </row>
    <row r="87" spans="1:13" ht="12.75">
      <c r="A87" s="134" t="s">
        <v>148</v>
      </c>
      <c r="B87" s="149">
        <f>2.7+0.1</f>
        <v>2.8000000000000003</v>
      </c>
      <c r="C87" s="149">
        <v>1</v>
      </c>
      <c r="D87" s="150">
        <f>(C87*39.37/12)+(B$77-B$83*39.37/12)</f>
        <v>13.280833333333334</v>
      </c>
      <c r="E87" s="150">
        <f>C87*39.37/12+B$77-B$83*39.37/12</f>
        <v>13.280833333333334</v>
      </c>
      <c r="F87" s="24"/>
      <c r="G87" s="24"/>
      <c r="H87" s="24"/>
      <c r="I87" s="24"/>
      <c r="J87" s="24"/>
      <c r="K87" s="24"/>
      <c r="L87" s="24"/>
      <c r="M87" s="136"/>
    </row>
    <row r="88" spans="1:13" ht="12.75">
      <c r="A88" s="134" t="s">
        <v>193</v>
      </c>
      <c r="B88" s="24"/>
      <c r="C88" s="24"/>
      <c r="D88" s="24"/>
      <c r="E88" s="24"/>
      <c r="F88" s="24"/>
      <c r="G88" s="24"/>
      <c r="H88" s="24"/>
      <c r="I88" s="24"/>
      <c r="J88" s="24"/>
      <c r="K88" s="24"/>
      <c r="L88" s="24"/>
      <c r="M88" s="136"/>
    </row>
    <row r="89" spans="1:13" ht="12.75">
      <c r="A89" s="134" t="s">
        <v>189</v>
      </c>
      <c r="B89" s="24"/>
      <c r="C89" s="24"/>
      <c r="D89" s="24"/>
      <c r="E89" s="24"/>
      <c r="F89" s="24"/>
      <c r="G89" s="24"/>
      <c r="H89" s="24"/>
      <c r="I89" s="24"/>
      <c r="J89" s="24"/>
      <c r="K89" s="24"/>
      <c r="L89" s="24"/>
      <c r="M89" s="136"/>
    </row>
    <row r="90" spans="1:13" ht="12.75">
      <c r="A90" s="134" t="s">
        <v>176</v>
      </c>
      <c r="B90" s="24"/>
      <c r="C90" s="24"/>
      <c r="D90" s="150">
        <f>SUM(D83:D87)</f>
        <v>116.42258333333334</v>
      </c>
      <c r="E90" s="150">
        <f>SUM(E83:E87)</f>
        <v>71.98158333333333</v>
      </c>
      <c r="F90" s="24"/>
      <c r="G90" s="24"/>
      <c r="H90" s="24"/>
      <c r="I90" s="24"/>
      <c r="J90" s="24"/>
      <c r="K90" s="24"/>
      <c r="L90" s="24"/>
      <c r="M90" s="136"/>
    </row>
    <row r="91" spans="1:13" ht="12.75">
      <c r="A91" s="134" t="s">
        <v>175</v>
      </c>
      <c r="B91" s="145">
        <f>D90+E90</f>
        <v>188.40416666666667</v>
      </c>
      <c r="C91" s="24" t="s">
        <v>171</v>
      </c>
      <c r="D91" s="24"/>
      <c r="E91" s="24"/>
      <c r="F91" s="24"/>
      <c r="G91" s="24"/>
      <c r="H91" s="24"/>
      <c r="I91" s="24"/>
      <c r="J91" s="24"/>
      <c r="K91" s="24"/>
      <c r="L91" s="24"/>
      <c r="M91" s="136"/>
    </row>
    <row r="92" spans="1:13" ht="12.75">
      <c r="A92" s="134" t="s">
        <v>186</v>
      </c>
      <c r="B92" s="145">
        <f>0.2*B91</f>
        <v>37.68083333333333</v>
      </c>
      <c r="C92" s="24"/>
      <c r="D92" s="24"/>
      <c r="E92" s="24"/>
      <c r="F92" s="24"/>
      <c r="G92" s="24"/>
      <c r="H92" s="24"/>
      <c r="I92" s="24"/>
      <c r="J92" s="24"/>
      <c r="K92" s="24"/>
      <c r="L92" s="24"/>
      <c r="M92" s="136"/>
    </row>
    <row r="93" spans="1:13" ht="12.75">
      <c r="A93" s="134" t="s">
        <v>177</v>
      </c>
      <c r="B93" s="151">
        <f>B92+B91</f>
        <v>226.085</v>
      </c>
      <c r="C93" s="24" t="s">
        <v>171</v>
      </c>
      <c r="D93" s="24"/>
      <c r="E93" s="24"/>
      <c r="F93" s="24"/>
      <c r="G93" s="24"/>
      <c r="H93" s="24"/>
      <c r="I93" s="24"/>
      <c r="J93" s="24"/>
      <c r="K93" s="24"/>
      <c r="L93" s="24"/>
      <c r="M93" s="136"/>
    </row>
    <row r="94" spans="1:13" ht="12.75">
      <c r="A94" s="152" t="s">
        <v>178</v>
      </c>
      <c r="B94" s="145">
        <f>B93/10</f>
        <v>22.6085</v>
      </c>
      <c r="C94" s="24" t="s">
        <v>171</v>
      </c>
      <c r="D94" s="24"/>
      <c r="E94" s="24"/>
      <c r="F94" s="24"/>
      <c r="G94" s="24"/>
      <c r="H94" s="24"/>
      <c r="I94" s="24"/>
      <c r="J94" s="24"/>
      <c r="K94" s="24"/>
      <c r="L94" s="24"/>
      <c r="M94" s="136"/>
    </row>
    <row r="95" spans="1:13" ht="13.5" thickBot="1">
      <c r="A95" s="138"/>
      <c r="B95" s="23"/>
      <c r="C95" s="23"/>
      <c r="D95" s="23"/>
      <c r="E95" s="23"/>
      <c r="F95" s="23"/>
      <c r="G95" s="23"/>
      <c r="H95" s="23"/>
      <c r="I95" s="23"/>
      <c r="J95" s="23"/>
      <c r="K95" s="23"/>
      <c r="L95" s="23"/>
      <c r="M95" s="140"/>
    </row>
    <row r="97" ht="13.5" thickBot="1">
      <c r="B97" s="16"/>
    </row>
    <row r="98" spans="1:11" ht="12.75">
      <c r="A98" s="131" t="s">
        <v>215</v>
      </c>
      <c r="B98" s="132"/>
      <c r="C98" s="132"/>
      <c r="D98" s="132"/>
      <c r="E98" s="132"/>
      <c r="F98" s="132"/>
      <c r="G98" s="132"/>
      <c r="H98" s="132"/>
      <c r="I98" s="132"/>
      <c r="J98" s="132"/>
      <c r="K98" s="133"/>
    </row>
    <row r="99" spans="1:11" ht="12.75">
      <c r="A99" s="134"/>
      <c r="B99" s="24"/>
      <c r="C99" s="24"/>
      <c r="D99" s="24"/>
      <c r="E99" s="24"/>
      <c r="F99" s="24"/>
      <c r="G99" s="24"/>
      <c r="H99" s="24"/>
      <c r="I99" s="24"/>
      <c r="J99" s="24"/>
      <c r="K99" s="136"/>
    </row>
    <row r="100" spans="1:11" ht="12.75">
      <c r="A100" s="141" t="s">
        <v>216</v>
      </c>
      <c r="B100" s="24"/>
      <c r="C100" s="24"/>
      <c r="D100" s="24"/>
      <c r="E100" s="24"/>
      <c r="F100" s="24"/>
      <c r="G100" s="24"/>
      <c r="H100" s="24"/>
      <c r="I100" s="24"/>
      <c r="J100" s="24"/>
      <c r="K100" s="136"/>
    </row>
    <row r="101" spans="1:11" ht="12.75">
      <c r="A101" s="134" t="s">
        <v>158</v>
      </c>
      <c r="B101" s="142">
        <v>200</v>
      </c>
      <c r="C101" s="24" t="s">
        <v>91</v>
      </c>
      <c r="D101" s="24"/>
      <c r="E101" s="24"/>
      <c r="F101" s="24"/>
      <c r="G101" s="24"/>
      <c r="H101" s="24"/>
      <c r="I101" s="24"/>
      <c r="J101" s="24"/>
      <c r="K101" s="136"/>
    </row>
    <row r="102" spans="1:11" ht="25.5">
      <c r="A102" s="143" t="s">
        <v>159</v>
      </c>
      <c r="B102" s="142">
        <v>50</v>
      </c>
      <c r="C102" s="24" t="s">
        <v>180</v>
      </c>
      <c r="D102" s="24"/>
      <c r="E102" s="24"/>
      <c r="F102" s="24"/>
      <c r="G102" s="24"/>
      <c r="H102" s="24"/>
      <c r="I102" s="24"/>
      <c r="J102" s="24"/>
      <c r="K102" s="136"/>
    </row>
    <row r="103" spans="1:11" ht="18">
      <c r="A103" s="134" t="s">
        <v>179</v>
      </c>
      <c r="B103" s="155">
        <v>2</v>
      </c>
      <c r="C103" s="156"/>
      <c r="D103" s="24"/>
      <c r="E103" s="24"/>
      <c r="F103" s="24"/>
      <c r="G103" s="24"/>
      <c r="H103" s="24"/>
      <c r="I103" s="24"/>
      <c r="J103" s="24"/>
      <c r="K103" s="136"/>
    </row>
    <row r="104" spans="1:11" ht="12.75">
      <c r="A104" s="143" t="s">
        <v>174</v>
      </c>
      <c r="B104" s="145">
        <f>B119</f>
        <v>104.39896632895321</v>
      </c>
      <c r="C104" s="24"/>
      <c r="D104" s="24"/>
      <c r="E104" s="145"/>
      <c r="F104" s="24"/>
      <c r="G104" s="24"/>
      <c r="H104" s="24"/>
      <c r="I104" s="24"/>
      <c r="J104" s="24"/>
      <c r="K104" s="136"/>
    </row>
    <row r="105" spans="1:11" ht="18">
      <c r="A105" s="134" t="s">
        <v>181</v>
      </c>
      <c r="B105" s="153">
        <f>B104*B102+B101*B103</f>
        <v>5619.9483164476605</v>
      </c>
      <c r="C105" s="24"/>
      <c r="D105" s="24"/>
      <c r="E105" s="146"/>
      <c r="F105" s="24"/>
      <c r="G105" s="24"/>
      <c r="H105" s="24"/>
      <c r="I105" s="24"/>
      <c r="J105" s="24"/>
      <c r="K105" s="136"/>
    </row>
    <row r="106" spans="1:11" ht="12.75">
      <c r="A106" s="134"/>
      <c r="B106" s="146"/>
      <c r="C106" s="24"/>
      <c r="D106" s="24"/>
      <c r="E106" s="24"/>
      <c r="F106" s="24"/>
      <c r="G106" s="24"/>
      <c r="H106" s="24"/>
      <c r="I106" s="24"/>
      <c r="J106" s="24"/>
      <c r="K106" s="136"/>
    </row>
    <row r="107" spans="1:11" ht="12.75">
      <c r="A107" s="141" t="s">
        <v>182</v>
      </c>
      <c r="B107" s="146"/>
      <c r="C107" s="24"/>
      <c r="D107" s="24"/>
      <c r="E107" s="24"/>
      <c r="F107" s="24"/>
      <c r="G107" s="24"/>
      <c r="H107" s="24"/>
      <c r="I107" s="24"/>
      <c r="J107" s="24"/>
      <c r="K107" s="136"/>
    </row>
    <row r="108" spans="1:11" ht="12.75">
      <c r="A108" s="134" t="s">
        <v>166</v>
      </c>
      <c r="B108" s="24">
        <v>12</v>
      </c>
      <c r="C108" s="24" t="s">
        <v>171</v>
      </c>
      <c r="D108" s="24"/>
      <c r="E108" s="24"/>
      <c r="F108" s="24"/>
      <c r="G108" s="24"/>
      <c r="H108" s="24"/>
      <c r="I108" s="24"/>
      <c r="J108" s="24"/>
      <c r="K108" s="136"/>
    </row>
    <row r="109" spans="1:11" ht="12.75">
      <c r="A109" s="134" t="s">
        <v>195</v>
      </c>
      <c r="B109" s="24">
        <v>12</v>
      </c>
      <c r="C109" s="24" t="s">
        <v>171</v>
      </c>
      <c r="D109" s="24"/>
      <c r="E109" s="24"/>
      <c r="F109" s="24"/>
      <c r="G109" s="24"/>
      <c r="H109" s="24"/>
      <c r="I109" s="24"/>
      <c r="J109" s="24"/>
      <c r="K109" s="136"/>
    </row>
    <row r="110" spans="1:11" ht="12.75">
      <c r="A110" s="134" t="s">
        <v>196</v>
      </c>
      <c r="B110" s="24">
        <v>6</v>
      </c>
      <c r="C110" s="24" t="s">
        <v>171</v>
      </c>
      <c r="D110" s="24"/>
      <c r="E110" s="24"/>
      <c r="F110" s="24"/>
      <c r="G110" s="24"/>
      <c r="H110" s="24"/>
      <c r="I110" s="24"/>
      <c r="J110" s="24"/>
      <c r="K110" s="136"/>
    </row>
    <row r="111" spans="1:11" ht="25.5">
      <c r="A111" s="134" t="s">
        <v>160</v>
      </c>
      <c r="B111" s="147" t="s">
        <v>172</v>
      </c>
      <c r="C111" s="147" t="s">
        <v>197</v>
      </c>
      <c r="D111" s="147" t="s">
        <v>198</v>
      </c>
      <c r="E111" s="147"/>
      <c r="F111" s="24"/>
      <c r="G111" s="24"/>
      <c r="H111" s="24"/>
      <c r="I111" s="24"/>
      <c r="J111" s="24"/>
      <c r="K111" s="136"/>
    </row>
    <row r="112" spans="1:11" ht="12.75">
      <c r="A112" s="134"/>
      <c r="B112" s="148" t="s">
        <v>164</v>
      </c>
      <c r="C112" s="135" t="s">
        <v>165</v>
      </c>
      <c r="D112" s="135" t="s">
        <v>165</v>
      </c>
      <c r="E112" s="135"/>
      <c r="F112" s="24"/>
      <c r="G112" s="24"/>
      <c r="H112" s="24"/>
      <c r="I112" s="24"/>
      <c r="J112" s="24"/>
      <c r="K112" s="136"/>
    </row>
    <row r="113" spans="1:11" ht="12.75">
      <c r="A113" s="143" t="s">
        <v>228</v>
      </c>
      <c r="B113" s="149">
        <v>3</v>
      </c>
      <c r="C113" s="149">
        <f>B109</f>
        <v>12</v>
      </c>
      <c r="D113" s="150">
        <f>C113+B$45*PI()/18</f>
        <v>13.919862177193762</v>
      </c>
      <c r="E113" s="150"/>
      <c r="F113" s="24"/>
      <c r="G113" s="24"/>
      <c r="H113" s="24"/>
      <c r="I113" s="24"/>
      <c r="J113" s="24"/>
      <c r="K113" s="136"/>
    </row>
    <row r="114" spans="1:11" ht="12.75">
      <c r="A114" s="143"/>
      <c r="B114" s="149"/>
      <c r="C114" s="149"/>
      <c r="D114" s="150"/>
      <c r="E114" s="150"/>
      <c r="F114" s="24"/>
      <c r="G114" s="24"/>
      <c r="H114" s="24"/>
      <c r="I114" s="24"/>
      <c r="J114" s="24"/>
      <c r="K114" s="136"/>
    </row>
    <row r="115" spans="1:11" ht="12.75">
      <c r="A115" s="143"/>
      <c r="B115" s="149"/>
      <c r="C115" s="149"/>
      <c r="D115" s="150"/>
      <c r="E115" s="150"/>
      <c r="F115" s="24"/>
      <c r="G115" s="24"/>
      <c r="H115" s="24"/>
      <c r="I115" s="24"/>
      <c r="J115" s="24"/>
      <c r="K115" s="136"/>
    </row>
    <row r="116" spans="1:11" ht="12.75">
      <c r="A116" s="134" t="s">
        <v>176</v>
      </c>
      <c r="B116" s="24"/>
      <c r="C116" s="24"/>
      <c r="D116" s="150">
        <f>SUM(D113:D115)</f>
        <v>13.919862177193762</v>
      </c>
      <c r="E116" s="150"/>
      <c r="F116" s="24"/>
      <c r="G116" s="24"/>
      <c r="H116" s="24"/>
      <c r="I116" s="24"/>
      <c r="J116" s="24"/>
      <c r="K116" s="136"/>
    </row>
    <row r="117" spans="1:11" ht="12.75">
      <c r="A117" s="134" t="s">
        <v>175</v>
      </c>
      <c r="B117" s="145">
        <f>6*(D116+E119)</f>
        <v>83.51917306316257</v>
      </c>
      <c r="C117" s="24" t="s">
        <v>171</v>
      </c>
      <c r="D117" s="24"/>
      <c r="E117" s="150"/>
      <c r="F117" s="24"/>
      <c r="G117" s="24"/>
      <c r="H117" s="24"/>
      <c r="I117" s="24"/>
      <c r="J117" s="24"/>
      <c r="K117" s="136"/>
    </row>
    <row r="118" spans="1:11" ht="12.75">
      <c r="A118" s="134" t="s">
        <v>205</v>
      </c>
      <c r="B118" s="145">
        <f>0.25*B117</f>
        <v>20.879793265790642</v>
      </c>
      <c r="C118" s="24"/>
      <c r="D118" s="24"/>
      <c r="E118" s="150"/>
      <c r="F118" s="24"/>
      <c r="G118" s="24"/>
      <c r="H118" s="24"/>
      <c r="I118" s="24"/>
      <c r="J118" s="24"/>
      <c r="K118" s="136"/>
    </row>
    <row r="119" spans="1:11" ht="12.75">
      <c r="A119" s="134" t="s">
        <v>177</v>
      </c>
      <c r="B119" s="151">
        <f>B118+B117</f>
        <v>104.39896632895321</v>
      </c>
      <c r="C119" s="24" t="s">
        <v>171</v>
      </c>
      <c r="D119" s="24"/>
      <c r="E119" s="150"/>
      <c r="F119" s="24"/>
      <c r="G119" s="24"/>
      <c r="H119" s="24"/>
      <c r="I119" s="24"/>
      <c r="J119" s="24"/>
      <c r="K119" s="136"/>
    </row>
    <row r="120" spans="1:11" ht="12.75">
      <c r="A120" s="152" t="s">
        <v>178</v>
      </c>
      <c r="B120" s="145">
        <f>B119/B103</f>
        <v>52.199483164476604</v>
      </c>
      <c r="C120" s="24" t="s">
        <v>171</v>
      </c>
      <c r="D120" s="24"/>
      <c r="E120" s="24"/>
      <c r="F120" s="24"/>
      <c r="G120" s="24"/>
      <c r="H120" s="24"/>
      <c r="I120" s="24"/>
      <c r="J120" s="24"/>
      <c r="K120" s="136"/>
    </row>
    <row r="121" spans="1:11" ht="12.75">
      <c r="A121" s="134"/>
      <c r="B121" s="24"/>
      <c r="C121" s="24"/>
      <c r="D121" s="24"/>
      <c r="E121" s="24"/>
      <c r="F121" s="24"/>
      <c r="G121" s="24"/>
      <c r="H121" s="24"/>
      <c r="I121" s="24"/>
      <c r="J121" s="24"/>
      <c r="K121" s="136"/>
    </row>
    <row r="122" spans="1:11" ht="12.75">
      <c r="A122" s="134"/>
      <c r="B122" s="24"/>
      <c r="C122" s="24"/>
      <c r="D122" s="24"/>
      <c r="E122" s="24"/>
      <c r="F122" s="24"/>
      <c r="G122" s="24"/>
      <c r="H122" s="24"/>
      <c r="I122" s="24"/>
      <c r="J122" s="24"/>
      <c r="K122" s="136"/>
    </row>
    <row r="123" spans="1:11" ht="12.75">
      <c r="A123" s="134"/>
      <c r="B123" s="24"/>
      <c r="C123" s="24"/>
      <c r="D123" s="24"/>
      <c r="E123" s="24"/>
      <c r="F123" s="24"/>
      <c r="G123" s="24"/>
      <c r="H123" s="24"/>
      <c r="I123" s="24"/>
      <c r="J123" s="24"/>
      <c r="K123" s="136"/>
    </row>
    <row r="124" spans="1:11" ht="13.5" thickBot="1">
      <c r="A124" s="182"/>
      <c r="B124" s="183"/>
      <c r="C124" s="23"/>
      <c r="D124" s="23"/>
      <c r="E124" s="23"/>
      <c r="F124" s="23"/>
      <c r="G124" s="23"/>
      <c r="H124" s="23"/>
      <c r="I124" s="23"/>
      <c r="J124" s="23"/>
      <c r="K124" s="140"/>
    </row>
    <row r="128" ht="13.5" thickBot="1"/>
    <row r="129" spans="1:10" ht="12.75">
      <c r="A129" s="131" t="s">
        <v>217</v>
      </c>
      <c r="B129" s="132"/>
      <c r="C129" s="132"/>
      <c r="D129" s="132"/>
      <c r="E129" s="132"/>
      <c r="F129" s="132"/>
      <c r="G129" s="132"/>
      <c r="H129" s="132"/>
      <c r="I129" s="132"/>
      <c r="J129" s="133"/>
    </row>
    <row r="130" spans="1:10" ht="12.75">
      <c r="A130" s="134"/>
      <c r="B130" s="24"/>
      <c r="C130" s="24"/>
      <c r="D130" s="24"/>
      <c r="E130" s="24"/>
      <c r="F130" s="24"/>
      <c r="G130" s="24"/>
      <c r="H130" s="24"/>
      <c r="I130" s="24"/>
      <c r="J130" s="136"/>
    </row>
    <row r="131" spans="1:10" ht="12.75">
      <c r="A131" s="141" t="s">
        <v>223</v>
      </c>
      <c r="B131" s="24"/>
      <c r="C131" s="24"/>
      <c r="D131" s="24"/>
      <c r="E131" s="24"/>
      <c r="F131" s="24"/>
      <c r="G131" s="24"/>
      <c r="H131" s="24"/>
      <c r="I131" s="24"/>
      <c r="J131" s="136"/>
    </row>
    <row r="132" spans="1:10" ht="12.75">
      <c r="A132" s="134" t="s">
        <v>158</v>
      </c>
      <c r="B132" s="142">
        <v>200</v>
      </c>
      <c r="C132" s="24" t="s">
        <v>91</v>
      </c>
      <c r="D132" s="24"/>
      <c r="E132" s="24"/>
      <c r="F132" s="24"/>
      <c r="G132" s="24"/>
      <c r="H132" s="24"/>
      <c r="I132" s="24"/>
      <c r="J132" s="136"/>
    </row>
    <row r="133" spans="1:10" ht="25.5">
      <c r="A133" s="143" t="s">
        <v>159</v>
      </c>
      <c r="B133" s="142">
        <v>50</v>
      </c>
      <c r="C133" s="24" t="s">
        <v>180</v>
      </c>
      <c r="D133" s="24"/>
      <c r="E133" s="24"/>
      <c r="F133" s="24"/>
      <c r="G133" s="24"/>
      <c r="H133" s="24"/>
      <c r="I133" s="24"/>
      <c r="J133" s="136"/>
    </row>
    <row r="134" spans="1:10" ht="12.75">
      <c r="A134" s="134" t="s">
        <v>179</v>
      </c>
      <c r="B134" s="24">
        <f>18*2</f>
        <v>36</v>
      </c>
      <c r="C134" s="24"/>
      <c r="D134" s="24"/>
      <c r="E134" s="24"/>
      <c r="F134" s="144"/>
      <c r="G134" s="24"/>
      <c r="H134" s="24"/>
      <c r="I134" s="24"/>
      <c r="J134" s="136"/>
    </row>
    <row r="135" spans="1:10" ht="12.75">
      <c r="A135" s="143" t="s">
        <v>174</v>
      </c>
      <c r="B135" s="145">
        <f>B153</f>
        <v>546.585528605345</v>
      </c>
      <c r="C135" s="24"/>
      <c r="D135" s="24"/>
      <c r="E135" s="145"/>
      <c r="F135" s="24"/>
      <c r="G135" s="24"/>
      <c r="H135" s="24"/>
      <c r="I135" s="24"/>
      <c r="J135" s="136"/>
    </row>
    <row r="136" spans="1:10" ht="18">
      <c r="A136" s="134" t="s">
        <v>181</v>
      </c>
      <c r="B136" s="153">
        <f>B135*B133+B132*B134</f>
        <v>34529.276430267244</v>
      </c>
      <c r="C136" s="24"/>
      <c r="D136" s="24"/>
      <c r="E136" s="146"/>
      <c r="F136" s="24"/>
      <c r="G136" s="24"/>
      <c r="H136" s="24"/>
      <c r="I136" s="24"/>
      <c r="J136" s="136"/>
    </row>
    <row r="137" spans="1:10" ht="12.75">
      <c r="A137" s="134"/>
      <c r="B137" s="146"/>
      <c r="C137" s="24"/>
      <c r="D137" s="24"/>
      <c r="E137" s="24"/>
      <c r="F137" s="24"/>
      <c r="G137" s="24"/>
      <c r="H137" s="24"/>
      <c r="I137" s="24"/>
      <c r="J137" s="136"/>
    </row>
    <row r="138" spans="1:10" ht="12.75">
      <c r="A138" s="141" t="s">
        <v>182</v>
      </c>
      <c r="B138" s="146"/>
      <c r="C138" s="24"/>
      <c r="D138" s="24"/>
      <c r="E138" s="24"/>
      <c r="F138" s="24"/>
      <c r="G138" s="24"/>
      <c r="H138" s="24"/>
      <c r="I138" s="24"/>
      <c r="J138" s="136"/>
    </row>
    <row r="139" spans="1:10" ht="12.75">
      <c r="A139" s="134" t="s">
        <v>166</v>
      </c>
      <c r="B139" s="24">
        <v>12</v>
      </c>
      <c r="C139" s="24" t="s">
        <v>171</v>
      </c>
      <c r="D139" s="24"/>
      <c r="E139" s="24"/>
      <c r="F139" s="24"/>
      <c r="G139" s="24"/>
      <c r="H139" s="24"/>
      <c r="I139" s="24"/>
      <c r="J139" s="136"/>
    </row>
    <row r="140" spans="1:10" ht="12.75">
      <c r="A140" s="134" t="s">
        <v>195</v>
      </c>
      <c r="B140" s="24">
        <v>10</v>
      </c>
      <c r="C140" s="24" t="s">
        <v>171</v>
      </c>
      <c r="D140" s="24"/>
      <c r="E140" s="24"/>
      <c r="F140" s="24"/>
      <c r="G140" s="24"/>
      <c r="H140" s="24"/>
      <c r="I140" s="24"/>
      <c r="J140" s="136"/>
    </row>
    <row r="141" spans="1:10" ht="12.75">
      <c r="A141" s="134" t="s">
        <v>196</v>
      </c>
      <c r="B141" s="24">
        <v>8</v>
      </c>
      <c r="C141" s="24" t="s">
        <v>171</v>
      </c>
      <c r="D141" s="24"/>
      <c r="E141" s="24"/>
      <c r="F141" s="24"/>
      <c r="G141" s="24"/>
      <c r="H141" s="24"/>
      <c r="I141" s="24"/>
      <c r="J141" s="136"/>
    </row>
    <row r="142" spans="1:10" ht="25.5">
      <c r="A142" s="134" t="s">
        <v>160</v>
      </c>
      <c r="B142" s="147" t="s">
        <v>172</v>
      </c>
      <c r="C142" s="147" t="s">
        <v>197</v>
      </c>
      <c r="D142" s="147" t="s">
        <v>198</v>
      </c>
      <c r="E142" s="147"/>
      <c r="F142" s="24"/>
      <c r="G142" s="24"/>
      <c r="H142" s="24"/>
      <c r="I142" s="24"/>
      <c r="J142" s="136"/>
    </row>
    <row r="143" spans="1:10" ht="12.75">
      <c r="A143" s="134"/>
      <c r="B143" s="148" t="s">
        <v>164</v>
      </c>
      <c r="C143" s="135" t="s">
        <v>165</v>
      </c>
      <c r="D143" s="135" t="s">
        <v>165</v>
      </c>
      <c r="E143" s="135"/>
      <c r="F143" s="24"/>
      <c r="G143" s="24"/>
      <c r="H143" s="24"/>
      <c r="I143" s="24"/>
      <c r="J143" s="136"/>
    </row>
    <row r="144" spans="1:10" ht="12.75">
      <c r="A144" s="143" t="s">
        <v>199</v>
      </c>
      <c r="B144" s="149">
        <v>3</v>
      </c>
      <c r="C144" s="149">
        <f>B140</f>
        <v>10</v>
      </c>
      <c r="D144" s="150">
        <f>C144+B$45*PI()/18</f>
        <v>11.919862177193762</v>
      </c>
      <c r="E144" s="150"/>
      <c r="F144" s="24"/>
      <c r="G144" s="24"/>
      <c r="H144" s="24"/>
      <c r="I144" s="24"/>
      <c r="J144" s="136"/>
    </row>
    <row r="145" spans="1:10" ht="12.75">
      <c r="A145" s="143" t="s">
        <v>200</v>
      </c>
      <c r="B145" s="149">
        <v>3</v>
      </c>
      <c r="C145" s="149">
        <f>B141</f>
        <v>8</v>
      </c>
      <c r="D145" s="150">
        <f>C145+B$45*PI()/18</f>
        <v>9.919862177193762</v>
      </c>
      <c r="E145" s="150"/>
      <c r="F145" s="24"/>
      <c r="G145" s="24"/>
      <c r="H145" s="24"/>
      <c r="I145" s="24"/>
      <c r="J145" s="136"/>
    </row>
    <row r="146" spans="1:10" ht="12.75">
      <c r="A146" s="143" t="s">
        <v>201</v>
      </c>
      <c r="B146" s="149">
        <v>3</v>
      </c>
      <c r="C146" s="149">
        <f>B140</f>
        <v>10</v>
      </c>
      <c r="D146" s="150">
        <f>C146+B$45*PI()/6</f>
        <v>15.759586531581288</v>
      </c>
      <c r="E146" s="150"/>
      <c r="F146" s="24"/>
      <c r="G146" s="24"/>
      <c r="H146" s="24"/>
      <c r="I146" s="24"/>
      <c r="J146" s="136"/>
    </row>
    <row r="147" spans="1:10" ht="12.75">
      <c r="A147" s="143" t="s">
        <v>202</v>
      </c>
      <c r="B147" s="149">
        <v>3</v>
      </c>
      <c r="C147" s="149">
        <f>B141</f>
        <v>8</v>
      </c>
      <c r="D147" s="150">
        <f>C147+B$45*PI()/6</f>
        <v>13.759586531581288</v>
      </c>
      <c r="E147" s="150"/>
      <c r="F147" s="24"/>
      <c r="G147" s="24"/>
      <c r="H147" s="24"/>
      <c r="I147" s="24"/>
      <c r="J147" s="136"/>
    </row>
    <row r="148" spans="1:10" ht="12.75">
      <c r="A148" s="143" t="s">
        <v>203</v>
      </c>
      <c r="B148" s="149">
        <v>3</v>
      </c>
      <c r="C148" s="149">
        <f>B140</f>
        <v>10</v>
      </c>
      <c r="D148" s="150">
        <f>C148+B$45*PI()/3</f>
        <v>21.519173063162576</v>
      </c>
      <c r="E148" s="150"/>
      <c r="F148" s="24"/>
      <c r="G148" s="24"/>
      <c r="H148" s="24"/>
      <c r="I148" s="24"/>
      <c r="J148" s="136"/>
    </row>
    <row r="149" spans="1:10" ht="12.75">
      <c r="A149" s="143" t="s">
        <v>204</v>
      </c>
      <c r="B149" s="149">
        <v>3</v>
      </c>
      <c r="C149" s="149">
        <f>B141</f>
        <v>8</v>
      </c>
      <c r="D149" s="150">
        <f>C149+B$45*PI()/3</f>
        <v>19.519173063162576</v>
      </c>
      <c r="E149" s="150"/>
      <c r="F149" s="24"/>
      <c r="G149" s="24"/>
      <c r="H149" s="24"/>
      <c r="I149" s="24"/>
      <c r="J149" s="136"/>
    </row>
    <row r="150" spans="1:10" ht="12.75">
      <c r="A150" s="134" t="s">
        <v>176</v>
      </c>
      <c r="B150" s="24"/>
      <c r="C150" s="24"/>
      <c r="D150" s="150">
        <f>SUM(D144:D148)</f>
        <v>72.87807048071267</v>
      </c>
      <c r="E150" s="150"/>
      <c r="F150" s="24"/>
      <c r="G150" s="24"/>
      <c r="H150" s="24"/>
      <c r="I150" s="24"/>
      <c r="J150" s="136"/>
    </row>
    <row r="151" spans="1:10" ht="12.75">
      <c r="A151" s="134" t="s">
        <v>175</v>
      </c>
      <c r="B151" s="145">
        <f>3*(D150+E150)</f>
        <v>218.634211442138</v>
      </c>
      <c r="C151" s="24" t="s">
        <v>171</v>
      </c>
      <c r="D151" s="24"/>
      <c r="E151" s="24"/>
      <c r="F151" s="24"/>
      <c r="G151" s="24"/>
      <c r="H151" s="24"/>
      <c r="I151" s="24"/>
      <c r="J151" s="136"/>
    </row>
    <row r="152" spans="1:10" ht="12.75">
      <c r="A152" s="134" t="s">
        <v>205</v>
      </c>
      <c r="B152" s="145">
        <f>0.25*B151</f>
        <v>54.6585528605345</v>
      </c>
      <c r="C152" s="24"/>
      <c r="D152" s="24"/>
      <c r="E152" s="24"/>
      <c r="F152" s="24"/>
      <c r="G152" s="24"/>
      <c r="H152" s="24"/>
      <c r="I152" s="24"/>
      <c r="J152" s="136"/>
    </row>
    <row r="153" spans="1:10" ht="12.75">
      <c r="A153" s="134" t="s">
        <v>177</v>
      </c>
      <c r="B153" s="151">
        <f>2*(B152+B151)</f>
        <v>546.585528605345</v>
      </c>
      <c r="C153" s="24" t="s">
        <v>171</v>
      </c>
      <c r="D153" s="24"/>
      <c r="E153" s="24"/>
      <c r="F153" s="24"/>
      <c r="G153" s="24"/>
      <c r="H153" s="24"/>
      <c r="I153" s="24"/>
      <c r="J153" s="136"/>
    </row>
    <row r="154" spans="1:10" ht="12.75">
      <c r="A154" s="152" t="s">
        <v>178</v>
      </c>
      <c r="B154" s="145">
        <f>B153/B134</f>
        <v>15.182931350148472</v>
      </c>
      <c r="C154" s="24" t="s">
        <v>171</v>
      </c>
      <c r="D154" s="24"/>
      <c r="E154" s="24"/>
      <c r="F154" s="24"/>
      <c r="G154" s="24"/>
      <c r="H154" s="24"/>
      <c r="I154" s="24"/>
      <c r="J154" s="136"/>
    </row>
    <row r="155" spans="1:10" ht="13.5" thickBot="1">
      <c r="A155" s="182"/>
      <c r="B155" s="183"/>
      <c r="C155" s="23"/>
      <c r="D155" s="23"/>
      <c r="E155" s="23"/>
      <c r="F155" s="23"/>
      <c r="G155" s="23"/>
      <c r="H155" s="23"/>
      <c r="I155" s="23"/>
      <c r="J155" s="140"/>
    </row>
    <row r="159" ht="13.5" thickBot="1"/>
    <row r="160" spans="1:6" ht="12.75">
      <c r="A160" s="131" t="s">
        <v>230</v>
      </c>
      <c r="B160" s="132"/>
      <c r="C160" s="132"/>
      <c r="D160" s="132"/>
      <c r="E160" s="132"/>
      <c r="F160" s="133"/>
    </row>
    <row r="161" spans="1:6" ht="12.75">
      <c r="A161" s="134" t="s">
        <v>247</v>
      </c>
      <c r="B161" s="135" t="s">
        <v>237</v>
      </c>
      <c r="C161" s="24"/>
      <c r="D161" s="24"/>
      <c r="E161" s="24"/>
      <c r="F161" s="136"/>
    </row>
    <row r="162" spans="1:6" ht="12.75">
      <c r="A162" s="134"/>
      <c r="B162" s="125" t="s">
        <v>234</v>
      </c>
      <c r="C162" s="124" t="s">
        <v>232</v>
      </c>
      <c r="D162" s="125" t="s">
        <v>233</v>
      </c>
      <c r="E162" s="125" t="s">
        <v>143</v>
      </c>
      <c r="F162" s="136"/>
    </row>
    <row r="163" spans="1:6" ht="12.75">
      <c r="A163" s="134" t="s">
        <v>246</v>
      </c>
      <c r="B163" s="135" t="s">
        <v>242</v>
      </c>
      <c r="C163" s="135">
        <v>5</v>
      </c>
      <c r="D163" s="135">
        <v>25</v>
      </c>
      <c r="E163" s="126">
        <f>D163*C163</f>
        <v>125</v>
      </c>
      <c r="F163" s="136"/>
    </row>
    <row r="164" spans="1:6" ht="12.75">
      <c r="A164" s="134" t="s">
        <v>231</v>
      </c>
      <c r="B164" s="135" t="s">
        <v>239</v>
      </c>
      <c r="C164" s="135">
        <v>22</v>
      </c>
      <c r="D164" s="135">
        <v>20</v>
      </c>
      <c r="E164" s="126">
        <f>D164*C164</f>
        <v>440</v>
      </c>
      <c r="F164" s="136"/>
    </row>
    <row r="165" spans="1:6" ht="12.75">
      <c r="A165" s="134" t="s">
        <v>238</v>
      </c>
      <c r="B165" s="135"/>
      <c r="C165" s="135" t="s">
        <v>248</v>
      </c>
      <c r="D165" s="137">
        <f>85/3</f>
        <v>28.333333333333332</v>
      </c>
      <c r="E165" s="126">
        <f>D165*0.5</f>
        <v>14.166666666666666</v>
      </c>
      <c r="F165" s="136"/>
    </row>
    <row r="166" spans="1:6" ht="12.75">
      <c r="A166" s="134" t="s">
        <v>249</v>
      </c>
      <c r="B166" s="24"/>
      <c r="C166" s="24"/>
      <c r="D166" s="24"/>
      <c r="E166" s="126">
        <v>500</v>
      </c>
      <c r="F166" s="136"/>
    </row>
    <row r="167" spans="1:6" ht="12.75">
      <c r="A167" s="134" t="s">
        <v>240</v>
      </c>
      <c r="B167" s="135" t="s">
        <v>241</v>
      </c>
      <c r="C167" s="135">
        <v>4</v>
      </c>
      <c r="D167" s="135">
        <v>4</v>
      </c>
      <c r="E167" s="126">
        <f>D167*C167</f>
        <v>16</v>
      </c>
      <c r="F167" s="136"/>
    </row>
    <row r="168" spans="1:6" ht="12.75">
      <c r="A168" s="134" t="s">
        <v>250</v>
      </c>
      <c r="B168" s="135" t="s">
        <v>245</v>
      </c>
      <c r="C168" s="135">
        <v>1</v>
      </c>
      <c r="D168" s="135">
        <v>62</v>
      </c>
      <c r="E168" s="127">
        <f>D168*C168</f>
        <v>62</v>
      </c>
      <c r="F168" s="136"/>
    </row>
    <row r="169" spans="1:7" ht="15">
      <c r="A169" s="134" t="s">
        <v>251</v>
      </c>
      <c r="B169" s="135" t="s">
        <v>252</v>
      </c>
      <c r="C169" s="135">
        <v>40</v>
      </c>
      <c r="D169" s="135">
        <v>82</v>
      </c>
      <c r="E169" s="129">
        <f>+D169*C169</f>
        <v>3280</v>
      </c>
      <c r="F169" s="136"/>
      <c r="G169" s="130"/>
    </row>
    <row r="170" spans="1:6" ht="12.75">
      <c r="A170" s="134"/>
      <c r="B170" s="135"/>
      <c r="C170" s="135"/>
      <c r="D170" s="135"/>
      <c r="E170" s="126">
        <f>SUM(E163:E169)</f>
        <v>4437.166666666666</v>
      </c>
      <c r="F170" s="136" t="s">
        <v>253</v>
      </c>
    </row>
    <row r="171" spans="1:6" ht="13.5" customHeight="1">
      <c r="A171" s="134" t="s">
        <v>243</v>
      </c>
      <c r="B171" s="24"/>
      <c r="C171" s="24"/>
      <c r="D171" s="24"/>
      <c r="E171" s="128">
        <v>6</v>
      </c>
      <c r="F171" s="136"/>
    </row>
    <row r="172" spans="1:6" ht="18.75" thickBot="1">
      <c r="A172" s="138"/>
      <c r="B172" s="23"/>
      <c r="C172" s="23"/>
      <c r="D172" s="139" t="s">
        <v>244</v>
      </c>
      <c r="E172" s="154">
        <f>+E171*E170</f>
        <v>26622.999999999996</v>
      </c>
      <c r="F172" s="140"/>
    </row>
    <row r="174" ht="12.75">
      <c r="E174" s="6"/>
    </row>
  </sheetData>
  <mergeCells count="3">
    <mergeCell ref="A6:E6"/>
    <mergeCell ref="A124:B124"/>
    <mergeCell ref="A155:B155"/>
  </mergeCells>
  <printOptions/>
  <pageMargins left="0.75" right="0.75" top="1" bottom="1" header="0.5" footer="0.5"/>
  <pageSetup fitToHeight="1" fitToWidth="1" horizontalDpi="600" verticalDpi="600" orientation="landscape" scale="78" r:id="rId2"/>
  <headerFooter alignWithMargins="0">
    <oddHeader>&amp;C&amp;"Arial,Bold"&amp;14NCSX Fabrication Project Cost and Schedule</oddHeader>
    <oddFooter>&amp;L&amp;F&amp;C&amp;"Arial,Bold"&amp;A    &amp;P of &amp;N&amp;R
&amp;D   &amp;T</oddFooter>
  </headerFooter>
  <rowBreaks count="1" manualBreakCount="1">
    <brk id="65" max="9" man="1"/>
  </rowBreaks>
  <drawing r:id="rId1"/>
</worksheet>
</file>

<file path=xl/worksheets/sheet5.xml><?xml version="1.0" encoding="utf-8"?>
<worksheet xmlns="http://schemas.openxmlformats.org/spreadsheetml/2006/main" xmlns:r="http://schemas.openxmlformats.org/officeDocument/2006/relationships">
  <dimension ref="A1:Q39"/>
  <sheetViews>
    <sheetView workbookViewId="0" topLeftCell="A1">
      <selection activeCell="B46" sqref="B46"/>
    </sheetView>
  </sheetViews>
  <sheetFormatPr defaultColWidth="9.140625" defaultRowHeight="12.75"/>
  <cols>
    <col min="1" max="1" width="26.28125" style="41" customWidth="1"/>
    <col min="2" max="5" width="9.140625" style="41" customWidth="1"/>
    <col min="6" max="6" width="4.140625" style="41" customWidth="1"/>
    <col min="7" max="7" width="7.28125" style="41" customWidth="1"/>
    <col min="8" max="17" width="5.7109375" style="41" customWidth="1"/>
    <col min="18" max="16384" width="9.140625" style="41" customWidth="1"/>
  </cols>
  <sheetData>
    <row r="1" ht="20.25">
      <c r="A1" s="103" t="str">
        <f>'Fab Project'!A1:E1</f>
        <v>WBS 162 Coil Leads</v>
      </c>
    </row>
    <row r="3" spans="1:15" ht="18.75" thickBot="1">
      <c r="A3" s="104" t="s">
        <v>102</v>
      </c>
      <c r="B3" s="72"/>
      <c r="C3" s="72"/>
      <c r="D3" s="72"/>
      <c r="E3" s="72"/>
      <c r="F3" s="72"/>
      <c r="G3" s="72"/>
      <c r="H3" s="72"/>
      <c r="I3" s="72"/>
      <c r="J3" s="72"/>
      <c r="K3" s="72"/>
      <c r="L3" s="72"/>
      <c r="M3" s="72"/>
      <c r="N3" s="72"/>
      <c r="O3" s="72"/>
    </row>
    <row r="5" ht="12.75">
      <c r="A5" s="54" t="s">
        <v>53</v>
      </c>
    </row>
    <row r="6" spans="1:15" ht="12.75">
      <c r="A6" s="178" t="s">
        <v>192</v>
      </c>
      <c r="B6" s="178"/>
      <c r="C6" s="178"/>
      <c r="D6" s="178"/>
      <c r="E6" s="178"/>
      <c r="F6" s="178"/>
      <c r="G6" s="165"/>
      <c r="H6" s="165"/>
      <c r="I6" s="165"/>
      <c r="J6" s="165"/>
      <c r="K6" s="165"/>
      <c r="L6" s="165"/>
      <c r="M6" s="165"/>
      <c r="N6" s="165"/>
      <c r="O6" s="165"/>
    </row>
    <row r="7" spans="1:15" ht="39.75" customHeight="1">
      <c r="A7" s="178"/>
      <c r="B7" s="178"/>
      <c r="C7" s="178"/>
      <c r="D7" s="178"/>
      <c r="E7" s="178"/>
      <c r="F7" s="178"/>
      <c r="G7" s="117"/>
      <c r="H7" s="181"/>
      <c r="I7" s="181"/>
      <c r="J7" s="181"/>
      <c r="K7" s="181"/>
      <c r="L7" s="181"/>
      <c r="M7" s="181"/>
      <c r="N7" s="181"/>
      <c r="O7" s="181"/>
    </row>
    <row r="8" spans="2:17" ht="12.75">
      <c r="B8" s="61"/>
      <c r="C8" s="61"/>
      <c r="D8" s="61"/>
      <c r="E8" s="180"/>
      <c r="F8" s="180"/>
      <c r="H8" s="97"/>
      <c r="I8" s="97"/>
      <c r="J8" s="97"/>
      <c r="K8" s="97"/>
      <c r="L8" s="97"/>
      <c r="M8" s="97"/>
      <c r="N8" s="97"/>
      <c r="O8" s="97"/>
      <c r="P8" s="97"/>
      <c r="Q8" s="97"/>
    </row>
    <row r="9" spans="1:4" ht="12.75">
      <c r="A9" s="54"/>
      <c r="B9" s="122"/>
      <c r="D9" s="122"/>
    </row>
    <row r="10" spans="1:17" ht="12.75">
      <c r="A10" s="118"/>
      <c r="B10" s="111"/>
      <c r="C10" s="97"/>
      <c r="D10" s="111"/>
      <c r="E10" s="112"/>
      <c r="F10" s="112"/>
      <c r="G10" s="65"/>
      <c r="H10" s="113"/>
      <c r="I10" s="66"/>
      <c r="J10" s="113"/>
      <c r="K10" s="66"/>
      <c r="L10" s="113"/>
      <c r="M10" s="66"/>
      <c r="N10" s="113"/>
      <c r="O10" s="66"/>
      <c r="P10" s="113"/>
      <c r="Q10" s="66"/>
    </row>
    <row r="11" spans="1:17" ht="12.75">
      <c r="A11" s="118"/>
      <c r="B11" s="111"/>
      <c r="C11" s="97"/>
      <c r="D11" s="111"/>
      <c r="E11" s="112"/>
      <c r="F11" s="112"/>
      <c r="G11" s="65"/>
      <c r="H11" s="113"/>
      <c r="I11" s="66"/>
      <c r="J11" s="113"/>
      <c r="K11" s="66"/>
      <c r="L11" s="113"/>
      <c r="M11" s="66"/>
      <c r="N11" s="113"/>
      <c r="O11" s="66"/>
      <c r="P11" s="113"/>
      <c r="Q11" s="66"/>
    </row>
    <row r="12" spans="1:17" ht="12.75">
      <c r="A12" s="118"/>
      <c r="B12" s="111"/>
      <c r="C12" s="97"/>
      <c r="D12" s="111"/>
      <c r="E12" s="112"/>
      <c r="F12" s="112"/>
      <c r="G12" s="65"/>
      <c r="H12" s="113"/>
      <c r="I12" s="66"/>
      <c r="J12" s="113"/>
      <c r="K12" s="66"/>
      <c r="L12" s="113"/>
      <c r="M12" s="66"/>
      <c r="N12" s="113"/>
      <c r="O12" s="66"/>
      <c r="P12" s="113"/>
      <c r="Q12" s="66"/>
    </row>
    <row r="13" spans="1:17" ht="12.75">
      <c r="A13" s="118"/>
      <c r="B13" s="111"/>
      <c r="C13" s="97"/>
      <c r="D13" s="111"/>
      <c r="E13" s="112"/>
      <c r="F13" s="112"/>
      <c r="G13" s="65"/>
      <c r="H13" s="113"/>
      <c r="I13" s="66"/>
      <c r="J13" s="113"/>
      <c r="K13" s="66"/>
      <c r="L13" s="113"/>
      <c r="M13" s="66"/>
      <c r="N13" s="113"/>
      <c r="O13" s="66"/>
      <c r="P13" s="113"/>
      <c r="Q13" s="66"/>
    </row>
    <row r="14" spans="1:17" ht="12.75">
      <c r="A14" s="118"/>
      <c r="B14" s="114"/>
      <c r="C14" s="97"/>
      <c r="D14" s="111"/>
      <c r="E14" s="112"/>
      <c r="F14" s="112"/>
      <c r="G14" s="65"/>
      <c r="H14" s="113"/>
      <c r="I14" s="66"/>
      <c r="J14" s="113"/>
      <c r="K14" s="66"/>
      <c r="L14" s="113"/>
      <c r="M14" s="66"/>
      <c r="N14" s="113"/>
      <c r="O14" s="66"/>
      <c r="P14" s="113"/>
      <c r="Q14" s="66"/>
    </row>
    <row r="15" spans="2:6" ht="12.75">
      <c r="B15" s="122"/>
      <c r="D15" s="122"/>
      <c r="E15" s="112"/>
      <c r="F15" s="112"/>
    </row>
    <row r="16" spans="1:17" ht="12.75">
      <c r="A16" s="94"/>
      <c r="E16" s="116"/>
      <c r="F16" s="116"/>
      <c r="I16" s="94"/>
      <c r="K16" s="94"/>
      <c r="M16" s="94"/>
      <c r="O16" s="94"/>
      <c r="Q16" s="94"/>
    </row>
    <row r="17" spans="1:17" ht="12.75">
      <c r="A17" s="94"/>
      <c r="E17" s="116"/>
      <c r="F17" s="116"/>
      <c r="I17" s="94"/>
      <c r="K17" s="94"/>
      <c r="M17" s="94"/>
      <c r="O17" s="94"/>
      <c r="Q17" s="94"/>
    </row>
    <row r="18" spans="1:17" ht="12.75">
      <c r="A18" s="94"/>
      <c r="E18" s="116"/>
      <c r="F18" s="116"/>
      <c r="G18" s="117"/>
      <c r="H18" s="181"/>
      <c r="I18" s="181"/>
      <c r="J18" s="181"/>
      <c r="K18" s="181"/>
      <c r="L18" s="181"/>
      <c r="M18" s="181"/>
      <c r="N18" s="181"/>
      <c r="O18" s="181"/>
      <c r="Q18" s="94"/>
    </row>
    <row r="19" spans="1:15" ht="12.75">
      <c r="A19" s="54"/>
      <c r="H19" s="97"/>
      <c r="I19" s="97"/>
      <c r="J19" s="97"/>
      <c r="K19" s="97"/>
      <c r="L19" s="97"/>
      <c r="M19" s="97"/>
      <c r="N19" s="97"/>
      <c r="O19" s="97"/>
    </row>
    <row r="20" spans="1:15" ht="12.75">
      <c r="A20" s="54"/>
      <c r="H20" s="97"/>
      <c r="I20" s="97"/>
      <c r="J20" s="97"/>
      <c r="K20" s="97"/>
      <c r="L20" s="97"/>
      <c r="M20" s="97"/>
      <c r="N20" s="97"/>
      <c r="O20" s="97"/>
    </row>
    <row r="21" spans="1:17" ht="12.75">
      <c r="A21" s="118"/>
      <c r="B21" s="111"/>
      <c r="C21" s="97"/>
      <c r="D21" s="111"/>
      <c r="G21" s="65"/>
      <c r="H21" s="113"/>
      <c r="I21" s="66"/>
      <c r="J21" s="113"/>
      <c r="K21" s="66"/>
      <c r="L21" s="113"/>
      <c r="M21" s="66"/>
      <c r="N21" s="113"/>
      <c r="O21" s="66"/>
      <c r="P21" s="113"/>
      <c r="Q21" s="66"/>
    </row>
    <row r="22" spans="1:17" ht="12.75">
      <c r="A22" s="118"/>
      <c r="B22" s="111"/>
      <c r="C22" s="97"/>
      <c r="D22" s="111"/>
      <c r="G22" s="65"/>
      <c r="H22" s="113"/>
      <c r="I22" s="66"/>
      <c r="J22" s="113"/>
      <c r="K22" s="66"/>
      <c r="L22" s="113"/>
      <c r="M22" s="66"/>
      <c r="N22" s="113"/>
      <c r="O22" s="66"/>
      <c r="P22" s="113"/>
      <c r="Q22" s="66"/>
    </row>
    <row r="23" spans="1:17" ht="12.75">
      <c r="A23" s="118"/>
      <c r="B23" s="111"/>
      <c r="C23" s="97"/>
      <c r="D23" s="111"/>
      <c r="G23" s="65"/>
      <c r="H23" s="113"/>
      <c r="I23" s="66"/>
      <c r="J23" s="113"/>
      <c r="K23" s="66"/>
      <c r="L23" s="113"/>
      <c r="M23" s="66"/>
      <c r="N23" s="113"/>
      <c r="O23" s="66"/>
      <c r="P23" s="113"/>
      <c r="Q23" s="66"/>
    </row>
    <row r="24" spans="1:17" ht="12.75">
      <c r="A24" s="118"/>
      <c r="B24" s="111"/>
      <c r="C24" s="97"/>
      <c r="D24" s="111"/>
      <c r="G24" s="65"/>
      <c r="H24" s="113"/>
      <c r="I24" s="66"/>
      <c r="J24" s="113"/>
      <c r="K24" s="66"/>
      <c r="L24" s="113"/>
      <c r="M24" s="66"/>
      <c r="N24" s="113"/>
      <c r="O24" s="66"/>
      <c r="P24" s="113"/>
      <c r="Q24" s="66"/>
    </row>
    <row r="25" spans="1:17" ht="12.75">
      <c r="A25" s="118"/>
      <c r="B25" s="111"/>
      <c r="C25" s="97"/>
      <c r="D25" s="97"/>
      <c r="G25" s="65"/>
      <c r="H25" s="113"/>
      <c r="I25" s="66"/>
      <c r="J25" s="113"/>
      <c r="K25" s="66"/>
      <c r="L25" s="113"/>
      <c r="M25" s="66"/>
      <c r="N25" s="113"/>
      <c r="O25" s="66"/>
      <c r="P25" s="113"/>
      <c r="Q25" s="66"/>
    </row>
    <row r="27" spans="1:17" ht="12.75">
      <c r="A27" s="94"/>
      <c r="E27" s="67"/>
      <c r="F27" s="67"/>
      <c r="I27" s="94"/>
      <c r="K27" s="94"/>
      <c r="M27" s="116"/>
      <c r="O27" s="94"/>
      <c r="Q27" s="94"/>
    </row>
    <row r="30" spans="1:4" ht="12.75">
      <c r="A30" s="54"/>
      <c r="B30" s="61"/>
      <c r="C30" s="52"/>
      <c r="D30" s="61"/>
    </row>
    <row r="31" spans="2:14" ht="12.75">
      <c r="B31" s="120"/>
      <c r="C31" s="115"/>
      <c r="D31" s="120"/>
      <c r="K31" s="181"/>
      <c r="L31" s="181"/>
      <c r="M31" s="181"/>
      <c r="N31" s="181"/>
    </row>
    <row r="32" spans="2:4" ht="12.75">
      <c r="B32" s="120"/>
      <c r="C32" s="115"/>
      <c r="D32" s="120"/>
    </row>
    <row r="33" spans="2:4" ht="12.75">
      <c r="B33" s="120"/>
      <c r="C33" s="115"/>
      <c r="D33" s="120"/>
    </row>
    <row r="34" spans="2:4" ht="12.75">
      <c r="B34" s="120"/>
      <c r="C34" s="115"/>
      <c r="D34" s="120"/>
    </row>
    <row r="35" spans="2:4" ht="12.75">
      <c r="B35" s="120"/>
      <c r="C35" s="115"/>
      <c r="D35" s="120"/>
    </row>
    <row r="39" ht="12.75">
      <c r="A39" s="54"/>
    </row>
  </sheetData>
  <mergeCells count="13">
    <mergeCell ref="H18:I18"/>
    <mergeCell ref="G6:O6"/>
    <mergeCell ref="N18:O18"/>
    <mergeCell ref="K31:L31"/>
    <mergeCell ref="M31:N31"/>
    <mergeCell ref="L18:M18"/>
    <mergeCell ref="J18:K18"/>
    <mergeCell ref="L7:M7"/>
    <mergeCell ref="N7:O7"/>
    <mergeCell ref="E8:F8"/>
    <mergeCell ref="A6:F7"/>
    <mergeCell ref="H7:I7"/>
    <mergeCell ref="J7:K7"/>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1" manualBreakCount="1">
    <brk id="28" max="14" man="1"/>
  </rowBreaks>
</worksheet>
</file>

<file path=xl/worksheets/sheet6.xml><?xml version="1.0" encoding="utf-8"?>
<worksheet xmlns="http://schemas.openxmlformats.org/spreadsheetml/2006/main" xmlns:r="http://schemas.openxmlformats.org/officeDocument/2006/relationships">
  <dimension ref="A1:M5"/>
  <sheetViews>
    <sheetView workbookViewId="0" topLeftCell="A1">
      <selection activeCell="P21" sqref="P21"/>
    </sheetView>
  </sheetViews>
  <sheetFormatPr defaultColWidth="9.140625" defaultRowHeight="12.75"/>
  <cols>
    <col min="1" max="16384" width="9.140625" style="41" customWidth="1"/>
  </cols>
  <sheetData>
    <row r="1" spans="1:8" ht="20.25">
      <c r="A1" s="103" t="str">
        <f>'Fab Project'!A1:E1</f>
        <v>WBS 162 Coil Leads</v>
      </c>
      <c r="B1" s="103"/>
      <c r="C1" s="103"/>
      <c r="D1" s="103"/>
      <c r="E1" s="103"/>
      <c r="F1" s="103"/>
      <c r="G1" s="103"/>
      <c r="H1" s="103"/>
    </row>
    <row r="3" spans="1:13" ht="18.75" thickBot="1">
      <c r="A3" s="104" t="s">
        <v>109</v>
      </c>
      <c r="B3" s="72"/>
      <c r="C3" s="72"/>
      <c r="D3" s="72"/>
      <c r="E3" s="72"/>
      <c r="F3" s="72"/>
      <c r="G3" s="72"/>
      <c r="H3" s="72"/>
      <c r="I3" s="72"/>
      <c r="J3" s="72"/>
      <c r="K3" s="72"/>
      <c r="L3" s="72"/>
      <c r="M3" s="72"/>
    </row>
    <row r="5" ht="12.75">
      <c r="A5" s="41" t="s">
        <v>110</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&amp;L&amp;"Arial,Bold"Date: August 20, 2003&amp;C&amp;"Arial,Bold"&amp;P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rstrykowsky</cp:lastModifiedBy>
  <cp:lastPrinted>2007-04-26T15:56:36Z</cp:lastPrinted>
  <dcterms:created xsi:type="dcterms:W3CDTF">2001-10-24T18:11:20Z</dcterms:created>
  <dcterms:modified xsi:type="dcterms:W3CDTF">2007-04-26T15:56:44Z</dcterms:modified>
  <cp:category/>
  <cp:version/>
  <cp:contentType/>
  <cp:contentStatus/>
</cp:coreProperties>
</file>