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65446" windowWidth="25470" windowHeight="14685" activeTab="0"/>
  </bookViews>
  <sheets>
    <sheet name="Estimate" sheetId="1" r:id="rId1"/>
    <sheet name="Sept 04 Update" sheetId="2" r:id="rId2"/>
    <sheet name="PDR Baseline" sheetId="3" r:id="rId3"/>
  </sheets>
  <definedNames>
    <definedName name="_xlnm.Print_Area" localSheetId="0">'Estimate'!$A$1:$J$12</definedName>
    <definedName name="_xlnm.Print_Area" localSheetId="2">'PDR Baseline'!$A$1:$R$104</definedName>
    <definedName name="_xlnm.Print_Area" localSheetId="1">'Sept 04 Update'!$A$1:$S$104</definedName>
    <definedName name="_xlnm.Print_Titles" localSheetId="0">'Estimate'!$1:$1</definedName>
    <definedName name="_xlnm.Print_Titles" localSheetId="2">'PDR Baseline'!$1:$1</definedName>
    <definedName name="_xlnm.Print_Titles" localSheetId="1">'Sept 04 Update'!$1:$1</definedName>
    <definedName name="Z_21921CD8_BD32_11DB_A0B7_0003933F33C4_.wvu.PrintArea" localSheetId="0" hidden="1">'Estimate'!$A$1:$J$14</definedName>
    <definedName name="Z_21921CD8_BD32_11DB_A0B7_0003933F33C4_.wvu.PrintArea" localSheetId="2" hidden="1">'PDR Baseline'!$A$1:$R$104</definedName>
    <definedName name="Z_21921CD8_BD32_11DB_A0B7_0003933F33C4_.wvu.PrintArea" localSheetId="1" hidden="1">'Sept 04 Update'!$A$1:$S$104</definedName>
    <definedName name="Z_21921CD8_BD32_11DB_A0B7_0003933F33C4_.wvu.PrintTitles" localSheetId="0" hidden="1">'Estimate'!$1:$1</definedName>
    <definedName name="Z_21921CD8_BD32_11DB_A0B7_0003933F33C4_.wvu.PrintTitles" localSheetId="2" hidden="1">'PDR Baseline'!$1:$1</definedName>
    <definedName name="Z_21921CD8_BD32_11DB_A0B7_0003933F33C4_.wvu.PrintTitles" localSheetId="1" hidden="1">'Sept 04 Update'!$1:$1</definedName>
    <definedName name="Z_21921CD8_BD32_11DB_A0B7_0003933F33C4_.wvu.Rows" localSheetId="2" hidden="1">'PDR Baseline'!$2:$41</definedName>
    <definedName name="Z_21921CD8_BD32_11DB_A0B7_0003933F33C4_.wvu.Rows" localSheetId="1" hidden="1">'Sept 04 Update'!$2:$41</definedName>
    <definedName name="Z_EDAC4578_45E7_41D0_ACFA_48EFABC4F255_.wvu.PrintArea" localSheetId="0" hidden="1">'Estimate'!$A$1:$J$14</definedName>
    <definedName name="Z_EDAC4578_45E7_41D0_ACFA_48EFABC4F255_.wvu.PrintArea" localSheetId="2" hidden="1">'PDR Baseline'!$A$1:$R$104</definedName>
    <definedName name="Z_EDAC4578_45E7_41D0_ACFA_48EFABC4F255_.wvu.PrintArea" localSheetId="1" hidden="1">'Sept 04 Update'!$A$1:$S$104</definedName>
    <definedName name="Z_EDAC4578_45E7_41D0_ACFA_48EFABC4F255_.wvu.PrintTitles" localSheetId="0" hidden="1">'Estimate'!$1:$1</definedName>
    <definedName name="Z_EDAC4578_45E7_41D0_ACFA_48EFABC4F255_.wvu.PrintTitles" localSheetId="2" hidden="1">'PDR Baseline'!$1:$1</definedName>
    <definedName name="Z_EDAC4578_45E7_41D0_ACFA_48EFABC4F255_.wvu.PrintTitles" localSheetId="1" hidden="1">'Sept 04 Update'!$1:$1</definedName>
    <definedName name="Z_EDAC4578_45E7_41D0_ACFA_48EFABC4F255_.wvu.Rows" localSheetId="0" hidden="1">'Estimate'!#REF!</definedName>
    <definedName name="Z_EDAC4578_45E7_41D0_ACFA_48EFABC4F255_.wvu.Rows" localSheetId="2" hidden="1">'PDR Baseline'!$2:$41</definedName>
    <definedName name="Z_EDAC4578_45E7_41D0_ACFA_48EFABC4F255_.wvu.Rows" localSheetId="1" hidden="1">'Sept 04 Update'!$2:$41</definedName>
  </definedNames>
  <calcPr fullCalcOnLoad="1"/>
</workbook>
</file>

<file path=xl/sharedStrings.xml><?xml version="1.0" encoding="utf-8"?>
<sst xmlns="http://schemas.openxmlformats.org/spreadsheetml/2006/main" count="450" uniqueCount="106">
  <si>
    <t>FY04</t>
  </si>
  <si>
    <t>FY05</t>
  </si>
  <si>
    <t>FY06</t>
  </si>
  <si>
    <t>FY07</t>
  </si>
  <si>
    <t>WBS:</t>
  </si>
  <si>
    <t>Manager:</t>
  </si>
  <si>
    <t>M&amp;S</t>
  </si>
  <si>
    <t>Reiersen</t>
  </si>
  <si>
    <t>Brown</t>
  </si>
  <si>
    <t>Brooks</t>
  </si>
  <si>
    <t>Simmons</t>
  </si>
  <si>
    <t>Dudek</t>
  </si>
  <si>
    <t>Perry</t>
  </si>
  <si>
    <t>Such</t>
  </si>
  <si>
    <t>EA** EM</t>
  </si>
  <si>
    <t>EM** EM</t>
  </si>
  <si>
    <t>EE** AM</t>
  </si>
  <si>
    <t>EAD* DM</t>
  </si>
  <si>
    <t>Designer</t>
  </si>
  <si>
    <t>Travel</t>
  </si>
  <si>
    <t>Revised Estimate</t>
  </si>
  <si>
    <t>CDR Baseline</t>
  </si>
  <si>
    <t>EA**EM</t>
  </si>
  <si>
    <t>EAD*DM</t>
  </si>
  <si>
    <t>FC** EM</t>
  </si>
  <si>
    <t>M&amp;S (purchased services)</t>
  </si>
  <si>
    <t>FY03 (april-sept)</t>
  </si>
  <si>
    <t>P&amp;CO Support</t>
  </si>
  <si>
    <t>FC**AM</t>
  </si>
  <si>
    <t>Strykowsky</t>
  </si>
  <si>
    <t>Simmons/Strykowsky</t>
  </si>
  <si>
    <t>FC**AM/EM</t>
  </si>
  <si>
    <t>R///RM3</t>
  </si>
  <si>
    <t>Neilson</t>
  </si>
  <si>
    <t>Schmidt</t>
  </si>
  <si>
    <t>FC//EM</t>
  </si>
  <si>
    <t>FC//AM</t>
  </si>
  <si>
    <t>B///CB</t>
  </si>
  <si>
    <t>Hampton</t>
  </si>
  <si>
    <t>ORNLRM</t>
  </si>
  <si>
    <t>Lyon</t>
  </si>
  <si>
    <t>Benson</t>
  </si>
  <si>
    <t>FY03</t>
  </si>
  <si>
    <t>R///RM2</t>
  </si>
  <si>
    <t>EA//EM</t>
  </si>
  <si>
    <t>ORNL 41</t>
  </si>
  <si>
    <t>ORNL 35</t>
  </si>
  <si>
    <t>REBASELINE</t>
  </si>
  <si>
    <t>HUDSON</t>
  </si>
  <si>
    <t>KUGEL</t>
  </si>
  <si>
    <t>ZARNSTORFF</t>
  </si>
  <si>
    <t xml:space="preserve">Ku </t>
  </si>
  <si>
    <t>Lazarus</t>
  </si>
  <si>
    <t>FTE's , M&amp;S ,Travel</t>
  </si>
  <si>
    <t>Total</t>
  </si>
  <si>
    <t>ORNL</t>
  </si>
  <si>
    <t>Akers</t>
  </si>
  <si>
    <t>EM**SM</t>
  </si>
  <si>
    <t>EC**EM</t>
  </si>
  <si>
    <t>EE**EM</t>
  </si>
  <si>
    <t>EE**SM</t>
  </si>
  <si>
    <t>Startup</t>
  </si>
  <si>
    <t>Procedures</t>
  </si>
  <si>
    <t>FTE's (except as noted)</t>
  </si>
  <si>
    <t>Project Management</t>
  </si>
  <si>
    <t>Project Control</t>
  </si>
  <si>
    <t>Admin.</t>
  </si>
  <si>
    <t>Engineering Management</t>
  </si>
  <si>
    <t>Design Integration</t>
  </si>
  <si>
    <t>Technical Assurance</t>
  </si>
  <si>
    <t>Project Physics</t>
  </si>
  <si>
    <t>Integrated System test</t>
  </si>
  <si>
    <t>81 Project Management &amp; Control</t>
  </si>
  <si>
    <t>82 Engineering Mgt. &amp; Integration</t>
  </si>
  <si>
    <t>83 E.S.&amp;H. and QA</t>
  </si>
  <si>
    <t>Included in G&amp;A</t>
  </si>
  <si>
    <t>84 Project Physics</t>
  </si>
  <si>
    <t>85 Integrated System Test</t>
  </si>
  <si>
    <t>8 Travel &amp; M&amp;S ($k)</t>
  </si>
  <si>
    <t>G&amp;A</t>
  </si>
  <si>
    <t>Contingency on work to go</t>
  </si>
  <si>
    <t>Project Management &amp; Control</t>
  </si>
  <si>
    <t>Engineering Mgt. &amp; Integration</t>
  </si>
  <si>
    <t>E.S.&amp;H. and QA</t>
  </si>
  <si>
    <t>FY08</t>
  </si>
  <si>
    <t>Reiersen, Brown, Brooks</t>
  </si>
  <si>
    <t>FY09</t>
  </si>
  <si>
    <t>FY10</t>
  </si>
  <si>
    <t>Avg. last 24 months</t>
  </si>
  <si>
    <t>FY-07 ETC Update</t>
  </si>
  <si>
    <t>Annualized FTE's , M&amp;S ,Travel</t>
  </si>
  <si>
    <t>Lyon,Akers,Martin,travel,m&amp;s</t>
  </si>
  <si>
    <t>n/a</t>
  </si>
  <si>
    <t>89 Direct allocations (PPPL applied "overhead")</t>
  </si>
  <si>
    <t>budget based on actual plus 3.5%/yr</t>
  </si>
  <si>
    <t>O</t>
  </si>
  <si>
    <t>N</t>
  </si>
  <si>
    <t>D</t>
  </si>
  <si>
    <t>J</t>
  </si>
  <si>
    <t>F</t>
  </si>
  <si>
    <t>M</t>
  </si>
  <si>
    <t>A</t>
  </si>
  <si>
    <t>S</t>
  </si>
  <si>
    <t>Estimated (as calculated by PPPL based on RM's and EA analysts plus hp techs)</t>
  </si>
  <si>
    <t>hours</t>
  </si>
  <si>
    <t>$k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</si>
</sst>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&quot;$&quot;#,##0.0"/>
    <numFmt numFmtId="168" formatCode="_(&quot;$&quot;* #,##0.0_);_(&quot;$&quot;* \(#,##0.0\);_(&quot;$&quot;* &quot;-&quot;??_);_(@_)"/>
    <numFmt numFmtId="169" formatCode=".00"/>
    <numFmt numFmtId="170" formatCode="_(* #,##0.0_);_(* \(#,##0.0\);_(* &quot;-&quot;??_);_(@_)"/>
    <numFmt numFmtId="171" formatCode="0.000"/>
    <numFmt numFmtId="172" formatCode="_(* #,##0.000_);_(* \(#,##0.000\);_(* &quot;-&quot;???_);_(@_)"/>
    <numFmt numFmtId="173" formatCode="&quot;$&quot;#,##0.0_);\(&quot;$&quot;#,##0.0\)"/>
    <numFmt numFmtId="174" formatCode="0.0"/>
  </numFmts>
  <fonts count="26">
    <font>
      <sz val="10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name val="Arial"/>
      <family val="0"/>
    </font>
    <font>
      <b/>
      <u val="single"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b/>
      <sz val="9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horizontal="centerContinuous"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4" fontId="0" fillId="0" borderId="0" xfId="15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Alignment="1">
      <alignment vertical="top"/>
    </xf>
    <xf numFmtId="0" fontId="7" fillId="0" borderId="0" xfId="0" applyFont="1" applyFill="1" applyAlignment="1">
      <alignment vertical="top"/>
    </xf>
    <xf numFmtId="165" fontId="0" fillId="0" borderId="0" xfId="0" applyNumberFormat="1" applyFill="1" applyAlignment="1">
      <alignment vertical="top"/>
    </xf>
    <xf numFmtId="164" fontId="6" fillId="0" borderId="0" xfId="15" applyNumberFormat="1" applyFont="1" applyFill="1" applyBorder="1" applyAlignment="1">
      <alignment horizontal="centerContinuous" vertical="top"/>
    </xf>
    <xf numFmtId="165" fontId="6" fillId="0" borderId="0" xfId="0" applyNumberFormat="1" applyFont="1" applyFill="1" applyBorder="1" applyAlignment="1">
      <alignment horizontal="centerContinuous" vertical="top"/>
    </xf>
    <xf numFmtId="165" fontId="0" fillId="0" borderId="0" xfId="0" applyNumberFormat="1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centerContinuous" vertical="top"/>
    </xf>
    <xf numFmtId="0" fontId="0" fillId="2" borderId="0" xfId="0" applyFill="1" applyBorder="1" applyAlignment="1">
      <alignment vertical="top"/>
    </xf>
    <xf numFmtId="165" fontId="0" fillId="0" borderId="0" xfId="0" applyNumberForma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165" fontId="10" fillId="0" borderId="0" xfId="17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66" fontId="10" fillId="2" borderId="0" xfId="0" applyNumberFormat="1" applyFont="1" applyFill="1" applyBorder="1" applyAlignment="1">
      <alignment vertical="top"/>
    </xf>
    <xf numFmtId="165" fontId="10" fillId="2" borderId="0" xfId="0" applyNumberFormat="1" applyFont="1" applyFill="1" applyBorder="1" applyAlignment="1">
      <alignment vertical="top"/>
    </xf>
    <xf numFmtId="169" fontId="0" fillId="0" borderId="0" xfId="15" applyNumberFormat="1" applyFont="1" applyFill="1" applyBorder="1" applyAlignment="1">
      <alignment horizontal="center" vertical="top"/>
    </xf>
    <xf numFmtId="169" fontId="9" fillId="0" borderId="0" xfId="15" applyNumberFormat="1" applyFont="1" applyFill="1" applyBorder="1" applyAlignment="1">
      <alignment horizontal="center" vertical="top"/>
    </xf>
    <xf numFmtId="169" fontId="0" fillId="0" borderId="0" xfId="15" applyNumberFormat="1" applyFill="1" applyBorder="1" applyAlignment="1">
      <alignment vertical="top"/>
    </xf>
    <xf numFmtId="169" fontId="0" fillId="2" borderId="0" xfId="15" applyNumberFormat="1" applyFont="1" applyFill="1" applyBorder="1" applyAlignment="1">
      <alignment vertical="top"/>
    </xf>
    <xf numFmtId="169" fontId="0" fillId="2" borderId="0" xfId="15" applyNumberFormat="1" applyFill="1" applyBorder="1" applyAlignment="1">
      <alignment vertical="top"/>
    </xf>
    <xf numFmtId="169" fontId="9" fillId="2" borderId="0" xfId="15" applyNumberFormat="1" applyFont="1" applyFill="1" applyBorder="1" applyAlignment="1">
      <alignment vertical="top"/>
    </xf>
    <xf numFmtId="169" fontId="0" fillId="0" borderId="0" xfId="15" applyNumberFormat="1" applyFill="1" applyBorder="1" applyAlignment="1">
      <alignment horizontal="center" vertical="top"/>
    </xf>
    <xf numFmtId="169" fontId="0" fillId="2" borderId="0" xfId="15" applyNumberFormat="1" applyFill="1" applyBorder="1" applyAlignment="1">
      <alignment horizontal="center" vertical="top"/>
    </xf>
    <xf numFmtId="169" fontId="9" fillId="2" borderId="0" xfId="15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164" fontId="6" fillId="0" borderId="0" xfId="15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/>
    </xf>
    <xf numFmtId="164" fontId="6" fillId="0" borderId="0" xfId="15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164" fontId="6" fillId="2" borderId="0" xfId="15" applyNumberFormat="1" applyFont="1" applyFill="1" applyBorder="1" applyAlignment="1">
      <alignment vertical="top"/>
    </xf>
    <xf numFmtId="165" fontId="0" fillId="2" borderId="0" xfId="0" applyNumberFormat="1" applyFill="1" applyBorder="1" applyAlignment="1">
      <alignment vertical="top"/>
    </xf>
    <xf numFmtId="166" fontId="0" fillId="2" borderId="0" xfId="0" applyNumberForma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0" fillId="2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169" fontId="9" fillId="0" borderId="0" xfId="15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165" fontId="6" fillId="0" borderId="3" xfId="0" applyNumberFormat="1" applyFont="1" applyFill="1" applyBorder="1" applyAlignment="1">
      <alignment horizontal="center" vertical="top"/>
    </xf>
    <xf numFmtId="164" fontId="6" fillId="0" borderId="3" xfId="15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166" fontId="0" fillId="0" borderId="4" xfId="0" applyNumberFormat="1" applyFill="1" applyBorder="1" applyAlignment="1">
      <alignment vertical="top"/>
    </xf>
    <xf numFmtId="165" fontId="0" fillId="0" borderId="4" xfId="0" applyNumberFormat="1" applyFill="1" applyBorder="1" applyAlignment="1">
      <alignment vertical="top"/>
    </xf>
    <xf numFmtId="0" fontId="0" fillId="2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0" borderId="5" xfId="0" applyFont="1" applyFill="1" applyBorder="1" applyAlignment="1">
      <alignment vertical="top"/>
    </xf>
    <xf numFmtId="0" fontId="11" fillId="0" borderId="6" xfId="0" applyFont="1" applyFill="1" applyBorder="1" applyAlignment="1">
      <alignment vertical="top"/>
    </xf>
    <xf numFmtId="0" fontId="11" fillId="0" borderId="7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horizontal="centerContinuous" vertical="top"/>
    </xf>
    <xf numFmtId="165" fontId="3" fillId="0" borderId="11" xfId="0" applyNumberFormat="1" applyFont="1" applyFill="1" applyBorder="1" applyAlignment="1">
      <alignment horizontal="centerContinuous" vertical="top"/>
    </xf>
    <xf numFmtId="166" fontId="3" fillId="0" borderId="11" xfId="0" applyNumberFormat="1" applyFont="1" applyFill="1" applyBorder="1" applyAlignment="1">
      <alignment horizontal="centerContinuous" vertical="top"/>
    </xf>
    <xf numFmtId="165" fontId="3" fillId="0" borderId="12" xfId="0" applyNumberFormat="1" applyFont="1" applyFill="1" applyBorder="1" applyAlignment="1">
      <alignment horizontal="centerContinuous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0" borderId="0" xfId="0" applyFill="1" applyAlignment="1">
      <alignment horizontal="right" vertical="top"/>
    </xf>
    <xf numFmtId="164" fontId="12" fillId="0" borderId="0" xfId="15" applyNumberFormat="1" applyFont="1" applyFill="1" applyAlignment="1">
      <alignment vertical="top"/>
    </xf>
    <xf numFmtId="166" fontId="13" fillId="3" borderId="0" xfId="0" applyNumberFormat="1" applyFont="1" applyFill="1" applyAlignment="1">
      <alignment vertical="top"/>
    </xf>
    <xf numFmtId="166" fontId="13" fillId="3" borderId="0" xfId="0" applyNumberFormat="1" applyFont="1" applyFill="1" applyBorder="1" applyAlignment="1">
      <alignment vertical="top"/>
    </xf>
    <xf numFmtId="166" fontId="14" fillId="3" borderId="0" xfId="0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166" fontId="14" fillId="3" borderId="0" xfId="0" applyNumberFormat="1" applyFont="1" applyFill="1" applyBorder="1" applyAlignment="1">
      <alignment horizontal="center" vertical="top" wrapText="1"/>
    </xf>
    <xf numFmtId="165" fontId="13" fillId="3" borderId="0" xfId="0" applyNumberFormat="1" applyFont="1" applyFill="1" applyBorder="1" applyAlignment="1">
      <alignment vertical="top"/>
    </xf>
    <xf numFmtId="165" fontId="13" fillId="3" borderId="0" xfId="21" applyNumberFormat="1" applyFont="1" applyFill="1" applyBorder="1" applyAlignment="1">
      <alignment vertical="top"/>
    </xf>
    <xf numFmtId="165" fontId="13" fillId="3" borderId="3" xfId="0" applyNumberFormat="1" applyFont="1" applyFill="1" applyBorder="1" applyAlignment="1">
      <alignment vertical="top"/>
    </xf>
    <xf numFmtId="165" fontId="13" fillId="3" borderId="2" xfId="0" applyNumberFormat="1" applyFont="1" applyFill="1" applyBorder="1" applyAlignment="1">
      <alignment vertical="top"/>
    </xf>
    <xf numFmtId="165" fontId="13" fillId="3" borderId="1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43" fontId="0" fillId="0" borderId="2" xfId="15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43" fontId="0" fillId="0" borderId="0" xfId="15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5" fontId="10" fillId="0" borderId="0" xfId="15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165" fontId="10" fillId="0" borderId="1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43" fontId="0" fillId="0" borderId="2" xfId="15" applyFont="1" applyFill="1" applyBorder="1" applyAlignment="1">
      <alignment horizontal="right" vertical="top"/>
    </xf>
    <xf numFmtId="43" fontId="0" fillId="0" borderId="2" xfId="15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65" fontId="10" fillId="0" borderId="0" xfId="17" applyNumberFormat="1" applyFont="1" applyFill="1" applyBorder="1" applyAlignment="1">
      <alignment vertical="top"/>
    </xf>
    <xf numFmtId="165" fontId="10" fillId="0" borderId="1" xfId="17" applyNumberFormat="1" applyFont="1" applyFill="1" applyBorder="1" applyAlignment="1">
      <alignment vertical="top"/>
    </xf>
    <xf numFmtId="165" fontId="10" fillId="0" borderId="13" xfId="17" applyNumberFormat="1" applyFont="1" applyFill="1" applyBorder="1" applyAlignment="1">
      <alignment vertical="top"/>
    </xf>
    <xf numFmtId="43" fontId="0" fillId="0" borderId="2" xfId="15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165" fontId="0" fillId="0" borderId="14" xfId="0" applyNumberFormat="1" applyFont="1" applyFill="1" applyBorder="1" applyAlignment="1">
      <alignment vertical="top"/>
    </xf>
    <xf numFmtId="43" fontId="0" fillId="0" borderId="0" xfId="15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166" fontId="0" fillId="0" borderId="1" xfId="0" applyNumberFormat="1" applyFont="1" applyFill="1" applyBorder="1" applyAlignment="1">
      <alignment vertical="top"/>
    </xf>
    <xf numFmtId="165" fontId="0" fillId="0" borderId="1" xfId="0" applyNumberFormat="1" applyFont="1" applyFill="1" applyBorder="1" applyAlignment="1">
      <alignment vertical="top"/>
    </xf>
    <xf numFmtId="43" fontId="12" fillId="0" borderId="0" xfId="15" applyFont="1" applyFill="1" applyBorder="1" applyAlignment="1">
      <alignment vertical="top"/>
    </xf>
    <xf numFmtId="43" fontId="12" fillId="0" borderId="15" xfId="15" applyFont="1" applyFill="1" applyBorder="1" applyAlignment="1">
      <alignment vertical="top"/>
    </xf>
    <xf numFmtId="43" fontId="0" fillId="0" borderId="0" xfId="15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43" fontId="0" fillId="0" borderId="15" xfId="15" applyFont="1" applyFill="1" applyBorder="1" applyAlignment="1">
      <alignment vertical="top"/>
    </xf>
    <xf numFmtId="43" fontId="0" fillId="0" borderId="15" xfId="15" applyFont="1" applyFill="1" applyBorder="1" applyAlignment="1">
      <alignment vertical="top"/>
    </xf>
    <xf numFmtId="43" fontId="0" fillId="0" borderId="0" xfId="15" applyFont="1" applyFill="1" applyBorder="1" applyAlignment="1">
      <alignment horizontal="right" vertical="top"/>
    </xf>
    <xf numFmtId="43" fontId="0" fillId="0" borderId="0" xfId="15" applyFont="1" applyFill="1" applyBorder="1" applyAlignment="1">
      <alignment horizontal="center" vertical="top"/>
    </xf>
    <xf numFmtId="43" fontId="0" fillId="0" borderId="15" xfId="15" applyFont="1" applyFill="1" applyBorder="1" applyAlignment="1">
      <alignment horizontal="center" vertical="top"/>
    </xf>
    <xf numFmtId="165" fontId="0" fillId="0" borderId="2" xfId="0" applyNumberFormat="1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vertical="top"/>
    </xf>
    <xf numFmtId="165" fontId="0" fillId="0" borderId="15" xfId="0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165" fontId="6" fillId="2" borderId="3" xfId="0" applyNumberFormat="1" applyFont="1" applyFill="1" applyBorder="1" applyAlignment="1">
      <alignment horizontal="center" vertical="top"/>
    </xf>
    <xf numFmtId="165" fontId="6" fillId="2" borderId="3" xfId="15" applyNumberFormat="1" applyFont="1" applyFill="1" applyBorder="1" applyAlignment="1">
      <alignment horizontal="center" vertical="top"/>
    </xf>
    <xf numFmtId="165" fontId="6" fillId="2" borderId="3" xfId="0" applyNumberFormat="1" applyFont="1" applyFill="1" applyBorder="1" applyAlignment="1">
      <alignment horizontal="right" vertical="top"/>
    </xf>
    <xf numFmtId="0" fontId="0" fillId="2" borderId="16" xfId="0" applyFont="1" applyFill="1" applyBorder="1" applyAlignment="1">
      <alignment vertical="top"/>
    </xf>
    <xf numFmtId="165" fontId="0" fillId="2" borderId="17" xfId="0" applyNumberFormat="1" applyFont="1" applyFill="1" applyBorder="1" applyAlignment="1">
      <alignment vertical="top"/>
    </xf>
    <xf numFmtId="165" fontId="0" fillId="2" borderId="2" xfId="0" applyNumberFormat="1" applyFont="1" applyFill="1" applyBorder="1" applyAlignment="1">
      <alignment vertical="top"/>
    </xf>
    <xf numFmtId="165" fontId="6" fillId="2" borderId="2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>
      <alignment vertical="top"/>
    </xf>
    <xf numFmtId="165" fontId="0" fillId="2" borderId="18" xfId="0" applyNumberFormat="1" applyFont="1" applyFill="1" applyBorder="1" applyAlignment="1">
      <alignment vertical="top"/>
    </xf>
    <xf numFmtId="165" fontId="0" fillId="2" borderId="0" xfId="0" applyNumberFormat="1" applyFont="1" applyFill="1" applyBorder="1" applyAlignment="1">
      <alignment vertical="top"/>
    </xf>
    <xf numFmtId="165" fontId="6" fillId="2" borderId="0" xfId="0" applyNumberFormat="1" applyFont="1" applyFill="1" applyBorder="1" applyAlignment="1">
      <alignment vertical="top"/>
    </xf>
    <xf numFmtId="165" fontId="6" fillId="2" borderId="0" xfId="0" applyNumberFormat="1" applyFont="1" applyFill="1" applyBorder="1" applyAlignment="1">
      <alignment horizontal="right" vertical="top"/>
    </xf>
    <xf numFmtId="0" fontId="0" fillId="2" borderId="15" xfId="0" applyFont="1" applyFill="1" applyBorder="1" applyAlignment="1">
      <alignment vertical="top"/>
    </xf>
    <xf numFmtId="165" fontId="6" fillId="2" borderId="18" xfId="0" applyNumberFormat="1" applyFont="1" applyFill="1" applyBorder="1" applyAlignment="1">
      <alignment vertical="top"/>
    </xf>
    <xf numFmtId="165" fontId="0" fillId="2" borderId="19" xfId="0" applyNumberFormat="1" applyFont="1" applyFill="1" applyBorder="1" applyAlignment="1">
      <alignment vertical="top"/>
    </xf>
    <xf numFmtId="165" fontId="0" fillId="2" borderId="1" xfId="0" applyNumberFormat="1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right" vertical="top"/>
    </xf>
    <xf numFmtId="165" fontId="15" fillId="2" borderId="13" xfId="0" applyNumberFormat="1" applyFont="1" applyFill="1" applyBorder="1" applyAlignment="1">
      <alignment vertical="top"/>
    </xf>
    <xf numFmtId="165" fontId="0" fillId="2" borderId="17" xfId="0" applyNumberFormat="1" applyFont="1" applyFill="1" applyBorder="1" applyAlignment="1">
      <alignment vertical="top"/>
    </xf>
    <xf numFmtId="165" fontId="0" fillId="2" borderId="2" xfId="0" applyNumberFormat="1" applyFont="1" applyFill="1" applyBorder="1" applyAlignment="1">
      <alignment vertical="top"/>
    </xf>
    <xf numFmtId="165" fontId="15" fillId="2" borderId="14" xfId="0" applyNumberFormat="1" applyFont="1" applyFill="1" applyBorder="1" applyAlignment="1">
      <alignment vertical="top"/>
    </xf>
    <xf numFmtId="165" fontId="0" fillId="2" borderId="18" xfId="0" applyNumberFormat="1" applyFont="1" applyFill="1" applyBorder="1" applyAlignment="1">
      <alignment vertical="top"/>
    </xf>
    <xf numFmtId="165" fontId="0" fillId="2" borderId="0" xfId="0" applyNumberFormat="1" applyFont="1" applyFill="1" applyBorder="1" applyAlignment="1">
      <alignment vertical="top"/>
    </xf>
    <xf numFmtId="165" fontId="15" fillId="2" borderId="15" xfId="0" applyNumberFormat="1" applyFont="1" applyFill="1" applyBorder="1" applyAlignment="1">
      <alignment vertical="top"/>
    </xf>
    <xf numFmtId="165" fontId="0" fillId="2" borderId="19" xfId="0" applyNumberFormat="1" applyFont="1" applyFill="1" applyBorder="1" applyAlignment="1">
      <alignment vertical="top"/>
    </xf>
    <xf numFmtId="165" fontId="0" fillId="2" borderId="1" xfId="0" applyNumberFormat="1" applyFont="1" applyFill="1" applyBorder="1" applyAlignment="1">
      <alignment vertical="top"/>
    </xf>
    <xf numFmtId="165" fontId="0" fillId="2" borderId="0" xfId="0" applyNumberFormat="1" applyFont="1" applyFill="1" applyBorder="1" applyAlignment="1">
      <alignment horizontal="right" vertical="top"/>
    </xf>
    <xf numFmtId="165" fontId="16" fillId="2" borderId="13" xfId="0" applyNumberFormat="1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165" fontId="16" fillId="2" borderId="14" xfId="0" applyNumberFormat="1" applyFont="1" applyFill="1" applyBorder="1" applyAlignment="1">
      <alignment vertical="top"/>
    </xf>
    <xf numFmtId="165" fontId="16" fillId="2" borderId="15" xfId="0" applyNumberFormat="1" applyFont="1" applyFill="1" applyBorder="1" applyAlignment="1">
      <alignment vertical="top"/>
    </xf>
    <xf numFmtId="43" fontId="0" fillId="0" borderId="14" xfId="15" applyFont="1" applyFill="1" applyBorder="1" applyAlignment="1">
      <alignment vertical="top"/>
    </xf>
    <xf numFmtId="165" fontId="10" fillId="0" borderId="15" xfId="15" applyNumberFormat="1" applyFont="1" applyFill="1" applyBorder="1" applyAlignment="1">
      <alignment vertical="top"/>
    </xf>
    <xf numFmtId="165" fontId="10" fillId="0" borderId="13" xfId="0" applyNumberFormat="1" applyFont="1" applyFill="1" applyBorder="1" applyAlignment="1">
      <alignment vertical="top"/>
    </xf>
    <xf numFmtId="43" fontId="0" fillId="0" borderId="14" xfId="15" applyFont="1" applyFill="1" applyBorder="1" applyAlignment="1">
      <alignment horizontal="center" vertical="top"/>
    </xf>
    <xf numFmtId="165" fontId="10" fillId="0" borderId="15" xfId="17" applyNumberFormat="1" applyFont="1" applyFill="1" applyBorder="1" applyAlignment="1">
      <alignment vertical="top"/>
    </xf>
    <xf numFmtId="42" fontId="10" fillId="0" borderId="0" xfId="0" applyNumberFormat="1" applyFont="1" applyFill="1" applyBorder="1" applyAlignment="1">
      <alignment vertical="top"/>
    </xf>
    <xf numFmtId="167" fontId="0" fillId="0" borderId="13" xfId="0" applyNumberFormat="1" applyFont="1" applyFill="1" applyBorder="1" applyAlignment="1">
      <alignment vertical="top"/>
    </xf>
    <xf numFmtId="43" fontId="0" fillId="0" borderId="15" xfId="15" applyFont="1" applyFill="1" applyBorder="1" applyAlignment="1">
      <alignment horizontal="right" vertical="top"/>
    </xf>
    <xf numFmtId="42" fontId="10" fillId="0" borderId="15" xfId="0" applyNumberFormat="1" applyFont="1" applyFill="1" applyBorder="1" applyAlignment="1">
      <alignment vertical="top"/>
    </xf>
    <xf numFmtId="165" fontId="0" fillId="2" borderId="4" xfId="0" applyNumberFormat="1" applyFont="1" applyFill="1" applyBorder="1" applyAlignment="1">
      <alignment vertical="top"/>
    </xf>
    <xf numFmtId="165" fontId="6" fillId="2" borderId="4" xfId="0" applyNumberFormat="1" applyFont="1" applyFill="1" applyBorder="1" applyAlignment="1">
      <alignment horizontal="right" vertical="top"/>
    </xf>
    <xf numFmtId="165" fontId="0" fillId="2" borderId="20" xfId="0" applyNumberFormat="1" applyFont="1" applyFill="1" applyBorder="1" applyAlignment="1">
      <alignment vertical="top"/>
    </xf>
    <xf numFmtId="2" fontId="0" fillId="0" borderId="14" xfId="0" applyNumberFormat="1" applyFont="1" applyFill="1" applyBorder="1" applyAlignment="1">
      <alignment vertical="top"/>
    </xf>
    <xf numFmtId="2" fontId="0" fillId="0" borderId="15" xfId="0" applyNumberFormat="1" applyFill="1" applyBorder="1" applyAlignment="1">
      <alignment vertical="top"/>
    </xf>
    <xf numFmtId="2" fontId="0" fillId="0" borderId="15" xfId="0" applyNumberFormat="1" applyFont="1" applyFill="1" applyBorder="1" applyAlignment="1">
      <alignment vertical="top"/>
    </xf>
    <xf numFmtId="2" fontId="0" fillId="0" borderId="21" xfId="0" applyNumberFormat="1" applyFill="1" applyBorder="1" applyAlignment="1">
      <alignment vertical="top"/>
    </xf>
    <xf numFmtId="4" fontId="0" fillId="0" borderId="4" xfId="15" applyNumberFormat="1" applyFill="1" applyBorder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3" fillId="3" borderId="0" xfId="0" applyFont="1" applyFill="1" applyAlignment="1">
      <alignment vertical="top"/>
    </xf>
    <xf numFmtId="6" fontId="0" fillId="2" borderId="0" xfId="0" applyNumberFormat="1" applyFont="1" applyFill="1" applyAlignment="1">
      <alignment vertical="top"/>
    </xf>
    <xf numFmtId="0" fontId="12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horizontal="right" vertical="top"/>
    </xf>
    <xf numFmtId="6" fontId="0" fillId="0" borderId="0" xfId="0" applyNumberFormat="1" applyFont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0" fillId="0" borderId="17" xfId="0" applyFont="1" applyBorder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6" fontId="0" fillId="0" borderId="11" xfId="0" applyNumberFormat="1" applyFont="1" applyBorder="1" applyAlignment="1">
      <alignment vertical="top"/>
    </xf>
    <xf numFmtId="6" fontId="0" fillId="0" borderId="12" xfId="0" applyNumberFormat="1" applyFont="1" applyBorder="1" applyAlignment="1">
      <alignment vertical="top"/>
    </xf>
    <xf numFmtId="6" fontId="0" fillId="0" borderId="14" xfId="0" applyNumberFormat="1" applyFont="1" applyBorder="1" applyAlignment="1">
      <alignment vertical="top"/>
    </xf>
    <xf numFmtId="9" fontId="0" fillId="0" borderId="0" xfId="0" applyNumberFormat="1" applyFont="1" applyAlignment="1">
      <alignment vertical="top"/>
    </xf>
    <xf numFmtId="6" fontId="0" fillId="0" borderId="15" xfId="0" applyNumberFormat="1" applyFont="1" applyBorder="1" applyAlignment="1">
      <alignment vertical="top"/>
    </xf>
    <xf numFmtId="9" fontId="0" fillId="0" borderId="13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169" fontId="0" fillId="2" borderId="0" xfId="15" applyNumberFormat="1" applyFill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2" xfId="0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0" borderId="15" xfId="0" applyFont="1" applyBorder="1" applyAlignment="1">
      <alignment horizontal="center" vertical="top"/>
    </xf>
    <xf numFmtId="2" fontId="0" fillId="0" borderId="18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2" fontId="0" fillId="0" borderId="0" xfId="0" applyNumberFormat="1" applyFont="1" applyAlignment="1">
      <alignment horizontal="right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right" vertical="top"/>
    </xf>
    <xf numFmtId="2" fontId="0" fillId="0" borderId="2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64" fontId="0" fillId="0" borderId="0" xfId="15" applyNumberFormat="1" applyFill="1" applyBorder="1" applyAlignment="1">
      <alignment vertical="top"/>
    </xf>
    <xf numFmtId="169" fontId="0" fillId="0" borderId="0" xfId="15" applyNumberFormat="1" applyFill="1" applyBorder="1" applyAlignment="1">
      <alignment vertical="top"/>
    </xf>
    <xf numFmtId="169" fontId="0" fillId="2" borderId="0" xfId="15" applyNumberFormat="1" applyFont="1" applyFill="1" applyBorder="1" applyAlignment="1">
      <alignment vertical="top"/>
    </xf>
    <xf numFmtId="169" fontId="0" fillId="0" borderId="0" xfId="15" applyNumberFormat="1" applyFill="1" applyBorder="1" applyAlignment="1">
      <alignment horizontal="center" vertical="top"/>
    </xf>
    <xf numFmtId="169" fontId="0" fillId="2" borderId="0" xfId="15" applyNumberFormat="1" applyFill="1" applyBorder="1" applyAlignment="1">
      <alignment horizontal="center" vertical="top"/>
    </xf>
    <xf numFmtId="0" fontId="0" fillId="2" borderId="16" xfId="0" applyFont="1" applyFill="1" applyBorder="1" applyAlignment="1">
      <alignment vertical="top"/>
    </xf>
    <xf numFmtId="165" fontId="10" fillId="0" borderId="0" xfId="15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165" fontId="10" fillId="0" borderId="1" xfId="0" applyNumberFormat="1" applyFont="1" applyFill="1" applyBorder="1" applyAlignment="1">
      <alignment vertical="top"/>
    </xf>
    <xf numFmtId="165" fontId="0" fillId="2" borderId="17" xfId="0" applyNumberFormat="1" applyFont="1" applyFill="1" applyBorder="1" applyAlignment="1">
      <alignment vertical="top"/>
    </xf>
    <xf numFmtId="165" fontId="0" fillId="2" borderId="2" xfId="0" applyNumberFormat="1" applyFont="1" applyFill="1" applyBorder="1" applyAlignment="1">
      <alignment vertical="top"/>
    </xf>
    <xf numFmtId="0" fontId="0" fillId="2" borderId="14" xfId="0" applyFont="1" applyFill="1" applyBorder="1" applyAlignment="1">
      <alignment vertical="top"/>
    </xf>
    <xf numFmtId="165" fontId="0" fillId="2" borderId="18" xfId="0" applyNumberFormat="1" applyFont="1" applyFill="1" applyBorder="1" applyAlignment="1">
      <alignment vertical="top"/>
    </xf>
    <xf numFmtId="165" fontId="0" fillId="2" borderId="0" xfId="0" applyNumberFormat="1" applyFont="1" applyFill="1" applyBorder="1" applyAlignment="1">
      <alignment vertical="top"/>
    </xf>
    <xf numFmtId="0" fontId="0" fillId="2" borderId="15" xfId="0" applyFont="1" applyFill="1" applyBorder="1" applyAlignment="1">
      <alignment vertical="top"/>
    </xf>
    <xf numFmtId="43" fontId="0" fillId="0" borderId="15" xfId="15" applyFont="1" applyFill="1" applyBorder="1" applyAlignment="1">
      <alignment vertical="top"/>
    </xf>
    <xf numFmtId="165" fontId="0" fillId="2" borderId="19" xfId="0" applyNumberFormat="1" applyFont="1" applyFill="1" applyBorder="1" applyAlignment="1">
      <alignment vertical="top"/>
    </xf>
    <xf numFmtId="165" fontId="0" fillId="2" borderId="1" xfId="0" applyNumberFormat="1" applyFont="1" applyFill="1" applyBorder="1" applyAlignment="1">
      <alignment vertical="top"/>
    </xf>
    <xf numFmtId="43" fontId="0" fillId="0" borderId="2" xfId="15" applyFont="1" applyFill="1" applyBorder="1" applyAlignment="1">
      <alignment horizontal="center" vertical="top"/>
    </xf>
    <xf numFmtId="43" fontId="0" fillId="0" borderId="0" xfId="15" applyFont="1" applyFill="1" applyBorder="1" applyAlignment="1">
      <alignment horizontal="right" vertical="top"/>
    </xf>
    <xf numFmtId="43" fontId="0" fillId="0" borderId="0" xfId="15" applyFont="1" applyFill="1" applyBorder="1" applyAlignment="1">
      <alignment horizontal="center" vertical="top"/>
    </xf>
    <xf numFmtId="43" fontId="0" fillId="0" borderId="15" xfId="15" applyFont="1" applyFill="1" applyBorder="1" applyAlignment="1">
      <alignment horizontal="center" vertical="top"/>
    </xf>
    <xf numFmtId="43" fontId="0" fillId="0" borderId="15" xfId="15" applyFont="1" applyFill="1" applyBorder="1" applyAlignment="1">
      <alignment horizontal="right" vertical="top"/>
    </xf>
    <xf numFmtId="166" fontId="0" fillId="0" borderId="2" xfId="0" applyNumberFormat="1" applyFont="1" applyFill="1" applyBorder="1" applyAlignment="1">
      <alignment vertical="top"/>
    </xf>
    <xf numFmtId="165" fontId="0" fillId="0" borderId="14" xfId="0" applyNumberFormat="1" applyFont="1" applyFill="1" applyBorder="1" applyAlignment="1">
      <alignment vertical="top"/>
    </xf>
    <xf numFmtId="165" fontId="0" fillId="0" borderId="2" xfId="0" applyNumberFormat="1" applyFont="1" applyFill="1" applyBorder="1" applyAlignment="1">
      <alignment vertical="top"/>
    </xf>
    <xf numFmtId="165" fontId="0" fillId="2" borderId="0" xfId="0" applyNumberFormat="1" applyFont="1" applyFill="1" applyBorder="1" applyAlignment="1">
      <alignment horizontal="right" vertical="top"/>
    </xf>
    <xf numFmtId="166" fontId="0" fillId="0" borderId="0" xfId="0" applyNumberFormat="1" applyFont="1" applyFill="1" applyBorder="1" applyAlignment="1">
      <alignment vertical="top"/>
    </xf>
    <xf numFmtId="165" fontId="0" fillId="0" borderId="15" xfId="0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166" fontId="0" fillId="0" borderId="1" xfId="0" applyNumberFormat="1" applyFont="1" applyFill="1" applyBorder="1" applyAlignment="1">
      <alignment vertical="top"/>
    </xf>
    <xf numFmtId="167" fontId="0" fillId="0" borderId="13" xfId="0" applyNumberFormat="1" applyFont="1" applyFill="1" applyBorder="1" applyAlignment="1">
      <alignment vertical="top"/>
    </xf>
    <xf numFmtId="2" fontId="0" fillId="0" borderId="14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top"/>
    </xf>
    <xf numFmtId="4" fontId="0" fillId="0" borderId="4" xfId="15" applyNumberFormat="1" applyFill="1" applyBorder="1" applyAlignment="1">
      <alignment vertical="top"/>
    </xf>
    <xf numFmtId="165" fontId="0" fillId="2" borderId="20" xfId="0" applyNumberFormat="1" applyFont="1" applyFill="1" applyBorder="1" applyAlignment="1">
      <alignment vertical="top"/>
    </xf>
    <xf numFmtId="165" fontId="0" fillId="2" borderId="4" xfId="0" applyNumberFormat="1" applyFont="1" applyFill="1" applyBorder="1" applyAlignment="1">
      <alignment vertical="top"/>
    </xf>
    <xf numFmtId="43" fontId="0" fillId="0" borderId="22" xfId="15" applyFont="1" applyFill="1" applyBorder="1" applyAlignment="1">
      <alignment vertical="top"/>
    </xf>
    <xf numFmtId="165" fontId="6" fillId="2" borderId="3" xfId="0" applyNumberFormat="1" applyFont="1" applyFill="1" applyBorder="1" applyAlignment="1">
      <alignment horizontal="center" vertical="top"/>
    </xf>
    <xf numFmtId="43" fontId="0" fillId="2" borderId="2" xfId="15" applyFont="1" applyFill="1" applyBorder="1" applyAlignment="1">
      <alignment vertical="top"/>
    </xf>
    <xf numFmtId="43" fontId="0" fillId="2" borderId="0" xfId="15" applyFont="1" applyFill="1" applyBorder="1" applyAlignment="1">
      <alignment vertical="top"/>
    </xf>
    <xf numFmtId="165" fontId="10" fillId="2" borderId="0" xfId="15" applyNumberFormat="1" applyFont="1" applyFill="1" applyBorder="1" applyAlignment="1">
      <alignment vertical="top"/>
    </xf>
    <xf numFmtId="165" fontId="10" fillId="2" borderId="1" xfId="0" applyNumberFormat="1" applyFont="1" applyFill="1" applyBorder="1" applyAlignment="1">
      <alignment vertical="top"/>
    </xf>
    <xf numFmtId="43" fontId="0" fillId="2" borderId="2" xfId="15" applyFont="1" applyFill="1" applyBorder="1" applyAlignment="1">
      <alignment horizontal="right" vertical="top"/>
    </xf>
    <xf numFmtId="43" fontId="0" fillId="2" borderId="2" xfId="15" applyFont="1" applyFill="1" applyBorder="1" applyAlignment="1">
      <alignment horizontal="center" vertical="top"/>
    </xf>
    <xf numFmtId="43" fontId="0" fillId="2" borderId="0" xfId="15" applyFont="1" applyFill="1" applyBorder="1" applyAlignment="1">
      <alignment horizontal="right" vertical="top"/>
    </xf>
    <xf numFmtId="43" fontId="0" fillId="2" borderId="0" xfId="15" applyFont="1" applyFill="1" applyBorder="1" applyAlignment="1">
      <alignment horizontal="center" vertical="top"/>
    </xf>
    <xf numFmtId="165" fontId="10" fillId="2" borderId="0" xfId="17" applyNumberFormat="1" applyFont="1" applyFill="1" applyBorder="1" applyAlignment="1">
      <alignment vertical="top"/>
    </xf>
    <xf numFmtId="165" fontId="10" fillId="2" borderId="1" xfId="17" applyNumberFormat="1" applyFont="1" applyFill="1" applyBorder="1" applyAlignment="1">
      <alignment vertical="top"/>
    </xf>
    <xf numFmtId="165" fontId="10" fillId="2" borderId="0" xfId="0" applyNumberFormat="1" applyFont="1" applyFill="1" applyBorder="1" applyAlignment="1">
      <alignment vertical="top"/>
    </xf>
    <xf numFmtId="166" fontId="0" fillId="2" borderId="0" xfId="0" applyNumberFormat="1" applyFont="1" applyFill="1" applyBorder="1" applyAlignment="1">
      <alignment vertical="top"/>
    </xf>
    <xf numFmtId="166" fontId="0" fillId="2" borderId="1" xfId="0" applyNumberFormat="1" applyFont="1" applyFill="1" applyBorder="1" applyAlignment="1">
      <alignment vertical="top"/>
    </xf>
    <xf numFmtId="166" fontId="0" fillId="2" borderId="4" xfId="0" applyNumberFormat="1" applyFill="1" applyBorder="1" applyAlignment="1">
      <alignment vertical="top"/>
    </xf>
    <xf numFmtId="165" fontId="0" fillId="2" borderId="4" xfId="0" applyNumberForma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65" fontId="6" fillId="0" borderId="23" xfId="0" applyNumberFormat="1" applyFont="1" applyFill="1" applyBorder="1" applyAlignment="1">
      <alignment horizontal="center" vertical="top"/>
    </xf>
    <xf numFmtId="43" fontId="0" fillId="0" borderId="17" xfId="15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166" fontId="3" fillId="0" borderId="10" xfId="0" applyNumberFormat="1" applyFont="1" applyFill="1" applyBorder="1" applyAlignment="1">
      <alignment vertical="top"/>
    </xf>
    <xf numFmtId="43" fontId="0" fillId="0" borderId="18" xfId="15" applyFont="1" applyFill="1" applyBorder="1" applyAlignment="1">
      <alignment vertical="top"/>
    </xf>
    <xf numFmtId="165" fontId="10" fillId="0" borderId="18" xfId="15" applyNumberFormat="1" applyFont="1" applyFill="1" applyBorder="1" applyAlignment="1">
      <alignment vertical="top"/>
    </xf>
    <xf numFmtId="165" fontId="10" fillId="0" borderId="19" xfId="0" applyNumberFormat="1" applyFont="1" applyFill="1" applyBorder="1" applyAlignment="1">
      <alignment vertical="top"/>
    </xf>
    <xf numFmtId="43" fontId="19" fillId="0" borderId="0" xfId="15" applyFont="1" applyFill="1" applyBorder="1" applyAlignment="1">
      <alignment vertical="top"/>
    </xf>
    <xf numFmtId="165" fontId="20" fillId="0" borderId="18" xfId="15" applyNumberFormat="1" applyFont="1" applyFill="1" applyBorder="1" applyAlignment="1">
      <alignment vertical="top"/>
    </xf>
    <xf numFmtId="165" fontId="20" fillId="0" borderId="0" xfId="15" applyNumberFormat="1" applyFont="1" applyFill="1" applyBorder="1" applyAlignment="1">
      <alignment vertical="top"/>
    </xf>
    <xf numFmtId="0" fontId="0" fillId="0" borderId="24" xfId="0" applyFill="1" applyBorder="1" applyAlignment="1">
      <alignment horizontal="center" vertical="top" wrapText="1"/>
    </xf>
    <xf numFmtId="0" fontId="10" fillId="4" borderId="25" xfId="0" applyFont="1" applyFill="1" applyBorder="1" applyAlignment="1">
      <alignment vertical="top"/>
    </xf>
    <xf numFmtId="43" fontId="19" fillId="0" borderId="18" xfId="15" applyFont="1" applyFill="1" applyBorder="1" applyAlignment="1">
      <alignment vertical="top"/>
    </xf>
    <xf numFmtId="0" fontId="0" fillId="4" borderId="26" xfId="0" applyFont="1" applyFill="1" applyBorder="1" applyAlignment="1">
      <alignment horizontal="center" vertical="top"/>
    </xf>
    <xf numFmtId="0" fontId="0" fillId="4" borderId="22" xfId="0" applyFont="1" applyFill="1" applyBorder="1" applyAlignment="1">
      <alignment horizontal="center" vertical="top"/>
    </xf>
    <xf numFmtId="0" fontId="10" fillId="4" borderId="22" xfId="0" applyFont="1" applyFill="1" applyBorder="1" applyAlignment="1">
      <alignment horizontal="center" vertical="top"/>
    </xf>
    <xf numFmtId="5" fontId="21" fillId="4" borderId="22" xfId="0" applyNumberFormat="1" applyFont="1" applyFill="1" applyBorder="1" applyAlignment="1">
      <alignment horizontal="center" vertical="top"/>
    </xf>
    <xf numFmtId="5" fontId="21" fillId="0" borderId="18" xfId="15" applyNumberFormat="1" applyFont="1" applyFill="1" applyBorder="1" applyAlignment="1">
      <alignment vertical="top"/>
    </xf>
    <xf numFmtId="5" fontId="21" fillId="0" borderId="0" xfId="15" applyNumberFormat="1" applyFont="1" applyFill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0" xfId="0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165" fontId="22" fillId="0" borderId="0" xfId="0" applyNumberFormat="1" applyFont="1" applyFill="1" applyAlignment="1">
      <alignment vertical="top"/>
    </xf>
    <xf numFmtId="43" fontId="23" fillId="0" borderId="0" xfId="15" applyFont="1" applyFill="1" applyBorder="1" applyAlignment="1">
      <alignment vertical="top"/>
    </xf>
    <xf numFmtId="165" fontId="24" fillId="0" borderId="0" xfId="15" applyNumberFormat="1" applyFont="1" applyFill="1" applyBorder="1" applyAlignment="1">
      <alignment vertical="top"/>
    </xf>
    <xf numFmtId="165" fontId="24" fillId="0" borderId="0" xfId="15" applyNumberFormat="1" applyFont="1" applyFill="1" applyBorder="1" applyAlignment="1">
      <alignment vertical="top" wrapText="1"/>
    </xf>
    <xf numFmtId="164" fontId="25" fillId="0" borderId="0" xfId="15" applyNumberFormat="1" applyFont="1" applyFill="1" applyAlignment="1">
      <alignment vertical="top" wrapText="1"/>
    </xf>
    <xf numFmtId="43" fontId="23" fillId="0" borderId="0" xfId="15" applyFont="1" applyFill="1" applyBorder="1" applyAlignment="1">
      <alignment vertical="top" wrapText="1"/>
    </xf>
    <xf numFmtId="165" fontId="24" fillId="0" borderId="1" xfId="0" applyNumberFormat="1" applyFont="1" applyFill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165" fontId="23" fillId="0" borderId="0" xfId="0" applyNumberFormat="1" applyFont="1" applyFill="1" applyAlignment="1">
      <alignment vertical="top"/>
    </xf>
    <xf numFmtId="1" fontId="19" fillId="0" borderId="11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vertical="top"/>
    </xf>
    <xf numFmtId="2" fontId="0" fillId="0" borderId="17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centerContinuous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209550</xdr:colOff>
      <xdr:row>1</xdr:row>
      <xdr:rowOff>28575</xdr:rowOff>
    </xdr:from>
    <xdr:to>
      <xdr:col>61</xdr:col>
      <xdr:colOff>95250</xdr:colOff>
      <xdr:row>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17916525" y="266700"/>
          <a:ext cx="95250" cy="2000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2</xdr:row>
      <xdr:rowOff>123825</xdr:rowOff>
    </xdr:from>
    <xdr:to>
      <xdr:col>61</xdr:col>
      <xdr:colOff>247650</xdr:colOff>
      <xdr:row>4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8135600" y="847725"/>
          <a:ext cx="28575" cy="352425"/>
        </a:xfrm>
        <a:prstGeom prst="borderCallout1">
          <a:avLst>
            <a:gd name="adj1" fmla="val -100000"/>
            <a:gd name="adj2" fmla="val -125675"/>
            <a:gd name="adj3" fmla="val -71050"/>
            <a:gd name="adj4" fmla="val -17569"/>
            <a:gd name="adj5" fmla="val -773685"/>
            <a:gd name="adj6" fmla="val -141893"/>
            <a:gd name="adj7" fmla="val -750000"/>
            <a:gd name="adj8" fmla="val -125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CD-4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9"/>
  <sheetViews>
    <sheetView showZeros="0" tabSelected="1" zoomScale="75" zoomScaleNormal="75" workbookViewId="0" topLeftCell="A1">
      <selection activeCell="D44" sqref="D44"/>
    </sheetView>
  </sheetViews>
  <sheetFormatPr defaultColWidth="9.140625" defaultRowHeight="12.75"/>
  <cols>
    <col min="1" max="1" width="2.7109375" style="61" customWidth="1"/>
    <col min="2" max="2" width="7.8515625" style="1" customWidth="1"/>
    <col min="3" max="3" width="9.28125" style="1" customWidth="1"/>
    <col min="4" max="4" width="22.28125" style="1" customWidth="1"/>
    <col min="5" max="5" width="9.28125" style="1" customWidth="1"/>
    <col min="6" max="6" width="7.140625" style="10" customWidth="1"/>
    <col min="7" max="7" width="7.140625" style="12" customWidth="1"/>
    <col min="8" max="8" width="7.140625" style="7" customWidth="1"/>
    <col min="9" max="9" width="7.140625" style="10" customWidth="1"/>
    <col min="10" max="10" width="11.8515625" style="12" customWidth="1"/>
    <col min="11" max="11" width="7.57421875" style="1" hidden="1" customWidth="1"/>
    <col min="12" max="12" width="6.7109375" style="1" hidden="1" customWidth="1"/>
    <col min="13" max="13" width="5.421875" style="320" customWidth="1"/>
    <col min="14" max="49" width="3.7109375" style="320" customWidth="1"/>
    <col min="50" max="61" width="3.140625" style="320" customWidth="1"/>
    <col min="62" max="62" width="3.7109375" style="1" customWidth="1"/>
    <col min="63" max="16384" width="9.140625" style="1" customWidth="1"/>
  </cols>
  <sheetData>
    <row r="1" spans="1:61" s="5" customFormat="1" ht="18.75" thickBot="1">
      <c r="A1" s="3" t="s">
        <v>4</v>
      </c>
      <c r="B1" s="2"/>
      <c r="C1" s="3">
        <v>81</v>
      </c>
      <c r="D1" s="3"/>
      <c r="E1" s="3"/>
      <c r="F1" s="283" t="s">
        <v>90</v>
      </c>
      <c r="G1" s="70"/>
      <c r="H1" s="71"/>
      <c r="I1" s="71"/>
      <c r="J1" s="4"/>
      <c r="M1" s="320"/>
      <c r="N1" s="321" t="s">
        <v>3</v>
      </c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 t="s">
        <v>84</v>
      </c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 t="s">
        <v>86</v>
      </c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 t="s">
        <v>87</v>
      </c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</row>
    <row r="2" spans="1:61" ht="38.25">
      <c r="A2" s="68" t="s">
        <v>89</v>
      </c>
      <c r="B2" s="53"/>
      <c r="C2" s="53"/>
      <c r="D2" s="53"/>
      <c r="E2" s="290" t="s">
        <v>88</v>
      </c>
      <c r="F2" s="279" t="s">
        <v>3</v>
      </c>
      <c r="G2" s="54" t="s">
        <v>84</v>
      </c>
      <c r="H2" s="55" t="s">
        <v>86</v>
      </c>
      <c r="I2" s="54" t="s">
        <v>87</v>
      </c>
      <c r="J2" s="55"/>
      <c r="L2" s="1" t="s">
        <v>104</v>
      </c>
      <c r="N2" s="320" t="s">
        <v>95</v>
      </c>
      <c r="O2" s="320" t="s">
        <v>96</v>
      </c>
      <c r="P2" s="320" t="s">
        <v>97</v>
      </c>
      <c r="Q2" s="320" t="s">
        <v>98</v>
      </c>
      <c r="R2" s="320" t="s">
        <v>99</v>
      </c>
      <c r="S2" s="320" t="s">
        <v>100</v>
      </c>
      <c r="T2" s="320" t="s">
        <v>101</v>
      </c>
      <c r="U2" s="320" t="s">
        <v>100</v>
      </c>
      <c r="V2" s="320" t="s">
        <v>98</v>
      </c>
      <c r="W2" s="320" t="s">
        <v>98</v>
      </c>
      <c r="X2" s="320" t="s">
        <v>101</v>
      </c>
      <c r="Y2" s="320" t="s">
        <v>102</v>
      </c>
      <c r="Z2" s="320" t="s">
        <v>95</v>
      </c>
      <c r="AA2" s="320" t="s">
        <v>96</v>
      </c>
      <c r="AB2" s="320" t="s">
        <v>97</v>
      </c>
      <c r="AC2" s="320" t="s">
        <v>98</v>
      </c>
      <c r="AD2" s="320" t="s">
        <v>99</v>
      </c>
      <c r="AE2" s="320" t="s">
        <v>100</v>
      </c>
      <c r="AF2" s="320" t="s">
        <v>101</v>
      </c>
      <c r="AG2" s="320" t="s">
        <v>100</v>
      </c>
      <c r="AH2" s="320" t="s">
        <v>98</v>
      </c>
      <c r="AI2" s="320" t="s">
        <v>98</v>
      </c>
      <c r="AJ2" s="320" t="s">
        <v>101</v>
      </c>
      <c r="AK2" s="320" t="s">
        <v>102</v>
      </c>
      <c r="AL2" s="320" t="s">
        <v>95</v>
      </c>
      <c r="AM2" s="320" t="s">
        <v>96</v>
      </c>
      <c r="AN2" s="320" t="s">
        <v>97</v>
      </c>
      <c r="AO2" s="320" t="s">
        <v>98</v>
      </c>
      <c r="AP2" s="320" t="s">
        <v>99</v>
      </c>
      <c r="AQ2" s="320" t="s">
        <v>100</v>
      </c>
      <c r="AR2" s="320" t="s">
        <v>101</v>
      </c>
      <c r="AS2" s="320" t="s">
        <v>100</v>
      </c>
      <c r="AT2" s="320" t="s">
        <v>98</v>
      </c>
      <c r="AU2" s="320" t="s">
        <v>98</v>
      </c>
      <c r="AV2" s="320" t="s">
        <v>101</v>
      </c>
      <c r="AW2" s="320" t="s">
        <v>102</v>
      </c>
      <c r="AX2" s="320" t="s">
        <v>95</v>
      </c>
      <c r="AY2" s="320" t="s">
        <v>96</v>
      </c>
      <c r="AZ2" s="320" t="s">
        <v>97</v>
      </c>
      <c r="BA2" s="320" t="s">
        <v>98</v>
      </c>
      <c r="BB2" s="320" t="s">
        <v>99</v>
      </c>
      <c r="BC2" s="320" t="s">
        <v>100</v>
      </c>
      <c r="BD2" s="320" t="s">
        <v>101</v>
      </c>
      <c r="BE2" s="320" t="s">
        <v>100</v>
      </c>
      <c r="BF2" s="320" t="s">
        <v>98</v>
      </c>
      <c r="BG2" s="320" t="s">
        <v>98</v>
      </c>
      <c r="BH2" s="320" t="s">
        <v>101</v>
      </c>
      <c r="BI2" s="320" t="s">
        <v>102</v>
      </c>
    </row>
    <row r="3" spans="1:61" ht="15">
      <c r="A3" s="64"/>
      <c r="B3" s="45">
        <v>81</v>
      </c>
      <c r="C3" s="88" t="s">
        <v>32</v>
      </c>
      <c r="D3" s="88" t="s">
        <v>33</v>
      </c>
      <c r="E3" s="293">
        <v>0.85</v>
      </c>
      <c r="F3" s="280">
        <v>0.75</v>
      </c>
      <c r="G3" s="89">
        <v>0.75</v>
      </c>
      <c r="H3" s="89">
        <v>0.75</v>
      </c>
      <c r="I3" s="89">
        <v>0.5</v>
      </c>
      <c r="J3" s="89"/>
      <c r="K3" s="1" t="str">
        <f aca="true" t="shared" si="0" ref="K3:L5">+C3</f>
        <v>R///RM3</v>
      </c>
      <c r="L3" s="1" t="str">
        <f t="shared" si="0"/>
        <v>Neilson</v>
      </c>
      <c r="M3" s="320" t="s">
        <v>104</v>
      </c>
      <c r="N3" s="320">
        <f>+$F3*1726/12</f>
        <v>107.875</v>
      </c>
      <c r="O3" s="320">
        <f aca="true" t="shared" si="1" ref="O3:Y3">+$F3*1726/12</f>
        <v>107.875</v>
      </c>
      <c r="P3" s="320">
        <f t="shared" si="1"/>
        <v>107.875</v>
      </c>
      <c r="Q3" s="320">
        <f t="shared" si="1"/>
        <v>107.875</v>
      </c>
      <c r="R3" s="320">
        <f t="shared" si="1"/>
        <v>107.875</v>
      </c>
      <c r="S3" s="320">
        <f t="shared" si="1"/>
        <v>107.875</v>
      </c>
      <c r="T3" s="320">
        <f t="shared" si="1"/>
        <v>107.875</v>
      </c>
      <c r="U3" s="320">
        <f t="shared" si="1"/>
        <v>107.875</v>
      </c>
      <c r="V3" s="320">
        <f t="shared" si="1"/>
        <v>107.875</v>
      </c>
      <c r="W3" s="320">
        <f t="shared" si="1"/>
        <v>107.875</v>
      </c>
      <c r="X3" s="320">
        <f t="shared" si="1"/>
        <v>107.875</v>
      </c>
      <c r="Y3" s="320">
        <f t="shared" si="1"/>
        <v>107.875</v>
      </c>
      <c r="Z3" s="320">
        <f>+$G3*1726/12</f>
        <v>107.875</v>
      </c>
      <c r="AA3" s="320">
        <f aca="true" t="shared" si="2" ref="AA3:AK3">+$G3*1726/12</f>
        <v>107.875</v>
      </c>
      <c r="AB3" s="320">
        <f t="shared" si="2"/>
        <v>107.875</v>
      </c>
      <c r="AC3" s="320">
        <f t="shared" si="2"/>
        <v>107.875</v>
      </c>
      <c r="AD3" s="320">
        <f t="shared" si="2"/>
        <v>107.875</v>
      </c>
      <c r="AE3" s="320">
        <f t="shared" si="2"/>
        <v>107.875</v>
      </c>
      <c r="AF3" s="320">
        <f t="shared" si="2"/>
        <v>107.875</v>
      </c>
      <c r="AG3" s="320">
        <f t="shared" si="2"/>
        <v>107.875</v>
      </c>
      <c r="AH3" s="320">
        <f t="shared" si="2"/>
        <v>107.875</v>
      </c>
      <c r="AI3" s="320">
        <f t="shared" si="2"/>
        <v>107.875</v>
      </c>
      <c r="AJ3" s="320">
        <f t="shared" si="2"/>
        <v>107.875</v>
      </c>
      <c r="AK3" s="320">
        <f t="shared" si="2"/>
        <v>107.875</v>
      </c>
      <c r="AL3" s="320">
        <f>+$G3*1726/12</f>
        <v>107.875</v>
      </c>
      <c r="AM3" s="320">
        <f aca="true" t="shared" si="3" ref="AL3:AW5">+$G3*1726/12</f>
        <v>107.875</v>
      </c>
      <c r="AN3" s="320">
        <f t="shared" si="3"/>
        <v>107.875</v>
      </c>
      <c r="AO3" s="320">
        <f t="shared" si="3"/>
        <v>107.875</v>
      </c>
      <c r="AP3" s="320">
        <f t="shared" si="3"/>
        <v>107.875</v>
      </c>
      <c r="AQ3" s="320">
        <f t="shared" si="3"/>
        <v>107.875</v>
      </c>
      <c r="AR3" s="320">
        <f t="shared" si="3"/>
        <v>107.875</v>
      </c>
      <c r="AS3" s="320">
        <f t="shared" si="3"/>
        <v>107.875</v>
      </c>
      <c r="AT3" s="320">
        <f t="shared" si="3"/>
        <v>107.875</v>
      </c>
      <c r="AU3" s="320">
        <f t="shared" si="3"/>
        <v>107.875</v>
      </c>
      <c r="AV3" s="320">
        <f t="shared" si="3"/>
        <v>107.875</v>
      </c>
      <c r="AW3" s="320">
        <f t="shared" si="3"/>
        <v>107.875</v>
      </c>
      <c r="AX3" s="320">
        <f aca="true" t="shared" si="4" ref="AX3:BI5">+$I3*1726/12</f>
        <v>71.91666666666667</v>
      </c>
      <c r="AY3" s="320">
        <f t="shared" si="4"/>
        <v>71.91666666666667</v>
      </c>
      <c r="AZ3" s="320">
        <f t="shared" si="4"/>
        <v>71.91666666666667</v>
      </c>
      <c r="BA3" s="320">
        <f t="shared" si="4"/>
        <v>71.91666666666667</v>
      </c>
      <c r="BB3" s="320">
        <f t="shared" si="4"/>
        <v>71.91666666666667</v>
      </c>
      <c r="BC3" s="320">
        <f t="shared" si="4"/>
        <v>71.91666666666667</v>
      </c>
      <c r="BD3" s="320">
        <f t="shared" si="4"/>
        <v>71.91666666666667</v>
      </c>
      <c r="BE3" s="320">
        <f t="shared" si="4"/>
        <v>71.91666666666667</v>
      </c>
      <c r="BF3" s="320">
        <f t="shared" si="4"/>
        <v>71.91666666666667</v>
      </c>
      <c r="BG3" s="320">
        <f t="shared" si="4"/>
        <v>71.91666666666667</v>
      </c>
      <c r="BH3" s="320">
        <f t="shared" si="4"/>
        <v>71.91666666666667</v>
      </c>
      <c r="BI3" s="320">
        <f t="shared" si="4"/>
        <v>71.91666666666667</v>
      </c>
    </row>
    <row r="4" spans="1:61" ht="15">
      <c r="A4" s="65"/>
      <c r="B4" s="6">
        <v>81</v>
      </c>
      <c r="C4" s="90" t="s">
        <v>36</v>
      </c>
      <c r="D4" s="90" t="s">
        <v>29</v>
      </c>
      <c r="E4" s="294">
        <v>0.94</v>
      </c>
      <c r="F4" s="292">
        <v>0.8</v>
      </c>
      <c r="G4" s="287">
        <v>0.8</v>
      </c>
      <c r="H4" s="287">
        <v>0.8</v>
      </c>
      <c r="I4" s="287">
        <v>0.5</v>
      </c>
      <c r="J4" s="91"/>
      <c r="K4" s="1" t="str">
        <f t="shared" si="0"/>
        <v>FC//AM</v>
      </c>
      <c r="L4" s="1" t="str">
        <f t="shared" si="0"/>
        <v>Strykowsky</v>
      </c>
      <c r="M4" s="320" t="s">
        <v>104</v>
      </c>
      <c r="N4" s="320">
        <f aca="true" t="shared" si="5" ref="N4:Y5">+$F4*1726/12</f>
        <v>115.06666666666668</v>
      </c>
      <c r="O4" s="320">
        <f t="shared" si="5"/>
        <v>115.06666666666668</v>
      </c>
      <c r="P4" s="320">
        <f t="shared" si="5"/>
        <v>115.06666666666668</v>
      </c>
      <c r="Q4" s="320">
        <f t="shared" si="5"/>
        <v>115.06666666666668</v>
      </c>
      <c r="R4" s="320">
        <f t="shared" si="5"/>
        <v>115.06666666666668</v>
      </c>
      <c r="S4" s="320">
        <f t="shared" si="5"/>
        <v>115.06666666666668</v>
      </c>
      <c r="T4" s="320">
        <f t="shared" si="5"/>
        <v>115.06666666666668</v>
      </c>
      <c r="U4" s="320">
        <f t="shared" si="5"/>
        <v>115.06666666666668</v>
      </c>
      <c r="V4" s="320">
        <f t="shared" si="5"/>
        <v>115.06666666666668</v>
      </c>
      <c r="W4" s="320">
        <f t="shared" si="5"/>
        <v>115.06666666666668</v>
      </c>
      <c r="X4" s="320">
        <f t="shared" si="5"/>
        <v>115.06666666666668</v>
      </c>
      <c r="Y4" s="320">
        <f t="shared" si="5"/>
        <v>115.06666666666668</v>
      </c>
      <c r="Z4" s="320">
        <f aca="true" t="shared" si="6" ref="Z4:AN5">+$G4*1726/12</f>
        <v>115.06666666666668</v>
      </c>
      <c r="AA4" s="320">
        <f t="shared" si="6"/>
        <v>115.06666666666668</v>
      </c>
      <c r="AB4" s="320">
        <f t="shared" si="6"/>
        <v>115.06666666666668</v>
      </c>
      <c r="AC4" s="320">
        <f t="shared" si="6"/>
        <v>115.06666666666668</v>
      </c>
      <c r="AD4" s="320">
        <f t="shared" si="6"/>
        <v>115.06666666666668</v>
      </c>
      <c r="AE4" s="320">
        <f t="shared" si="6"/>
        <v>115.06666666666668</v>
      </c>
      <c r="AF4" s="320">
        <f t="shared" si="6"/>
        <v>115.06666666666668</v>
      </c>
      <c r="AG4" s="320">
        <f t="shared" si="6"/>
        <v>115.06666666666668</v>
      </c>
      <c r="AH4" s="320">
        <f t="shared" si="6"/>
        <v>115.06666666666668</v>
      </c>
      <c r="AI4" s="320">
        <f t="shared" si="6"/>
        <v>115.06666666666668</v>
      </c>
      <c r="AJ4" s="320">
        <f t="shared" si="6"/>
        <v>115.06666666666668</v>
      </c>
      <c r="AK4" s="320">
        <f t="shared" si="6"/>
        <v>115.06666666666668</v>
      </c>
      <c r="AL4" s="320">
        <f t="shared" si="6"/>
        <v>115.06666666666668</v>
      </c>
      <c r="AM4" s="320">
        <f t="shared" si="6"/>
        <v>115.06666666666668</v>
      </c>
      <c r="AN4" s="320">
        <f t="shared" si="6"/>
        <v>115.06666666666668</v>
      </c>
      <c r="AO4" s="320">
        <f t="shared" si="3"/>
        <v>115.06666666666668</v>
      </c>
      <c r="AP4" s="320">
        <f t="shared" si="3"/>
        <v>115.06666666666668</v>
      </c>
      <c r="AQ4" s="320">
        <f t="shared" si="3"/>
        <v>115.06666666666668</v>
      </c>
      <c r="AR4" s="320">
        <f t="shared" si="3"/>
        <v>115.06666666666668</v>
      </c>
      <c r="AS4" s="320">
        <f t="shared" si="3"/>
        <v>115.06666666666668</v>
      </c>
      <c r="AT4" s="320">
        <f t="shared" si="3"/>
        <v>115.06666666666668</v>
      </c>
      <c r="AU4" s="320">
        <f t="shared" si="3"/>
        <v>115.06666666666668</v>
      </c>
      <c r="AV4" s="320">
        <f t="shared" si="3"/>
        <v>115.06666666666668</v>
      </c>
      <c r="AW4" s="320">
        <f t="shared" si="3"/>
        <v>115.06666666666668</v>
      </c>
      <c r="AX4" s="320">
        <f t="shared" si="4"/>
        <v>71.91666666666667</v>
      </c>
      <c r="AY4" s="320">
        <f t="shared" si="4"/>
        <v>71.91666666666667</v>
      </c>
      <c r="AZ4" s="320">
        <f t="shared" si="4"/>
        <v>71.91666666666667</v>
      </c>
      <c r="BA4" s="320">
        <f t="shared" si="4"/>
        <v>71.91666666666667</v>
      </c>
      <c r="BB4" s="320">
        <f t="shared" si="4"/>
        <v>71.91666666666667</v>
      </c>
      <c r="BC4" s="320">
        <f t="shared" si="4"/>
        <v>71.91666666666667</v>
      </c>
      <c r="BD4" s="320">
        <f t="shared" si="4"/>
        <v>71.91666666666667</v>
      </c>
      <c r="BE4" s="320">
        <f t="shared" si="4"/>
        <v>71.91666666666667</v>
      </c>
      <c r="BF4" s="320">
        <f t="shared" si="4"/>
        <v>71.91666666666667</v>
      </c>
      <c r="BG4" s="320">
        <f t="shared" si="4"/>
        <v>71.91666666666667</v>
      </c>
      <c r="BH4" s="320">
        <f t="shared" si="4"/>
        <v>71.91666666666667</v>
      </c>
      <c r="BI4" s="320">
        <f t="shared" si="4"/>
        <v>71.91666666666667</v>
      </c>
    </row>
    <row r="5" spans="1:61" ht="15">
      <c r="A5" s="65"/>
      <c r="B5" s="6">
        <v>81</v>
      </c>
      <c r="C5" s="90" t="s">
        <v>37</v>
      </c>
      <c r="D5" s="90" t="s">
        <v>38</v>
      </c>
      <c r="E5" s="294">
        <v>0.29</v>
      </c>
      <c r="F5" s="292">
        <v>0.3</v>
      </c>
      <c r="G5" s="287">
        <v>0.3</v>
      </c>
      <c r="H5" s="287">
        <v>0.3</v>
      </c>
      <c r="I5" s="287">
        <v>0.25</v>
      </c>
      <c r="J5" s="303"/>
      <c r="K5" s="1" t="str">
        <f t="shared" si="0"/>
        <v>B///CB</v>
      </c>
      <c r="L5" s="1" t="str">
        <f t="shared" si="0"/>
        <v>Hampton</v>
      </c>
      <c r="M5" s="320" t="s">
        <v>104</v>
      </c>
      <c r="N5" s="320">
        <f t="shared" si="5"/>
        <v>43.15</v>
      </c>
      <c r="O5" s="320">
        <f t="shared" si="5"/>
        <v>43.15</v>
      </c>
      <c r="P5" s="320">
        <f t="shared" si="5"/>
        <v>43.15</v>
      </c>
      <c r="Q5" s="320">
        <f t="shared" si="5"/>
        <v>43.15</v>
      </c>
      <c r="R5" s="320">
        <f t="shared" si="5"/>
        <v>43.15</v>
      </c>
      <c r="S5" s="320">
        <f t="shared" si="5"/>
        <v>43.15</v>
      </c>
      <c r="T5" s="320">
        <f t="shared" si="5"/>
        <v>43.15</v>
      </c>
      <c r="U5" s="320">
        <f t="shared" si="5"/>
        <v>43.15</v>
      </c>
      <c r="V5" s="320">
        <f t="shared" si="5"/>
        <v>43.15</v>
      </c>
      <c r="W5" s="320">
        <f t="shared" si="5"/>
        <v>43.15</v>
      </c>
      <c r="X5" s="320">
        <f t="shared" si="5"/>
        <v>43.15</v>
      </c>
      <c r="Y5" s="320">
        <f t="shared" si="5"/>
        <v>43.15</v>
      </c>
      <c r="Z5" s="320">
        <f t="shared" si="6"/>
        <v>43.15</v>
      </c>
      <c r="AA5" s="320">
        <f t="shared" si="6"/>
        <v>43.15</v>
      </c>
      <c r="AB5" s="320">
        <f t="shared" si="6"/>
        <v>43.15</v>
      </c>
      <c r="AC5" s="320">
        <f t="shared" si="6"/>
        <v>43.15</v>
      </c>
      <c r="AD5" s="320">
        <f t="shared" si="6"/>
        <v>43.15</v>
      </c>
      <c r="AE5" s="320">
        <f t="shared" si="6"/>
        <v>43.15</v>
      </c>
      <c r="AF5" s="320">
        <f t="shared" si="6"/>
        <v>43.15</v>
      </c>
      <c r="AG5" s="320">
        <f t="shared" si="6"/>
        <v>43.15</v>
      </c>
      <c r="AH5" s="320">
        <f t="shared" si="6"/>
        <v>43.15</v>
      </c>
      <c r="AI5" s="320">
        <f t="shared" si="6"/>
        <v>43.15</v>
      </c>
      <c r="AJ5" s="320">
        <f t="shared" si="6"/>
        <v>43.15</v>
      </c>
      <c r="AK5" s="320">
        <f t="shared" si="6"/>
        <v>43.15</v>
      </c>
      <c r="AL5" s="320">
        <f t="shared" si="3"/>
        <v>43.15</v>
      </c>
      <c r="AM5" s="320">
        <f t="shared" si="3"/>
        <v>43.15</v>
      </c>
      <c r="AN5" s="320">
        <f t="shared" si="3"/>
        <v>43.15</v>
      </c>
      <c r="AO5" s="320">
        <f t="shared" si="3"/>
        <v>43.15</v>
      </c>
      <c r="AP5" s="320">
        <f t="shared" si="3"/>
        <v>43.15</v>
      </c>
      <c r="AQ5" s="320">
        <f t="shared" si="3"/>
        <v>43.15</v>
      </c>
      <c r="AR5" s="320">
        <f t="shared" si="3"/>
        <v>43.15</v>
      </c>
      <c r="AS5" s="320">
        <f t="shared" si="3"/>
        <v>43.15</v>
      </c>
      <c r="AT5" s="320">
        <f t="shared" si="3"/>
        <v>43.15</v>
      </c>
      <c r="AU5" s="320">
        <f t="shared" si="3"/>
        <v>43.15</v>
      </c>
      <c r="AV5" s="320">
        <f t="shared" si="3"/>
        <v>43.15</v>
      </c>
      <c r="AW5" s="320">
        <f t="shared" si="3"/>
        <v>43.15</v>
      </c>
      <c r="AX5" s="320">
        <f t="shared" si="4"/>
        <v>35.958333333333336</v>
      </c>
      <c r="AY5" s="320">
        <f t="shared" si="4"/>
        <v>35.958333333333336</v>
      </c>
      <c r="AZ5" s="320">
        <f t="shared" si="4"/>
        <v>35.958333333333336</v>
      </c>
      <c r="BA5" s="320">
        <f t="shared" si="4"/>
        <v>35.958333333333336</v>
      </c>
      <c r="BB5" s="320">
        <f t="shared" si="4"/>
        <v>35.958333333333336</v>
      </c>
      <c r="BC5" s="320">
        <f t="shared" si="4"/>
        <v>35.958333333333336</v>
      </c>
      <c r="BD5" s="320">
        <f t="shared" si="4"/>
        <v>35.958333333333336</v>
      </c>
      <c r="BE5" s="320">
        <f t="shared" si="4"/>
        <v>35.958333333333336</v>
      </c>
      <c r="BF5" s="320">
        <f t="shared" si="4"/>
        <v>35.958333333333336</v>
      </c>
      <c r="BG5" s="320">
        <f t="shared" si="4"/>
        <v>35.958333333333336</v>
      </c>
      <c r="BH5" s="320">
        <f t="shared" si="4"/>
        <v>35.958333333333336</v>
      </c>
      <c r="BI5" s="320">
        <f t="shared" si="4"/>
        <v>35.958333333333336</v>
      </c>
    </row>
    <row r="6" spans="1:10" ht="15">
      <c r="A6" s="65"/>
      <c r="B6" s="6">
        <v>81</v>
      </c>
      <c r="C6" s="19">
        <v>41</v>
      </c>
      <c r="D6" s="19" t="s">
        <v>6</v>
      </c>
      <c r="E6" s="295">
        <v>6</v>
      </c>
      <c r="F6" s="288">
        <v>12</v>
      </c>
      <c r="G6" s="289">
        <v>10</v>
      </c>
      <c r="H6" s="289">
        <v>10</v>
      </c>
      <c r="I6" s="289">
        <v>6</v>
      </c>
      <c r="J6" s="304"/>
    </row>
    <row r="7" spans="1:12" ht="15">
      <c r="A7" s="65"/>
      <c r="B7" s="6">
        <v>81</v>
      </c>
      <c r="C7" s="19">
        <v>35</v>
      </c>
      <c r="D7" s="19" t="s">
        <v>19</v>
      </c>
      <c r="E7" s="295">
        <v>9.7</v>
      </c>
      <c r="F7" s="288">
        <v>10</v>
      </c>
      <c r="G7" s="289">
        <v>10</v>
      </c>
      <c r="H7" s="289">
        <v>10</v>
      </c>
      <c r="I7" s="289">
        <v>8</v>
      </c>
      <c r="J7" s="305"/>
      <c r="L7" s="1" t="s">
        <v>105</v>
      </c>
    </row>
    <row r="8" spans="1:61" ht="48">
      <c r="A8" s="65"/>
      <c r="B8" s="6">
        <v>81</v>
      </c>
      <c r="C8" s="90" t="s">
        <v>55</v>
      </c>
      <c r="D8" s="90" t="s">
        <v>91</v>
      </c>
      <c r="E8" s="296">
        <v>140</v>
      </c>
      <c r="F8" s="297">
        <f>140*1.035</f>
        <v>144.89999999999998</v>
      </c>
      <c r="G8" s="298">
        <v>120</v>
      </c>
      <c r="H8" s="298">
        <v>120</v>
      </c>
      <c r="I8" s="298">
        <v>75</v>
      </c>
      <c r="J8" s="306" t="s">
        <v>94</v>
      </c>
      <c r="K8" s="1" t="str">
        <f>+C8</f>
        <v>ORNL</v>
      </c>
      <c r="L8" s="1" t="str">
        <f>+D8</f>
        <v>Lyon,Akers,Martin,travel,m&amp;s</v>
      </c>
      <c r="M8" s="320" t="s">
        <v>105</v>
      </c>
      <c r="N8" s="302">
        <f>+$F8/12</f>
        <v>12.074999999999998</v>
      </c>
      <c r="O8" s="302">
        <f aca="true" t="shared" si="7" ref="O8:Y8">+$F8/12</f>
        <v>12.074999999999998</v>
      </c>
      <c r="P8" s="302">
        <f t="shared" si="7"/>
        <v>12.074999999999998</v>
      </c>
      <c r="Q8" s="302">
        <f t="shared" si="7"/>
        <v>12.074999999999998</v>
      </c>
      <c r="R8" s="302">
        <f t="shared" si="7"/>
        <v>12.074999999999998</v>
      </c>
      <c r="S8" s="302">
        <f t="shared" si="7"/>
        <v>12.074999999999998</v>
      </c>
      <c r="T8" s="302">
        <f t="shared" si="7"/>
        <v>12.074999999999998</v>
      </c>
      <c r="U8" s="302">
        <f t="shared" si="7"/>
        <v>12.074999999999998</v>
      </c>
      <c r="V8" s="302">
        <f t="shared" si="7"/>
        <v>12.074999999999998</v>
      </c>
      <c r="W8" s="302">
        <f t="shared" si="7"/>
        <v>12.074999999999998</v>
      </c>
      <c r="X8" s="302">
        <f t="shared" si="7"/>
        <v>12.074999999999998</v>
      </c>
      <c r="Y8" s="302">
        <f t="shared" si="7"/>
        <v>12.074999999999998</v>
      </c>
      <c r="Z8" s="302">
        <f>+$G8/12</f>
        <v>10</v>
      </c>
      <c r="AA8" s="302">
        <f aca="true" t="shared" si="8" ref="AA8:AK8">+$G8/12</f>
        <v>10</v>
      </c>
      <c r="AB8" s="302">
        <f t="shared" si="8"/>
        <v>10</v>
      </c>
      <c r="AC8" s="302">
        <f t="shared" si="8"/>
        <v>10</v>
      </c>
      <c r="AD8" s="302">
        <f t="shared" si="8"/>
        <v>10</v>
      </c>
      <c r="AE8" s="302">
        <f t="shared" si="8"/>
        <v>10</v>
      </c>
      <c r="AF8" s="302">
        <f t="shared" si="8"/>
        <v>10</v>
      </c>
      <c r="AG8" s="302">
        <f t="shared" si="8"/>
        <v>10</v>
      </c>
      <c r="AH8" s="302">
        <f t="shared" si="8"/>
        <v>10</v>
      </c>
      <c r="AI8" s="302">
        <f t="shared" si="8"/>
        <v>10</v>
      </c>
      <c r="AJ8" s="302">
        <f t="shared" si="8"/>
        <v>10</v>
      </c>
      <c r="AK8" s="302">
        <f t="shared" si="8"/>
        <v>10</v>
      </c>
      <c r="AL8" s="302">
        <f>+$G8/12</f>
        <v>10</v>
      </c>
      <c r="AM8" s="302">
        <f aca="true" t="shared" si="9" ref="AM8:AW8">+$G8/12</f>
        <v>10</v>
      </c>
      <c r="AN8" s="302">
        <f t="shared" si="9"/>
        <v>10</v>
      </c>
      <c r="AO8" s="302">
        <f t="shared" si="9"/>
        <v>10</v>
      </c>
      <c r="AP8" s="302">
        <f t="shared" si="9"/>
        <v>10</v>
      </c>
      <c r="AQ8" s="302">
        <f t="shared" si="9"/>
        <v>10</v>
      </c>
      <c r="AR8" s="302">
        <f t="shared" si="9"/>
        <v>10</v>
      </c>
      <c r="AS8" s="302">
        <f t="shared" si="9"/>
        <v>10</v>
      </c>
      <c r="AT8" s="302">
        <f t="shared" si="9"/>
        <v>10</v>
      </c>
      <c r="AU8" s="302">
        <f t="shared" si="9"/>
        <v>10</v>
      </c>
      <c r="AV8" s="302">
        <f t="shared" si="9"/>
        <v>10</v>
      </c>
      <c r="AW8" s="302">
        <f t="shared" si="9"/>
        <v>10</v>
      </c>
      <c r="AX8" s="302">
        <f aca="true" t="shared" si="10" ref="AX8:BI8">+$I8/12</f>
        <v>6.25</v>
      </c>
      <c r="AY8" s="302">
        <f t="shared" si="10"/>
        <v>6.25</v>
      </c>
      <c r="AZ8" s="302">
        <f t="shared" si="10"/>
        <v>6.25</v>
      </c>
      <c r="BA8" s="302">
        <f t="shared" si="10"/>
        <v>6.25</v>
      </c>
      <c r="BB8" s="302">
        <f t="shared" si="10"/>
        <v>6.25</v>
      </c>
      <c r="BC8" s="302">
        <f t="shared" si="10"/>
        <v>6.25</v>
      </c>
      <c r="BD8" s="302">
        <f t="shared" si="10"/>
        <v>6.25</v>
      </c>
      <c r="BE8" s="302">
        <f t="shared" si="10"/>
        <v>6.25</v>
      </c>
      <c r="BF8" s="302">
        <f t="shared" si="10"/>
        <v>6.25</v>
      </c>
      <c r="BG8" s="302">
        <f t="shared" si="10"/>
        <v>6.25</v>
      </c>
      <c r="BH8" s="302">
        <f t="shared" si="10"/>
        <v>6.25</v>
      </c>
      <c r="BI8" s="302">
        <f t="shared" si="10"/>
        <v>6.25</v>
      </c>
    </row>
    <row r="9" spans="1:10" ht="15">
      <c r="A9" s="65"/>
      <c r="B9" s="6">
        <v>81</v>
      </c>
      <c r="C9" s="90" t="s">
        <v>55</v>
      </c>
      <c r="D9" s="90" t="s">
        <v>56</v>
      </c>
      <c r="E9" s="294"/>
      <c r="F9" s="284"/>
      <c r="G9" s="91"/>
      <c r="H9" s="91"/>
      <c r="I9" s="91">
        <v>0</v>
      </c>
      <c r="J9" s="307"/>
    </row>
    <row r="10" spans="1:10" ht="15">
      <c r="A10" s="65"/>
      <c r="B10" s="6">
        <v>81</v>
      </c>
      <c r="C10" s="19" t="s">
        <v>45</v>
      </c>
      <c r="D10" s="19" t="s">
        <v>6</v>
      </c>
      <c r="E10" s="295"/>
      <c r="F10" s="285"/>
      <c r="G10" s="228"/>
      <c r="H10" s="228"/>
      <c r="I10" s="228">
        <v>0</v>
      </c>
      <c r="J10" s="305"/>
    </row>
    <row r="11" spans="1:10" ht="15">
      <c r="A11" s="66"/>
      <c r="B11" s="46">
        <v>81</v>
      </c>
      <c r="C11" s="229" t="s">
        <v>46</v>
      </c>
      <c r="D11" s="229" t="s">
        <v>19</v>
      </c>
      <c r="E11" s="291"/>
      <c r="F11" s="286"/>
      <c r="G11" s="230"/>
      <c r="H11" s="230"/>
      <c r="I11" s="230"/>
      <c r="J11" s="308"/>
    </row>
    <row r="12" spans="1:10" ht="96">
      <c r="A12" s="173"/>
      <c r="B12" s="281" t="s">
        <v>93</v>
      </c>
      <c r="C12" s="282"/>
      <c r="D12" s="282"/>
      <c r="E12" s="299" t="s">
        <v>92</v>
      </c>
      <c r="F12" s="300">
        <v>218</v>
      </c>
      <c r="G12" s="301">
        <v>224</v>
      </c>
      <c r="H12" s="301">
        <v>232</v>
      </c>
      <c r="I12" s="312">
        <f>+H12*1.035</f>
        <v>240.11999999999998</v>
      </c>
      <c r="J12" s="309" t="s">
        <v>103</v>
      </c>
    </row>
    <row r="13" spans="1:10" ht="15">
      <c r="A13" s="173"/>
      <c r="B13" s="278"/>
      <c r="C13" s="278"/>
      <c r="D13" s="278"/>
      <c r="E13" s="278"/>
      <c r="F13" s="278"/>
      <c r="G13" s="278"/>
      <c r="H13" s="278"/>
      <c r="I13" s="278"/>
      <c r="J13" s="310"/>
    </row>
    <row r="14" spans="1:10" ht="15">
      <c r="A14" s="173"/>
      <c r="B14" s="278"/>
      <c r="C14" s="278"/>
      <c r="D14" s="278"/>
      <c r="E14" s="278"/>
      <c r="F14" s="278"/>
      <c r="G14" s="278"/>
      <c r="H14" s="278"/>
      <c r="I14" s="278"/>
      <c r="J14" s="310"/>
    </row>
    <row r="15" ht="15">
      <c r="J15" s="311"/>
    </row>
    <row r="16" ht="15">
      <c r="J16" s="311"/>
    </row>
    <row r="17" ht="15">
      <c r="J17" s="311"/>
    </row>
    <row r="18" ht="15">
      <c r="J18" s="311"/>
    </row>
    <row r="19" ht="15">
      <c r="J19" s="311"/>
    </row>
  </sheetData>
  <printOptions gridLines="1"/>
  <pageMargins left="0.17" right="0.03" top="0.87" bottom="0.31" header="0.25" footer="0.2"/>
  <pageSetup fitToHeight="1" fitToWidth="1" horizontalDpi="600" verticalDpi="600" orientation="landscape" r:id="rId2"/>
  <headerFooter alignWithMargins="0">
    <oddHeader>&amp;C&amp;"Arial,Bold"&amp;14NCSX CD-2 Cost Baseline Update 
&amp;12(WBS 81, 82,  84, and 85)</oddHeader>
    <oddFooter xml:space="preserve">&amp;L&amp;"Arial,Bold"&amp;F&amp;C&amp;"Arial,Bold"&amp;A  &amp;P of &amp;N&amp;R&amp;D &amp;T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5"/>
  <sheetViews>
    <sheetView showZeros="0" workbookViewId="0" topLeftCell="A42">
      <pane ySplit="675" topLeftCell="BM1" activePane="bottomLeft" state="split"/>
      <selection pane="topLeft" activeCell="C88" sqref="C88:D88"/>
      <selection pane="bottomLeft" activeCell="C88" sqref="C88:D88"/>
    </sheetView>
  </sheetViews>
  <sheetFormatPr defaultColWidth="9.140625" defaultRowHeight="12.75"/>
  <cols>
    <col min="1" max="1" width="4.421875" style="61" customWidth="1"/>
    <col min="2" max="2" width="4.421875" style="1" customWidth="1"/>
    <col min="3" max="3" width="11.28125" style="1" customWidth="1"/>
    <col min="4" max="4" width="14.00390625" style="1" customWidth="1"/>
    <col min="5" max="5" width="9.8515625" style="10" customWidth="1"/>
    <col min="6" max="6" width="9.8515625" style="12" customWidth="1"/>
    <col min="7" max="7" width="9.8515625" style="7" customWidth="1"/>
    <col min="8" max="8" width="9.8515625" style="10" customWidth="1"/>
    <col min="9" max="10" width="9.8515625" style="12" customWidth="1"/>
    <col min="11" max="11" width="8.140625" style="12" customWidth="1"/>
    <col min="12" max="12" width="3.00390625" style="78" customWidth="1"/>
    <col min="13" max="17" width="9.00390625" style="59" customWidth="1"/>
    <col min="18" max="18" width="11.140625" style="76" customWidth="1"/>
    <col min="19" max="19" width="11.7109375" style="1" customWidth="1"/>
    <col min="20" max="21" width="8.421875" style="77" customWidth="1"/>
    <col min="22" max="16384" width="9.140625" style="1" customWidth="1"/>
  </cols>
  <sheetData>
    <row r="1" spans="1:21" s="5" customFormat="1" ht="18.75" thickBot="1">
      <c r="A1" s="3" t="s">
        <v>4</v>
      </c>
      <c r="B1" s="2"/>
      <c r="C1" s="3">
        <v>8</v>
      </c>
      <c r="D1" s="3"/>
      <c r="E1" s="69" t="s">
        <v>53</v>
      </c>
      <c r="F1" s="70"/>
      <c r="G1" s="71"/>
      <c r="H1" s="71"/>
      <c r="I1" s="72"/>
      <c r="J1" s="72"/>
      <c r="K1" s="4"/>
      <c r="L1" s="78"/>
      <c r="M1" s="73"/>
      <c r="N1" s="73"/>
      <c r="O1" s="73"/>
      <c r="P1" s="73"/>
      <c r="Q1" s="73"/>
      <c r="R1" s="74"/>
      <c r="S1" s="73"/>
      <c r="T1" s="77"/>
      <c r="U1" s="77"/>
    </row>
    <row r="2" spans="1:19" ht="15.75" hidden="1">
      <c r="A2" s="60" t="s">
        <v>5</v>
      </c>
      <c r="C2" s="6"/>
      <c r="D2" s="7"/>
      <c r="E2" s="222"/>
      <c r="F2" s="9"/>
      <c r="H2" s="222"/>
      <c r="I2" s="9"/>
      <c r="J2" s="9"/>
      <c r="K2" s="9"/>
      <c r="L2" s="79"/>
      <c r="M2" s="17"/>
      <c r="R2" s="75"/>
      <c r="S2" s="59"/>
    </row>
    <row r="3" spans="1:19" ht="15.75" hidden="1">
      <c r="A3" s="11"/>
      <c r="E3" s="13"/>
      <c r="F3" s="14"/>
      <c r="G3" s="16"/>
      <c r="H3" s="13"/>
      <c r="I3" s="15"/>
      <c r="J3" s="15"/>
      <c r="K3" s="15"/>
      <c r="L3" s="80"/>
      <c r="M3" s="17"/>
      <c r="R3" s="75"/>
      <c r="S3" s="59"/>
    </row>
    <row r="4" spans="3:19" ht="38.25" hidden="1">
      <c r="C4" s="6"/>
      <c r="D4" s="6"/>
      <c r="E4" s="34" t="s">
        <v>26</v>
      </c>
      <c r="F4" s="35" t="s">
        <v>0</v>
      </c>
      <c r="G4" s="36" t="s">
        <v>1</v>
      </c>
      <c r="H4" s="35" t="s">
        <v>2</v>
      </c>
      <c r="I4" s="36" t="s">
        <v>3</v>
      </c>
      <c r="J4" s="36" t="s">
        <v>3</v>
      </c>
      <c r="K4" s="36"/>
      <c r="L4" s="81"/>
      <c r="M4" s="17"/>
      <c r="R4" s="75"/>
      <c r="S4" s="59"/>
    </row>
    <row r="5" spans="1:19" ht="15" hidden="1">
      <c r="A5" s="62" t="s">
        <v>20</v>
      </c>
      <c r="B5" s="43">
        <v>82</v>
      </c>
      <c r="C5" s="6" t="s">
        <v>14</v>
      </c>
      <c r="D5" s="6" t="s">
        <v>7</v>
      </c>
      <c r="E5" s="24">
        <v>0.425</v>
      </c>
      <c r="F5" s="24">
        <v>0.85</v>
      </c>
      <c r="G5" s="24">
        <v>0.85</v>
      </c>
      <c r="H5" s="24">
        <v>0.85</v>
      </c>
      <c r="I5" s="24">
        <f>1100/1726</f>
        <v>0.6373117033603708</v>
      </c>
      <c r="J5" s="24">
        <f>1100/1726</f>
        <v>0.6373117033603708</v>
      </c>
      <c r="K5" s="24"/>
      <c r="L5" s="82"/>
      <c r="M5" s="17"/>
      <c r="R5" s="75"/>
      <c r="S5" s="59"/>
    </row>
    <row r="6" spans="1:19" ht="15" hidden="1">
      <c r="A6" s="62" t="s">
        <v>20</v>
      </c>
      <c r="B6" s="43">
        <v>82</v>
      </c>
      <c r="C6" s="6" t="s">
        <v>14</v>
      </c>
      <c r="D6" s="6" t="s">
        <v>8</v>
      </c>
      <c r="E6" s="24">
        <f>518/1726</f>
        <v>0.30011587485515645</v>
      </c>
      <c r="F6" s="24">
        <v>0.6</v>
      </c>
      <c r="G6" s="24">
        <v>0.5</v>
      </c>
      <c r="H6" s="24">
        <v>0.4</v>
      </c>
      <c r="I6" s="24">
        <f>388/1726</f>
        <v>0.22479721900347624</v>
      </c>
      <c r="J6" s="24">
        <f>388/1726</f>
        <v>0.22479721900347624</v>
      </c>
      <c r="K6" s="24"/>
      <c r="L6" s="79"/>
      <c r="M6" s="17"/>
      <c r="R6" s="75"/>
      <c r="S6" s="59"/>
    </row>
    <row r="7" spans="1:19" ht="15" hidden="1">
      <c r="A7" s="62" t="s">
        <v>20</v>
      </c>
      <c r="B7" s="43">
        <v>82</v>
      </c>
      <c r="C7" s="6" t="s">
        <v>14</v>
      </c>
      <c r="D7" s="6" t="s">
        <v>9</v>
      </c>
      <c r="E7" s="24">
        <f>259/1726</f>
        <v>0.15005793742757823</v>
      </c>
      <c r="F7" s="24">
        <v>0.2</v>
      </c>
      <c r="G7" s="24">
        <v>0.1</v>
      </c>
      <c r="H7" s="24">
        <v>0.1</v>
      </c>
      <c r="I7" s="24">
        <v>0</v>
      </c>
      <c r="J7" s="24">
        <v>0</v>
      </c>
      <c r="K7" s="24"/>
      <c r="L7" s="79"/>
      <c r="M7" s="17"/>
      <c r="R7" s="75"/>
      <c r="S7" s="59"/>
    </row>
    <row r="8" spans="1:19" ht="15" hidden="1">
      <c r="A8" s="62" t="s">
        <v>20</v>
      </c>
      <c r="B8" s="43">
        <v>82</v>
      </c>
      <c r="C8" s="6" t="s">
        <v>15</v>
      </c>
      <c r="D8" s="6" t="s">
        <v>11</v>
      </c>
      <c r="E8" s="24">
        <f>260/1726</f>
        <v>0.15063731170336037</v>
      </c>
      <c r="F8" s="24">
        <v>0.25</v>
      </c>
      <c r="G8" s="24">
        <v>0.15</v>
      </c>
      <c r="H8" s="24">
        <v>0.05</v>
      </c>
      <c r="I8" s="24">
        <f>65/1726</f>
        <v>0.03765932792584009</v>
      </c>
      <c r="J8" s="24">
        <f>65/1726</f>
        <v>0.03765932792584009</v>
      </c>
      <c r="K8" s="24"/>
      <c r="L8" s="79"/>
      <c r="M8" s="17"/>
      <c r="R8" s="75"/>
      <c r="S8" s="59"/>
    </row>
    <row r="9" spans="1:19" ht="15" hidden="1">
      <c r="A9" s="62" t="s">
        <v>20</v>
      </c>
      <c r="B9" s="43">
        <v>82</v>
      </c>
      <c r="C9" s="6" t="s">
        <v>15</v>
      </c>
      <c r="D9" s="6" t="s">
        <v>12</v>
      </c>
      <c r="E9" s="24">
        <v>0</v>
      </c>
      <c r="F9" s="24">
        <v>0.15</v>
      </c>
      <c r="G9" s="24">
        <v>0.15</v>
      </c>
      <c r="H9" s="24">
        <v>0.05</v>
      </c>
      <c r="I9" s="24">
        <f>65/1726</f>
        <v>0.03765932792584009</v>
      </c>
      <c r="J9" s="24">
        <f>65/1726</f>
        <v>0.03765932792584009</v>
      </c>
      <c r="K9" s="24"/>
      <c r="L9" s="79"/>
      <c r="M9" s="17"/>
      <c r="R9" s="75"/>
      <c r="S9" s="59"/>
    </row>
    <row r="10" spans="1:19" ht="15" hidden="1">
      <c r="A10" s="62" t="s">
        <v>20</v>
      </c>
      <c r="B10" s="43">
        <v>82</v>
      </c>
      <c r="C10" s="6" t="s">
        <v>16</v>
      </c>
      <c r="D10" s="6" t="s">
        <v>13</v>
      </c>
      <c r="E10" s="24">
        <v>0.025</v>
      </c>
      <c r="F10" s="24">
        <v>0.05</v>
      </c>
      <c r="G10" s="24">
        <v>0.15</v>
      </c>
      <c r="H10" s="24">
        <v>0.25</v>
      </c>
      <c r="I10" s="24">
        <f>0.25/2</f>
        <v>0.125</v>
      </c>
      <c r="J10" s="24">
        <f>0.25/2</f>
        <v>0.125</v>
      </c>
      <c r="K10" s="24"/>
      <c r="L10" s="79"/>
      <c r="M10" s="17"/>
      <c r="R10" s="75"/>
      <c r="S10" s="59"/>
    </row>
    <row r="11" spans="1:19" ht="15" hidden="1">
      <c r="A11" s="62" t="s">
        <v>20</v>
      </c>
      <c r="B11" s="43">
        <v>82</v>
      </c>
      <c r="C11" s="6" t="s">
        <v>17</v>
      </c>
      <c r="D11" s="6" t="s">
        <v>18</v>
      </c>
      <c r="E11" s="25">
        <f>173/1726</f>
        <v>0.10023174971031286</v>
      </c>
      <c r="F11" s="25">
        <v>0.5</v>
      </c>
      <c r="G11" s="25">
        <v>0.5</v>
      </c>
      <c r="H11" s="25">
        <v>0.5</v>
      </c>
      <c r="I11" s="25">
        <f>647/1726</f>
        <v>0.37485515643105444</v>
      </c>
      <c r="J11" s="25">
        <f>647/1726</f>
        <v>0.37485515643105444</v>
      </c>
      <c r="K11" s="25"/>
      <c r="L11" s="79"/>
      <c r="M11" s="17"/>
      <c r="R11" s="75"/>
      <c r="S11" s="59"/>
    </row>
    <row r="12" spans="1:19" ht="15" hidden="1">
      <c r="A12" s="62" t="s">
        <v>20</v>
      </c>
      <c r="B12" s="43">
        <v>82</v>
      </c>
      <c r="C12" s="6"/>
      <c r="D12" s="6"/>
      <c r="E12" s="223">
        <f aca="true" t="shared" si="0" ref="E12:J12">SUM(E5:E11)</f>
        <v>1.151042873696408</v>
      </c>
      <c r="F12" s="223">
        <f t="shared" si="0"/>
        <v>2.5999999999999996</v>
      </c>
      <c r="G12" s="223">
        <f t="shared" si="0"/>
        <v>2.4</v>
      </c>
      <c r="H12" s="223">
        <f t="shared" si="0"/>
        <v>2.2</v>
      </c>
      <c r="I12" s="223">
        <f t="shared" si="0"/>
        <v>1.4372827346465817</v>
      </c>
      <c r="J12" s="223">
        <f t="shared" si="0"/>
        <v>1.4372827346465817</v>
      </c>
      <c r="K12" s="223"/>
      <c r="L12" s="83"/>
      <c r="M12" s="17"/>
      <c r="R12" s="75"/>
      <c r="S12" s="59"/>
    </row>
    <row r="13" spans="1:19" ht="15" hidden="1">
      <c r="A13" s="62" t="s">
        <v>20</v>
      </c>
      <c r="B13" s="43">
        <v>82</v>
      </c>
      <c r="C13" s="19">
        <v>35</v>
      </c>
      <c r="D13" s="19" t="s">
        <v>19</v>
      </c>
      <c r="E13" s="20">
        <v>4</v>
      </c>
      <c r="F13" s="20">
        <v>10</v>
      </c>
      <c r="G13" s="20">
        <v>10</v>
      </c>
      <c r="H13" s="20">
        <v>5</v>
      </c>
      <c r="I13" s="20">
        <v>5</v>
      </c>
      <c r="J13" s="20">
        <v>5</v>
      </c>
      <c r="K13" s="20"/>
      <c r="L13" s="83"/>
      <c r="M13" s="17"/>
      <c r="R13" s="75"/>
      <c r="S13" s="59"/>
    </row>
    <row r="14" spans="1:19" ht="15" hidden="1">
      <c r="A14" s="62" t="s">
        <v>20</v>
      </c>
      <c r="B14" s="43">
        <v>82</v>
      </c>
      <c r="C14" s="19">
        <v>41</v>
      </c>
      <c r="D14" s="19" t="s">
        <v>6</v>
      </c>
      <c r="E14" s="20"/>
      <c r="F14" s="20">
        <v>30</v>
      </c>
      <c r="G14" s="20"/>
      <c r="H14" s="20"/>
      <c r="I14" s="20"/>
      <c r="J14" s="20"/>
      <c r="K14" s="20"/>
      <c r="L14" s="83"/>
      <c r="M14" s="17"/>
      <c r="R14" s="75"/>
      <c r="S14" s="59"/>
    </row>
    <row r="15" spans="1:19" ht="15" hidden="1">
      <c r="A15" s="62" t="s">
        <v>20</v>
      </c>
      <c r="B15" s="6"/>
      <c r="C15" s="6"/>
      <c r="D15" s="6"/>
      <c r="E15" s="9">
        <f>(SUM(E5:E9)*1726*153)+(E10*80*1726)+(E11*1726*100)+(E13*1.2)+(E14*1.3)</f>
        <v>291650.95000000007</v>
      </c>
      <c r="F15" s="9">
        <f>(SUM(F5:F9)*1726*163)+(F10*85*1726)+(F11*1726*107)+(E13*1.2)+(E14*1.3)</f>
        <v>676424.2</v>
      </c>
      <c r="G15" s="9">
        <f>(SUM(G5:G9)*1726*169)+(G10*89*1726)+(G11*1726*111)+(E13*1.2)+(E14*1.3)</f>
        <v>629304.4</v>
      </c>
      <c r="H15" s="9">
        <f>(SUM(H5:H9)*1726*172)+(H10*90*1726)+(H11*1726*112)+(E13*1.2)+(E14*1.3)</f>
        <v>565960.2000000001</v>
      </c>
      <c r="I15" s="9">
        <f>(SUM(I5:I9)*1726*174)+(I10*92*1726)+(I11*1726*114)+(E13*1.2)+(E14*1.3)</f>
        <v>375143.8</v>
      </c>
      <c r="J15" s="9">
        <f>(SUM(J5:J9)*1726*174)+(J10*92*1726)+(J11*1726*114)+(F13*1.2)+(F14*1.3)</f>
        <v>375190</v>
      </c>
      <c r="K15" s="9"/>
      <c r="L15" s="83">
        <f>SUM(E15:I15)</f>
        <v>2538483.55</v>
      </c>
      <c r="M15" s="17"/>
      <c r="R15" s="75"/>
      <c r="S15" s="59"/>
    </row>
    <row r="16" spans="1:19" ht="15" hidden="1">
      <c r="A16" s="62"/>
      <c r="B16" s="6"/>
      <c r="C16" s="6"/>
      <c r="D16" s="6"/>
      <c r="E16" s="7"/>
      <c r="F16" s="9"/>
      <c r="H16" s="7"/>
      <c r="I16" s="9"/>
      <c r="J16" s="9"/>
      <c r="K16" s="9"/>
      <c r="L16" s="83"/>
      <c r="M16" s="17"/>
      <c r="R16" s="75"/>
      <c r="S16" s="59"/>
    </row>
    <row r="17" spans="1:19" ht="15" hidden="1">
      <c r="A17" s="62"/>
      <c r="B17" s="6"/>
      <c r="C17" s="6"/>
      <c r="D17" s="6"/>
      <c r="E17" s="7"/>
      <c r="F17" s="9"/>
      <c r="H17" s="7"/>
      <c r="I17" s="9"/>
      <c r="J17" s="9"/>
      <c r="K17" s="9"/>
      <c r="L17" s="83"/>
      <c r="M17" s="17"/>
      <c r="R17" s="75"/>
      <c r="S17" s="59"/>
    </row>
    <row r="18" spans="1:19" ht="15" hidden="1">
      <c r="A18" s="62"/>
      <c r="C18" s="17"/>
      <c r="D18" s="17"/>
      <c r="E18" s="38" t="s">
        <v>26</v>
      </c>
      <c r="F18" s="9"/>
      <c r="H18" s="7"/>
      <c r="I18" s="9"/>
      <c r="J18" s="9"/>
      <c r="K18" s="39"/>
      <c r="L18" s="83"/>
      <c r="M18" s="17"/>
      <c r="R18" s="75"/>
      <c r="S18" s="59"/>
    </row>
    <row r="19" spans="1:19" ht="15" hidden="1">
      <c r="A19" s="63" t="s">
        <v>21</v>
      </c>
      <c r="B19" s="44">
        <v>82</v>
      </c>
      <c r="C19" s="17" t="s">
        <v>22</v>
      </c>
      <c r="D19" s="17" t="s">
        <v>7</v>
      </c>
      <c r="E19" s="224">
        <f>85%/2</f>
        <v>0.425</v>
      </c>
      <c r="F19" s="223">
        <v>0.85</v>
      </c>
      <c r="G19" s="223">
        <v>0.85</v>
      </c>
      <c r="H19" s="223">
        <v>0.85</v>
      </c>
      <c r="I19" s="223">
        <v>0.4</v>
      </c>
      <c r="J19" s="223">
        <v>0.4</v>
      </c>
      <c r="K19" s="199"/>
      <c r="L19" s="84"/>
      <c r="M19" s="17"/>
      <c r="R19" s="75"/>
      <c r="S19" s="59"/>
    </row>
    <row r="20" spans="1:19" ht="15" hidden="1">
      <c r="A20" s="63" t="s">
        <v>21</v>
      </c>
      <c r="B20" s="44">
        <v>82</v>
      </c>
      <c r="C20" s="17" t="s">
        <v>22</v>
      </c>
      <c r="D20" s="17" t="s">
        <v>8</v>
      </c>
      <c r="E20" s="199">
        <f>45%/2</f>
        <v>0.225</v>
      </c>
      <c r="F20" s="223">
        <v>0.4</v>
      </c>
      <c r="G20" s="223">
        <v>0.4</v>
      </c>
      <c r="H20" s="223">
        <v>0.4</v>
      </c>
      <c r="I20" s="223">
        <f>40%/2</f>
        <v>0.2</v>
      </c>
      <c r="J20" s="223">
        <f>40%/2</f>
        <v>0.2</v>
      </c>
      <c r="K20" s="199"/>
      <c r="L20" s="84"/>
      <c r="M20" s="17"/>
      <c r="R20" s="75"/>
      <c r="S20" s="59"/>
    </row>
    <row r="21" spans="1:19" ht="15" hidden="1">
      <c r="A21" s="63" t="s">
        <v>21</v>
      </c>
      <c r="B21" s="44">
        <v>82</v>
      </c>
      <c r="C21" s="17" t="s">
        <v>23</v>
      </c>
      <c r="D21" s="17" t="s">
        <v>18</v>
      </c>
      <c r="E21" s="29">
        <v>0.3</v>
      </c>
      <c r="F21" s="51">
        <v>0.3</v>
      </c>
      <c r="G21" s="51">
        <v>0.3</v>
      </c>
      <c r="H21" s="51">
        <v>0.3</v>
      </c>
      <c r="I21" s="51">
        <v>0.4</v>
      </c>
      <c r="J21" s="51">
        <v>0.4</v>
      </c>
      <c r="K21" s="29"/>
      <c r="L21" s="84"/>
      <c r="M21" s="17"/>
      <c r="R21" s="75"/>
      <c r="S21" s="59"/>
    </row>
    <row r="22" spans="1:19" ht="15" hidden="1">
      <c r="A22" s="63" t="s">
        <v>21</v>
      </c>
      <c r="B22" s="44">
        <v>82</v>
      </c>
      <c r="C22" s="17"/>
      <c r="D22" s="17"/>
      <c r="E22" s="199">
        <f aca="true" t="shared" si="1" ref="E22:J22">SUM(E19:E21)</f>
        <v>0.95</v>
      </c>
      <c r="F22" s="223">
        <f t="shared" si="1"/>
        <v>1.55</v>
      </c>
      <c r="G22" s="223">
        <f t="shared" si="1"/>
        <v>1.55</v>
      </c>
      <c r="H22" s="223">
        <f t="shared" si="1"/>
        <v>1.55</v>
      </c>
      <c r="I22" s="223">
        <f t="shared" si="1"/>
        <v>1</v>
      </c>
      <c r="J22" s="223">
        <f t="shared" si="1"/>
        <v>1</v>
      </c>
      <c r="K22" s="199"/>
      <c r="L22" s="83"/>
      <c r="M22" s="17"/>
      <c r="R22" s="75"/>
      <c r="S22" s="59"/>
    </row>
    <row r="23" spans="1:19" ht="15" hidden="1">
      <c r="A23" s="63" t="s">
        <v>21</v>
      </c>
      <c r="B23" s="44">
        <v>82</v>
      </c>
      <c r="C23" s="21">
        <v>35</v>
      </c>
      <c r="D23" s="21" t="s">
        <v>19</v>
      </c>
      <c r="E23" s="22">
        <v>10</v>
      </c>
      <c r="F23" s="50">
        <v>10</v>
      </c>
      <c r="G23" s="52">
        <v>8</v>
      </c>
      <c r="H23" s="52">
        <v>5</v>
      </c>
      <c r="I23" s="50">
        <v>4</v>
      </c>
      <c r="J23" s="50">
        <v>4</v>
      </c>
      <c r="K23" s="23"/>
      <c r="L23" s="83"/>
      <c r="M23" s="17"/>
      <c r="R23" s="75"/>
      <c r="S23" s="59"/>
    </row>
    <row r="24" spans="1:19" ht="15" hidden="1">
      <c r="A24" s="63" t="s">
        <v>21</v>
      </c>
      <c r="B24" s="44">
        <v>82</v>
      </c>
      <c r="C24" s="21">
        <v>41</v>
      </c>
      <c r="D24" s="21" t="s">
        <v>25</v>
      </c>
      <c r="E24" s="22">
        <v>30</v>
      </c>
      <c r="F24" s="50">
        <v>30</v>
      </c>
      <c r="G24" s="52"/>
      <c r="H24" s="52"/>
      <c r="I24" s="50"/>
      <c r="J24" s="50"/>
      <c r="K24" s="23"/>
      <c r="L24" s="83"/>
      <c r="M24" s="17"/>
      <c r="R24" s="75"/>
      <c r="S24" s="59"/>
    </row>
    <row r="25" spans="1:19" ht="15" hidden="1">
      <c r="A25" s="63" t="s">
        <v>21</v>
      </c>
      <c r="B25" s="44">
        <v>82</v>
      </c>
      <c r="C25" s="17"/>
      <c r="D25" s="17"/>
      <c r="E25" s="39">
        <f>((E19+E20)*143*1726)+(E21*94*1726)+(E23*1.6)+(E24*1.24)</f>
        <v>209158.10000000003</v>
      </c>
      <c r="F25" s="9">
        <f>((F19+F20)*148*1726)+(F21*97*1726)+(E23*1.6)+(E24*1.24)</f>
        <v>369589.8</v>
      </c>
      <c r="G25" s="9">
        <f>((G19+G20)*152*1726)+(G21*100*1726)+(E23*1.6)+(E24*1.24)</f>
        <v>379773.2</v>
      </c>
      <c r="H25" s="9">
        <f>((H19+H20)*159*1726)+(H21*104*1726)+(E23*1.6)+(E24*1.24)</f>
        <v>396946.9</v>
      </c>
      <c r="I25" s="9">
        <f>((I19+I20)*162*1726)+(I21*106*1726)+(E23*1.6)+(E24*1.24)</f>
        <v>241002.80000000005</v>
      </c>
      <c r="J25" s="9">
        <f>((J19+J20)*162*1726)+(J21*106*1726)+(F23*1.6)+(F24*1.24)</f>
        <v>241002.80000000005</v>
      </c>
      <c r="K25" s="39"/>
      <c r="L25" s="83">
        <f>SUM(E25:I25)</f>
        <v>1596470.8</v>
      </c>
      <c r="M25" s="17"/>
      <c r="R25" s="75"/>
      <c r="S25" s="59"/>
    </row>
    <row r="26" spans="1:19" ht="15" hidden="1">
      <c r="A26" s="62"/>
      <c r="B26" s="6"/>
      <c r="C26" s="6"/>
      <c r="D26" s="6"/>
      <c r="E26" s="7"/>
      <c r="F26" s="9"/>
      <c r="H26" s="7"/>
      <c r="I26" s="9"/>
      <c r="J26" s="9"/>
      <c r="K26" s="9"/>
      <c r="L26" s="83"/>
      <c r="M26" s="17"/>
      <c r="R26" s="75"/>
      <c r="S26" s="59"/>
    </row>
    <row r="27" spans="1:19" ht="15" hidden="1">
      <c r="A27" s="62"/>
      <c r="B27" s="6"/>
      <c r="C27" s="6"/>
      <c r="D27" s="6"/>
      <c r="E27" s="7"/>
      <c r="F27" s="9"/>
      <c r="H27" s="7"/>
      <c r="I27" s="9"/>
      <c r="J27" s="9"/>
      <c r="K27" s="9"/>
      <c r="L27" s="83"/>
      <c r="M27" s="17"/>
      <c r="R27" s="75"/>
      <c r="S27" s="59"/>
    </row>
    <row r="28" spans="1:19" ht="15.75" hidden="1">
      <c r="A28" s="41" t="s">
        <v>27</v>
      </c>
      <c r="B28" s="6"/>
      <c r="C28" s="6"/>
      <c r="D28" s="6"/>
      <c r="E28" s="7"/>
      <c r="F28" s="9"/>
      <c r="H28" s="7"/>
      <c r="I28" s="9"/>
      <c r="J28" s="9"/>
      <c r="K28" s="9"/>
      <c r="L28" s="83"/>
      <c r="M28" s="17"/>
      <c r="R28" s="75"/>
      <c r="S28" s="59"/>
    </row>
    <row r="29" spans="1:19" ht="15" hidden="1">
      <c r="A29" s="62"/>
      <c r="B29" s="6"/>
      <c r="C29" s="6"/>
      <c r="D29" s="6"/>
      <c r="E29" s="7"/>
      <c r="F29" s="9"/>
      <c r="H29" s="7"/>
      <c r="I29" s="9"/>
      <c r="J29" s="9"/>
      <c r="K29" s="9"/>
      <c r="L29" s="79"/>
      <c r="M29" s="17"/>
      <c r="R29" s="75"/>
      <c r="S29" s="59"/>
    </row>
    <row r="30" spans="1:19" ht="15" hidden="1">
      <c r="A30" s="62"/>
      <c r="B30" s="33"/>
      <c r="C30" s="6"/>
      <c r="D30" s="6"/>
      <c r="E30" s="36" t="s">
        <v>26</v>
      </c>
      <c r="F30" s="35" t="s">
        <v>0</v>
      </c>
      <c r="G30" s="36" t="s">
        <v>1</v>
      </c>
      <c r="H30" s="35" t="s">
        <v>2</v>
      </c>
      <c r="I30" s="36" t="s">
        <v>3</v>
      </c>
      <c r="J30" s="36" t="s">
        <v>3</v>
      </c>
      <c r="K30" s="36"/>
      <c r="L30" s="79"/>
      <c r="M30" s="17"/>
      <c r="R30" s="75"/>
      <c r="S30" s="59"/>
    </row>
    <row r="31" spans="1:19" ht="15" hidden="1">
      <c r="A31" s="62" t="s">
        <v>20</v>
      </c>
      <c r="B31" s="43">
        <v>82</v>
      </c>
      <c r="C31" s="6" t="s">
        <v>24</v>
      </c>
      <c r="D31" s="6" t="s">
        <v>10</v>
      </c>
      <c r="E31" s="24">
        <f>832/1768</f>
        <v>0.47058823529411764</v>
      </c>
      <c r="F31" s="24">
        <v>0.8</v>
      </c>
      <c r="G31" s="24">
        <v>0.75</v>
      </c>
      <c r="H31" s="24">
        <v>0.75</v>
      </c>
      <c r="I31" s="24">
        <f>936/1768</f>
        <v>0.5294117647058824</v>
      </c>
      <c r="J31" s="24">
        <f>936/1768</f>
        <v>0.5294117647058824</v>
      </c>
      <c r="K31" s="24"/>
      <c r="L31" s="79"/>
      <c r="M31" s="17"/>
      <c r="R31" s="75"/>
      <c r="S31" s="59"/>
    </row>
    <row r="32" spans="1:19" ht="15" hidden="1">
      <c r="A32" s="62" t="s">
        <v>20</v>
      </c>
      <c r="B32" s="43">
        <v>82</v>
      </c>
      <c r="C32" s="6" t="s">
        <v>28</v>
      </c>
      <c r="D32" s="6" t="s">
        <v>29</v>
      </c>
      <c r="E32" s="25">
        <f>80%/2</f>
        <v>0.4</v>
      </c>
      <c r="F32" s="25">
        <v>0.8</v>
      </c>
      <c r="G32" s="25">
        <v>0.8</v>
      </c>
      <c r="H32" s="25">
        <v>0.8</v>
      </c>
      <c r="I32" s="25">
        <f>80%/2</f>
        <v>0.4</v>
      </c>
      <c r="J32" s="25">
        <f>80%/2</f>
        <v>0.4</v>
      </c>
      <c r="K32" s="25"/>
      <c r="L32" s="79"/>
      <c r="M32" s="17"/>
      <c r="R32" s="75"/>
      <c r="S32" s="59"/>
    </row>
    <row r="33" spans="1:19" ht="15" hidden="1">
      <c r="A33" s="62" t="s">
        <v>20</v>
      </c>
      <c r="B33" s="6"/>
      <c r="C33" s="6"/>
      <c r="D33" s="6"/>
      <c r="E33" s="225">
        <f aca="true" t="shared" si="2" ref="E33:J33">SUM(E31:E32)</f>
        <v>0.8705882352941177</v>
      </c>
      <c r="F33" s="225">
        <f t="shared" si="2"/>
        <v>1.6</v>
      </c>
      <c r="G33" s="225">
        <f t="shared" si="2"/>
        <v>1.55</v>
      </c>
      <c r="H33" s="225">
        <f t="shared" si="2"/>
        <v>1.55</v>
      </c>
      <c r="I33" s="225">
        <f t="shared" si="2"/>
        <v>0.9294117647058824</v>
      </c>
      <c r="J33" s="225">
        <f t="shared" si="2"/>
        <v>0.9294117647058824</v>
      </c>
      <c r="K33" s="225"/>
      <c r="L33" s="79"/>
      <c r="M33" s="17"/>
      <c r="R33" s="75"/>
      <c r="S33" s="59"/>
    </row>
    <row r="34" spans="1:19" ht="15" hidden="1">
      <c r="A34" s="62" t="s">
        <v>20</v>
      </c>
      <c r="B34" s="6"/>
      <c r="C34" s="6"/>
      <c r="D34" s="6"/>
      <c r="E34" s="18">
        <f>(E31*1768*168)+(E32*1768*131)</f>
        <v>232419.2</v>
      </c>
      <c r="F34" s="18">
        <f>((F31*1768*168)+(F32*1768*131))*1.04</f>
        <v>439821.824</v>
      </c>
      <c r="G34" s="18">
        <f>((G31*1768*168)+(G32*1768*131))*1.04</f>
        <v>424376.57600000006</v>
      </c>
      <c r="H34" s="18">
        <f>((H31*1768*168)+(H32*1768*131))*1.04</f>
        <v>424376.57600000006</v>
      </c>
      <c r="I34" s="18">
        <f>((I31*1768*168)+(I32*1768*131))*1.04</f>
        <v>259886.84800000003</v>
      </c>
      <c r="J34" s="18">
        <f>((J31*1768*168)+(J32*1768*131))*1.04</f>
        <v>259886.84800000003</v>
      </c>
      <c r="K34" s="18"/>
      <c r="L34" s="83">
        <f>SUM(E34:I34)</f>
        <v>1780881.0240000002</v>
      </c>
      <c r="M34" s="17"/>
      <c r="R34" s="75"/>
      <c r="S34" s="59"/>
    </row>
    <row r="35" spans="1:19" ht="15" hidden="1">
      <c r="A35" s="62"/>
      <c r="B35" s="6"/>
      <c r="C35" s="6"/>
      <c r="D35" s="6"/>
      <c r="E35" s="18"/>
      <c r="F35" s="18"/>
      <c r="G35" s="18"/>
      <c r="H35" s="18"/>
      <c r="I35" s="18"/>
      <c r="J35" s="18"/>
      <c r="K35" s="18"/>
      <c r="L35" s="83"/>
      <c r="M35" s="17"/>
      <c r="R35" s="75"/>
      <c r="S35" s="59"/>
    </row>
    <row r="36" spans="1:19" ht="15" hidden="1">
      <c r="A36" s="62"/>
      <c r="B36" s="37"/>
      <c r="C36" s="17"/>
      <c r="D36" s="17"/>
      <c r="E36" s="40"/>
      <c r="F36" s="9"/>
      <c r="H36" s="7"/>
      <c r="I36" s="9"/>
      <c r="J36" s="9"/>
      <c r="K36" s="39"/>
      <c r="L36" s="83"/>
      <c r="M36" s="17"/>
      <c r="R36" s="75"/>
      <c r="S36" s="59"/>
    </row>
    <row r="37" spans="1:19" ht="15" hidden="1">
      <c r="A37" s="62"/>
      <c r="B37" s="17"/>
      <c r="C37" s="17" t="s">
        <v>24</v>
      </c>
      <c r="D37" s="17" t="s">
        <v>10</v>
      </c>
      <c r="E37" s="226">
        <v>0.325</v>
      </c>
      <c r="F37" s="225">
        <v>0.65</v>
      </c>
      <c r="G37" s="225">
        <v>0.65</v>
      </c>
      <c r="H37" s="225">
        <v>0.65</v>
      </c>
      <c r="I37" s="225">
        <v>0.25</v>
      </c>
      <c r="J37" s="225">
        <v>0.25</v>
      </c>
      <c r="K37" s="226"/>
      <c r="L37" s="83"/>
      <c r="M37" s="17"/>
      <c r="R37" s="75"/>
      <c r="S37" s="59"/>
    </row>
    <row r="38" spans="1:19" ht="15" hidden="1">
      <c r="A38" s="62"/>
      <c r="B38" s="17"/>
      <c r="C38" s="17" t="s">
        <v>28</v>
      </c>
      <c r="D38" s="17" t="s">
        <v>29</v>
      </c>
      <c r="E38" s="32">
        <v>0.1</v>
      </c>
      <c r="F38" s="25">
        <v>0.2</v>
      </c>
      <c r="G38" s="25">
        <v>0.2</v>
      </c>
      <c r="H38" s="25">
        <v>0.2</v>
      </c>
      <c r="I38" s="25">
        <v>0.1</v>
      </c>
      <c r="J38" s="25">
        <v>0.1</v>
      </c>
      <c r="K38" s="32"/>
      <c r="L38" s="83"/>
      <c r="M38" s="17"/>
      <c r="R38" s="75"/>
      <c r="S38" s="59"/>
    </row>
    <row r="39" spans="1:19" ht="15" hidden="1">
      <c r="A39" s="63" t="s">
        <v>21</v>
      </c>
      <c r="B39" s="43">
        <v>82</v>
      </c>
      <c r="C39" s="17" t="s">
        <v>31</v>
      </c>
      <c r="D39" s="17" t="s">
        <v>30</v>
      </c>
      <c r="E39" s="226">
        <f aca="true" t="shared" si="3" ref="E39:J39">SUM(E37:E38)</f>
        <v>0.42500000000000004</v>
      </c>
      <c r="F39" s="225">
        <f t="shared" si="3"/>
        <v>0.8500000000000001</v>
      </c>
      <c r="G39" s="225">
        <f t="shared" si="3"/>
        <v>0.8500000000000001</v>
      </c>
      <c r="H39" s="225">
        <f t="shared" si="3"/>
        <v>0.8500000000000001</v>
      </c>
      <c r="I39" s="225">
        <f t="shared" si="3"/>
        <v>0.35</v>
      </c>
      <c r="J39" s="225">
        <f t="shared" si="3"/>
        <v>0.35</v>
      </c>
      <c r="K39" s="226"/>
      <c r="L39" s="83"/>
      <c r="M39" s="17"/>
      <c r="R39" s="75"/>
      <c r="S39" s="59"/>
    </row>
    <row r="40" spans="1:19" ht="15" hidden="1">
      <c r="A40" s="63" t="s">
        <v>21</v>
      </c>
      <c r="B40" s="17"/>
      <c r="C40" s="17"/>
      <c r="D40" s="17"/>
      <c r="E40" s="42">
        <f>(E37*1768*158)+(E38*1768*122)</f>
        <v>112356.40000000001</v>
      </c>
      <c r="F40" s="18">
        <f>((F37*1768*158)+(F38*1768*122))*1.04</f>
        <v>233701.31200000003</v>
      </c>
      <c r="G40" s="18">
        <f>((G37*1768*158)+(G38*1768*122))*1.04</f>
        <v>233701.31200000003</v>
      </c>
      <c r="H40" s="18">
        <f>((H37*1768*158)+(H38*1768*122))*1.04</f>
        <v>233701.31200000003</v>
      </c>
      <c r="I40" s="18">
        <f>((I37*1768*158)+(I38*1768*122))*1.04</f>
        <v>95061.82400000001</v>
      </c>
      <c r="J40" s="18">
        <f>((J37*1768*158)+(J38*1768*122))*1.04</f>
        <v>95061.82400000001</v>
      </c>
      <c r="K40" s="42"/>
      <c r="L40" s="83">
        <f>SUM(E40:I40)</f>
        <v>908522.1600000001</v>
      </c>
      <c r="M40" s="17"/>
      <c r="R40" s="75"/>
      <c r="S40" s="59"/>
    </row>
    <row r="41" spans="1:19" ht="15.75" hidden="1" thickBot="1">
      <c r="A41" s="62"/>
      <c r="B41" s="6"/>
      <c r="C41" s="6"/>
      <c r="D41" s="6"/>
      <c r="E41" s="7"/>
      <c r="F41" s="9"/>
      <c r="H41" s="7"/>
      <c r="I41" s="9"/>
      <c r="J41" s="9"/>
      <c r="K41" s="9"/>
      <c r="L41" s="79"/>
      <c r="M41" s="17"/>
      <c r="R41" s="75"/>
      <c r="S41" s="59"/>
    </row>
    <row r="42" spans="1:19" ht="20.25">
      <c r="A42" s="68" t="s">
        <v>47</v>
      </c>
      <c r="B42" s="53"/>
      <c r="C42" s="53"/>
      <c r="D42" s="53"/>
      <c r="E42" s="261" t="s">
        <v>42</v>
      </c>
      <c r="F42" s="261" t="s">
        <v>0</v>
      </c>
      <c r="G42" s="55" t="s">
        <v>1</v>
      </c>
      <c r="H42" s="54" t="s">
        <v>2</v>
      </c>
      <c r="I42" s="55" t="s">
        <v>3</v>
      </c>
      <c r="J42" s="55" t="s">
        <v>84</v>
      </c>
      <c r="K42" s="55"/>
      <c r="L42" s="85"/>
      <c r="M42" s="124" t="s">
        <v>42</v>
      </c>
      <c r="N42" s="124" t="s">
        <v>0</v>
      </c>
      <c r="O42" s="125" t="s">
        <v>1</v>
      </c>
      <c r="P42" s="124" t="s">
        <v>2</v>
      </c>
      <c r="Q42" s="125" t="s">
        <v>3</v>
      </c>
      <c r="R42" s="126" t="s">
        <v>54</v>
      </c>
      <c r="S42" s="227"/>
    </row>
    <row r="43" spans="1:19" ht="15">
      <c r="A43" s="64"/>
      <c r="B43" s="45">
        <v>81</v>
      </c>
      <c r="C43" s="88" t="s">
        <v>32</v>
      </c>
      <c r="D43" s="88" t="s">
        <v>33</v>
      </c>
      <c r="E43" s="262">
        <v>0.85</v>
      </c>
      <c r="F43" s="262">
        <v>0.85</v>
      </c>
      <c r="G43" s="89">
        <f>1645/1768</f>
        <v>0.9304298642533937</v>
      </c>
      <c r="H43" s="89">
        <f>1520/1768</f>
        <v>0.8597285067873304</v>
      </c>
      <c r="I43" s="156">
        <f>(380+983)/1768</f>
        <v>0.7709276018099548</v>
      </c>
      <c r="J43" s="156">
        <f>122*8/1768</f>
        <v>0.5520361990950227</v>
      </c>
      <c r="K43" s="89"/>
      <c r="L43" s="86">
        <f>203.77*1788/1000</f>
        <v>364.34076</v>
      </c>
      <c r="M43" s="231">
        <f aca="true" t="shared" si="4" ref="M43:M72">+L43*E43</f>
        <v>309.689646</v>
      </c>
      <c r="N43" s="232">
        <f aca="true" t="shared" si="5" ref="N43:N72">+L43*F43*1.04</f>
        <v>322.07723183999997</v>
      </c>
      <c r="O43" s="232">
        <f aca="true" t="shared" si="6" ref="O43:O72">+L43*G43*1.04*1.04</f>
        <v>366.6553954164706</v>
      </c>
      <c r="P43" s="232">
        <f aca="true" t="shared" si="7" ref="P43:P72">+L43*H43*1.04*1.04*1.04</f>
        <v>352.3458049084236</v>
      </c>
      <c r="Q43" s="232">
        <f aca="true" t="shared" si="8" ref="Q43:Q79">+L43*I43*1.04*1.04*1.04*1.04</f>
        <v>328.5902798511767</v>
      </c>
      <c r="R43" s="130">
        <f aca="true" t="shared" si="9" ref="R43:R79">SUM(M43:Q43)</f>
        <v>1679.358358016071</v>
      </c>
      <c r="S43" s="233"/>
    </row>
    <row r="44" spans="1:19" ht="15">
      <c r="A44" s="65"/>
      <c r="B44" s="6">
        <v>81</v>
      </c>
      <c r="C44" s="90" t="s">
        <v>32</v>
      </c>
      <c r="D44" s="90" t="s">
        <v>34</v>
      </c>
      <c r="E44" s="263"/>
      <c r="F44" s="263"/>
      <c r="G44" s="111"/>
      <c r="H44" s="111"/>
      <c r="I44" s="112"/>
      <c r="J44" s="112"/>
      <c r="K44" s="91"/>
      <c r="L44" s="83">
        <f>203.77*1788/1000</f>
        <v>364.34076</v>
      </c>
      <c r="M44" s="234">
        <f t="shared" si="4"/>
        <v>0</v>
      </c>
      <c r="N44" s="235">
        <f t="shared" si="5"/>
        <v>0</v>
      </c>
      <c r="O44" s="134">
        <f t="shared" si="6"/>
        <v>0</v>
      </c>
      <c r="P44" s="134">
        <f t="shared" si="7"/>
        <v>0</v>
      </c>
      <c r="Q44" s="134">
        <f t="shared" si="8"/>
        <v>0</v>
      </c>
      <c r="R44" s="135">
        <f t="shared" si="9"/>
        <v>0</v>
      </c>
      <c r="S44" s="236"/>
    </row>
    <row r="45" spans="1:19" ht="15">
      <c r="A45" s="65"/>
      <c r="B45" s="6">
        <v>81</v>
      </c>
      <c r="C45" s="90" t="s">
        <v>36</v>
      </c>
      <c r="D45" s="90" t="s">
        <v>29</v>
      </c>
      <c r="E45" s="263">
        <v>0.62</v>
      </c>
      <c r="F45" s="263">
        <v>0.5</v>
      </c>
      <c r="G45" s="91">
        <f>884/1747</f>
        <v>0.5060103033772181</v>
      </c>
      <c r="H45" s="91">
        <f>884/1747</f>
        <v>0.5060103033772181</v>
      </c>
      <c r="I45" s="237">
        <f>(221+672)/1747</f>
        <v>0.5111619919862621</v>
      </c>
      <c r="J45" s="260">
        <f>71*8/1768</f>
        <v>0.3212669683257919</v>
      </c>
      <c r="K45" s="91">
        <f>SUM(G43:J46)</f>
        <v>5.446033277473731</v>
      </c>
      <c r="L45" s="83">
        <f>130.66*1768/1000</f>
        <v>231.00688</v>
      </c>
      <c r="M45" s="137">
        <f t="shared" si="4"/>
        <v>143.2242656</v>
      </c>
      <c r="N45" s="134">
        <f t="shared" si="5"/>
        <v>120.1235776</v>
      </c>
      <c r="O45" s="134">
        <f t="shared" si="6"/>
        <v>126.43023732379622</v>
      </c>
      <c r="P45" s="134">
        <f t="shared" si="7"/>
        <v>131.48744681674808</v>
      </c>
      <c r="Q45" s="134">
        <f t="shared" si="8"/>
        <v>138.1391647145365</v>
      </c>
      <c r="R45" s="135">
        <f t="shared" si="9"/>
        <v>659.4046920550808</v>
      </c>
      <c r="S45" s="236"/>
    </row>
    <row r="46" spans="1:19" ht="15">
      <c r="A46" s="65"/>
      <c r="B46" s="6">
        <v>81</v>
      </c>
      <c r="C46" s="90" t="s">
        <v>37</v>
      </c>
      <c r="D46" s="90" t="s">
        <v>38</v>
      </c>
      <c r="E46" s="263">
        <v>0.41</v>
      </c>
      <c r="F46" s="263">
        <v>0.3</v>
      </c>
      <c r="G46" s="91">
        <f>624/2080</f>
        <v>0.3</v>
      </c>
      <c r="H46" s="91">
        <f>312/2080</f>
        <v>0.15</v>
      </c>
      <c r="I46" s="91">
        <f>80/2080</f>
        <v>0.038461538461538464</v>
      </c>
      <c r="J46" s="91"/>
      <c r="K46" s="91"/>
      <c r="L46" s="83">
        <f>43.37*2080/1000</f>
        <v>90.2096</v>
      </c>
      <c r="M46" s="234">
        <f t="shared" si="4"/>
        <v>36.985935999999995</v>
      </c>
      <c r="N46" s="235">
        <f t="shared" si="5"/>
        <v>28.145395199999996</v>
      </c>
      <c r="O46" s="235">
        <f t="shared" si="6"/>
        <v>29.271211007999998</v>
      </c>
      <c r="P46" s="235">
        <f t="shared" si="7"/>
        <v>15.22102972416</v>
      </c>
      <c r="Q46" s="235">
        <f t="shared" si="8"/>
        <v>4.058941259776</v>
      </c>
      <c r="R46" s="135">
        <f t="shared" si="9"/>
        <v>113.682513191936</v>
      </c>
      <c r="S46" s="236"/>
    </row>
    <row r="47" spans="1:19" ht="15">
      <c r="A47" s="65"/>
      <c r="B47" s="6">
        <v>81</v>
      </c>
      <c r="C47" s="92">
        <v>41</v>
      </c>
      <c r="D47" s="92" t="s">
        <v>6</v>
      </c>
      <c r="E47" s="264">
        <v>3</v>
      </c>
      <c r="F47" s="264">
        <v>6</v>
      </c>
      <c r="G47" s="93">
        <v>6</v>
      </c>
      <c r="H47" s="93">
        <v>2</v>
      </c>
      <c r="I47" s="157">
        <v>2</v>
      </c>
      <c r="J47" s="157">
        <v>0</v>
      </c>
      <c r="K47" s="93"/>
      <c r="L47" s="83">
        <v>1.32</v>
      </c>
      <c r="M47" s="234">
        <f t="shared" si="4"/>
        <v>3.96</v>
      </c>
      <c r="N47" s="235">
        <f t="shared" si="5"/>
        <v>8.2368</v>
      </c>
      <c r="O47" s="235">
        <f t="shared" si="6"/>
        <v>8.566272000000001</v>
      </c>
      <c r="P47" s="235">
        <f t="shared" si="7"/>
        <v>2.9696409600000004</v>
      </c>
      <c r="Q47" s="235">
        <f t="shared" si="8"/>
        <v>3.0884265984000008</v>
      </c>
      <c r="R47" s="135">
        <f t="shared" si="9"/>
        <v>26.821139558400002</v>
      </c>
      <c r="S47" s="236"/>
    </row>
    <row r="48" spans="1:19" ht="15">
      <c r="A48" s="65"/>
      <c r="B48" s="6">
        <v>81</v>
      </c>
      <c r="C48" s="92">
        <v>35</v>
      </c>
      <c r="D48" s="92" t="s">
        <v>19</v>
      </c>
      <c r="E48" s="264">
        <v>8</v>
      </c>
      <c r="F48" s="264">
        <v>8</v>
      </c>
      <c r="G48" s="93">
        <v>8</v>
      </c>
      <c r="H48" s="93">
        <v>4</v>
      </c>
      <c r="I48" s="157">
        <v>4</v>
      </c>
      <c r="J48" s="157">
        <v>0</v>
      </c>
      <c r="K48" s="93"/>
      <c r="L48" s="83">
        <v>1.685</v>
      </c>
      <c r="M48" s="234">
        <f t="shared" si="4"/>
        <v>13.48</v>
      </c>
      <c r="N48" s="235">
        <f t="shared" si="5"/>
        <v>14.019200000000001</v>
      </c>
      <c r="O48" s="235">
        <f t="shared" si="6"/>
        <v>14.579968000000003</v>
      </c>
      <c r="P48" s="235">
        <f t="shared" si="7"/>
        <v>7.5815833600000015</v>
      </c>
      <c r="Q48" s="235">
        <f t="shared" si="8"/>
        <v>7.884846694400002</v>
      </c>
      <c r="R48" s="135">
        <f t="shared" si="9"/>
        <v>57.54559805440001</v>
      </c>
      <c r="S48" s="236"/>
    </row>
    <row r="49" spans="1:19" ht="15">
      <c r="A49" s="65"/>
      <c r="B49" s="6">
        <v>81</v>
      </c>
      <c r="C49" s="90" t="s">
        <v>55</v>
      </c>
      <c r="D49" s="90" t="s">
        <v>40</v>
      </c>
      <c r="E49" s="263">
        <v>0.25</v>
      </c>
      <c r="F49" s="263">
        <v>0.2</v>
      </c>
      <c r="G49" s="91">
        <f>180/1768</f>
        <v>0.10180995475113122</v>
      </c>
      <c r="H49" s="91">
        <f>180/1768</f>
        <v>0.10180995475113122</v>
      </c>
      <c r="I49" s="91">
        <f>(45+178)/1768</f>
        <v>0.126131221719457</v>
      </c>
      <c r="J49" s="91">
        <f>(7*15+415)/1768</f>
        <v>0.29411764705882354</v>
      </c>
      <c r="K49" s="91"/>
      <c r="L49" s="83">
        <f>185*1788/1000</f>
        <v>330.78</v>
      </c>
      <c r="M49" s="137">
        <f t="shared" si="4"/>
        <v>82.695</v>
      </c>
      <c r="N49" s="134">
        <f t="shared" si="5"/>
        <v>68.80224</v>
      </c>
      <c r="O49" s="134">
        <f t="shared" si="6"/>
        <v>36.42471529411765</v>
      </c>
      <c r="P49" s="134">
        <f t="shared" si="7"/>
        <v>37.881703905882354</v>
      </c>
      <c r="Q49" s="134">
        <f t="shared" si="8"/>
        <v>48.80847094362353</v>
      </c>
      <c r="R49" s="135">
        <f t="shared" si="9"/>
        <v>274.6121301436235</v>
      </c>
      <c r="S49" s="236"/>
    </row>
    <row r="50" spans="1:19" ht="15">
      <c r="A50" s="65"/>
      <c r="B50" s="6">
        <v>81</v>
      </c>
      <c r="C50" s="90" t="s">
        <v>55</v>
      </c>
      <c r="D50" s="90" t="s">
        <v>41</v>
      </c>
      <c r="E50" s="263">
        <v>0.1</v>
      </c>
      <c r="F50" s="263">
        <v>0.1</v>
      </c>
      <c r="G50" s="91">
        <f>143/1768</f>
        <v>0.08088235294117647</v>
      </c>
      <c r="H50" s="91">
        <f>89/1768</f>
        <v>0.050339366515837106</v>
      </c>
      <c r="I50" s="91">
        <f>22/1768</f>
        <v>0.012443438914027148</v>
      </c>
      <c r="J50" s="91"/>
      <c r="K50" s="91">
        <f>SUM(E49:I51)</f>
        <v>1.4240950226244347</v>
      </c>
      <c r="L50" s="83">
        <f>137.64*1788/1000</f>
        <v>246.10031999999998</v>
      </c>
      <c r="M50" s="137">
        <f t="shared" si="4"/>
        <v>24.610032</v>
      </c>
      <c r="N50" s="134">
        <f t="shared" si="5"/>
        <v>25.59443328</v>
      </c>
      <c r="O50" s="134">
        <f t="shared" si="6"/>
        <v>21.52943505317647</v>
      </c>
      <c r="P50" s="134">
        <f t="shared" si="7"/>
        <v>13.935416143510588</v>
      </c>
      <c r="Q50" s="134">
        <f t="shared" si="8"/>
        <v>3.5824979928485647</v>
      </c>
      <c r="R50" s="135">
        <f t="shared" si="9"/>
        <v>89.25181446953563</v>
      </c>
      <c r="S50" s="236"/>
    </row>
    <row r="51" spans="1:19" ht="15">
      <c r="A51" s="65"/>
      <c r="B51" s="6">
        <v>81</v>
      </c>
      <c r="C51" s="90" t="s">
        <v>55</v>
      </c>
      <c r="D51" s="90" t="s">
        <v>56</v>
      </c>
      <c r="E51" s="263">
        <v>0.1</v>
      </c>
      <c r="F51" s="263">
        <v>0.1</v>
      </c>
      <c r="G51" s="91">
        <f>178/1768</f>
        <v>0.10067873303167421</v>
      </c>
      <c r="H51" s="91">
        <v>0</v>
      </c>
      <c r="I51" s="237">
        <v>0</v>
      </c>
      <c r="J51" s="237">
        <v>0</v>
      </c>
      <c r="K51" s="91"/>
      <c r="L51" s="83">
        <f>82.17*1788/1000</f>
        <v>146.91996</v>
      </c>
      <c r="M51" s="137">
        <f t="shared" si="4"/>
        <v>14.691996000000001</v>
      </c>
      <c r="N51" s="134">
        <f t="shared" si="5"/>
        <v>15.279675840000001</v>
      </c>
      <c r="O51" s="134">
        <f t="shared" si="6"/>
        <v>15.998719408941179</v>
      </c>
      <c r="P51" s="134">
        <f t="shared" si="7"/>
        <v>0</v>
      </c>
      <c r="Q51" s="134">
        <f t="shared" si="8"/>
        <v>0</v>
      </c>
      <c r="R51" s="135">
        <f t="shared" si="9"/>
        <v>45.97039124894118</v>
      </c>
      <c r="S51" s="236"/>
    </row>
    <row r="52" spans="1:19" ht="15">
      <c r="A52" s="65"/>
      <c r="B52" s="6">
        <v>81</v>
      </c>
      <c r="C52" s="92" t="s">
        <v>45</v>
      </c>
      <c r="D52" s="92" t="s">
        <v>6</v>
      </c>
      <c r="E52" s="264">
        <v>3</v>
      </c>
      <c r="F52" s="264">
        <v>3</v>
      </c>
      <c r="G52" s="93">
        <v>2</v>
      </c>
      <c r="H52" s="93">
        <v>2</v>
      </c>
      <c r="I52" s="157">
        <v>0</v>
      </c>
      <c r="J52" s="157">
        <v>0</v>
      </c>
      <c r="K52" s="93"/>
      <c r="L52" s="83">
        <v>1</v>
      </c>
      <c r="M52" s="234">
        <f t="shared" si="4"/>
        <v>3</v>
      </c>
      <c r="N52" s="235">
        <f t="shared" si="5"/>
        <v>3.12</v>
      </c>
      <c r="O52" s="235">
        <f t="shared" si="6"/>
        <v>2.1632000000000002</v>
      </c>
      <c r="P52" s="235">
        <f t="shared" si="7"/>
        <v>2.249728</v>
      </c>
      <c r="Q52" s="235">
        <f t="shared" si="8"/>
        <v>0</v>
      </c>
      <c r="R52" s="135">
        <f t="shared" si="9"/>
        <v>10.532928000000002</v>
      </c>
      <c r="S52" s="236"/>
    </row>
    <row r="53" spans="1:19" ht="15">
      <c r="A53" s="66"/>
      <c r="B53" s="46">
        <v>81</v>
      </c>
      <c r="C53" s="94" t="s">
        <v>46</v>
      </c>
      <c r="D53" s="94" t="s">
        <v>19</v>
      </c>
      <c r="E53" s="265">
        <v>4</v>
      </c>
      <c r="F53" s="265">
        <v>4</v>
      </c>
      <c r="G53" s="95">
        <v>3</v>
      </c>
      <c r="H53" s="95">
        <v>2</v>
      </c>
      <c r="I53" s="158">
        <v>0</v>
      </c>
      <c r="J53" s="158">
        <v>0</v>
      </c>
      <c r="K53" s="95"/>
      <c r="L53" s="87">
        <v>1</v>
      </c>
      <c r="M53" s="238">
        <f t="shared" si="4"/>
        <v>4</v>
      </c>
      <c r="N53" s="239">
        <f t="shared" si="5"/>
        <v>4.16</v>
      </c>
      <c r="O53" s="239">
        <f t="shared" si="6"/>
        <v>3.2448</v>
      </c>
      <c r="P53" s="239">
        <f t="shared" si="7"/>
        <v>2.249728</v>
      </c>
      <c r="Q53" s="239">
        <f t="shared" si="8"/>
        <v>0</v>
      </c>
      <c r="R53" s="140">
        <f t="shared" si="9"/>
        <v>13.654527999999999</v>
      </c>
      <c r="S53" s="141">
        <f>SUM(M43:Q53)</f>
        <v>2970.834092737988</v>
      </c>
    </row>
    <row r="54" spans="1:19" ht="25.5">
      <c r="A54" s="64"/>
      <c r="B54" s="48">
        <v>82</v>
      </c>
      <c r="C54" s="88" t="s">
        <v>14</v>
      </c>
      <c r="D54" s="277" t="s">
        <v>85</v>
      </c>
      <c r="E54" s="266">
        <v>1.795</v>
      </c>
      <c r="F54" s="267">
        <v>2.2</v>
      </c>
      <c r="G54" s="240">
        <f>3107/1726</f>
        <v>1.8001158748551565</v>
      </c>
      <c r="H54" s="240">
        <f>2762/1726</f>
        <v>1.600231749710313</v>
      </c>
      <c r="I54" s="240">
        <f>(690+690)/1726</f>
        <v>0.7995365005793743</v>
      </c>
      <c r="J54" s="240">
        <f>1035/1726</f>
        <v>0.5996523754345308</v>
      </c>
      <c r="K54" s="240"/>
      <c r="L54" s="86">
        <f>152.56*1726/1000</f>
        <v>263.31856</v>
      </c>
      <c r="M54" s="231">
        <f t="shared" si="4"/>
        <v>472.6568152</v>
      </c>
      <c r="N54" s="232">
        <f t="shared" si="5"/>
        <v>602.4728652800001</v>
      </c>
      <c r="O54" s="232">
        <f t="shared" si="6"/>
        <v>512.682639872</v>
      </c>
      <c r="P54" s="232">
        <f t="shared" si="7"/>
        <v>473.98475358208003</v>
      </c>
      <c r="Q54" s="232">
        <f t="shared" si="8"/>
        <v>246.29359824076803</v>
      </c>
      <c r="R54" s="130">
        <f t="shared" si="9"/>
        <v>2308.090672174848</v>
      </c>
      <c r="S54" s="144"/>
    </row>
    <row r="55" spans="1:19" ht="15">
      <c r="A55" s="65"/>
      <c r="B55" s="6">
        <v>82</v>
      </c>
      <c r="C55" s="90" t="s">
        <v>35</v>
      </c>
      <c r="D55" s="90" t="s">
        <v>10</v>
      </c>
      <c r="E55" s="263">
        <v>0.9</v>
      </c>
      <c r="F55" s="263">
        <v>0.75</v>
      </c>
      <c r="G55" s="91">
        <f>1061/1747</f>
        <v>0.6073268460217516</v>
      </c>
      <c r="H55" s="91">
        <f>884/1747</f>
        <v>0.5060103033772181</v>
      </c>
      <c r="I55" s="91">
        <f>(221+221)/1747</f>
        <v>0.25300515168860904</v>
      </c>
      <c r="J55" s="91">
        <f>354/1747</f>
        <v>0.20263308528906698</v>
      </c>
      <c r="K55" s="91"/>
      <c r="L55" s="83">
        <f>167.94*1768/1000</f>
        <v>296.91792</v>
      </c>
      <c r="M55" s="137">
        <f t="shared" si="4"/>
        <v>267.226128</v>
      </c>
      <c r="N55" s="134">
        <f t="shared" si="5"/>
        <v>231.5959776</v>
      </c>
      <c r="O55" s="134">
        <f t="shared" si="6"/>
        <v>195.04084374962338</v>
      </c>
      <c r="P55" s="134">
        <f t="shared" si="7"/>
        <v>169.00353450485744</v>
      </c>
      <c r="Q55" s="134">
        <f t="shared" si="8"/>
        <v>87.88183794252588</v>
      </c>
      <c r="R55" s="135">
        <f t="shared" si="9"/>
        <v>950.7483217970066</v>
      </c>
      <c r="S55" s="236"/>
    </row>
    <row r="56" spans="1:19" ht="15">
      <c r="A56" s="65"/>
      <c r="B56" s="43">
        <v>82</v>
      </c>
      <c r="C56" s="90" t="s">
        <v>14</v>
      </c>
      <c r="D56" s="90" t="s">
        <v>8</v>
      </c>
      <c r="E56" s="268"/>
      <c r="F56" s="269"/>
      <c r="G56" s="242"/>
      <c r="H56" s="242"/>
      <c r="I56" s="243"/>
      <c r="J56" s="243"/>
      <c r="K56" s="242"/>
      <c r="L56" s="83">
        <f>152.56*1726/1000</f>
        <v>263.31856</v>
      </c>
      <c r="M56" s="234">
        <f t="shared" si="4"/>
        <v>0</v>
      </c>
      <c r="N56" s="235">
        <f t="shared" si="5"/>
        <v>0</v>
      </c>
      <c r="O56" s="235">
        <f t="shared" si="6"/>
        <v>0</v>
      </c>
      <c r="P56" s="235">
        <f t="shared" si="7"/>
        <v>0</v>
      </c>
      <c r="Q56" s="235">
        <f t="shared" si="8"/>
        <v>0</v>
      </c>
      <c r="R56" s="135">
        <f t="shared" si="9"/>
        <v>0</v>
      </c>
      <c r="S56" s="147"/>
    </row>
    <row r="57" spans="1:19" ht="15">
      <c r="A57" s="65"/>
      <c r="B57" s="43">
        <v>82</v>
      </c>
      <c r="C57" s="90" t="s">
        <v>14</v>
      </c>
      <c r="D57" s="90" t="s">
        <v>9</v>
      </c>
      <c r="E57" s="268"/>
      <c r="F57" s="269"/>
      <c r="G57" s="242"/>
      <c r="H57" s="242"/>
      <c r="I57" s="243"/>
      <c r="J57" s="243"/>
      <c r="K57" s="242">
        <f>SUM(E54:I61)</f>
        <v>15.515183552536014</v>
      </c>
      <c r="L57" s="83">
        <f>152.56*1726/1000</f>
        <v>263.31856</v>
      </c>
      <c r="M57" s="234">
        <f t="shared" si="4"/>
        <v>0</v>
      </c>
      <c r="N57" s="235">
        <f t="shared" si="5"/>
        <v>0</v>
      </c>
      <c r="O57" s="235">
        <f t="shared" si="6"/>
        <v>0</v>
      </c>
      <c r="P57" s="235">
        <f t="shared" si="7"/>
        <v>0</v>
      </c>
      <c r="Q57" s="235">
        <f t="shared" si="8"/>
        <v>0</v>
      </c>
      <c r="R57" s="135">
        <f t="shared" si="9"/>
        <v>0</v>
      </c>
      <c r="S57" s="147"/>
    </row>
    <row r="58" spans="1:19" ht="15">
      <c r="A58" s="65"/>
      <c r="B58" s="43">
        <v>82</v>
      </c>
      <c r="C58" s="90" t="s">
        <v>15</v>
      </c>
      <c r="D58" s="90" t="s">
        <v>11</v>
      </c>
      <c r="E58" s="268">
        <v>0.28063731170336037</v>
      </c>
      <c r="F58" s="269">
        <v>0.35</v>
      </c>
      <c r="G58" s="242">
        <f>604/1726</f>
        <v>0.3499420625724218</v>
      </c>
      <c r="H58" s="242">
        <f>604/1726</f>
        <v>0.3499420625724218</v>
      </c>
      <c r="I58" s="242">
        <f>(150+150)/1726</f>
        <v>0.17381228273464658</v>
      </c>
      <c r="J58" s="242">
        <f>449/1726</f>
        <v>0.26013904982618774</v>
      </c>
      <c r="K58" s="242"/>
      <c r="L58" s="83">
        <f>152.56*1726/1000</f>
        <v>263.31856</v>
      </c>
      <c r="M58" s="234">
        <f t="shared" si="4"/>
        <v>73.8970128</v>
      </c>
      <c r="N58" s="235">
        <f t="shared" si="5"/>
        <v>95.84795583999998</v>
      </c>
      <c r="O58" s="235">
        <f t="shared" si="6"/>
        <v>99.66537318399999</v>
      </c>
      <c r="P58" s="235">
        <f t="shared" si="7"/>
        <v>103.65198811136</v>
      </c>
      <c r="Q58" s="235">
        <f t="shared" si="8"/>
        <v>53.54208657408001</v>
      </c>
      <c r="R58" s="135">
        <f t="shared" si="9"/>
        <v>426.60441650943994</v>
      </c>
      <c r="S58" s="147"/>
    </row>
    <row r="59" spans="1:19" ht="15">
      <c r="A59" s="65"/>
      <c r="B59" s="43">
        <v>82</v>
      </c>
      <c r="C59" s="90" t="s">
        <v>15</v>
      </c>
      <c r="D59" s="90" t="s">
        <v>12</v>
      </c>
      <c r="E59" s="268">
        <v>0</v>
      </c>
      <c r="F59" s="268">
        <v>0</v>
      </c>
      <c r="G59" s="241"/>
      <c r="H59" s="241"/>
      <c r="I59" s="244"/>
      <c r="J59" s="244"/>
      <c r="K59" s="242"/>
      <c r="L59" s="83">
        <f>152.56*1726/1000</f>
        <v>263.31856</v>
      </c>
      <c r="M59" s="234">
        <f t="shared" si="4"/>
        <v>0</v>
      </c>
      <c r="N59" s="235">
        <f t="shared" si="5"/>
        <v>0</v>
      </c>
      <c r="O59" s="235">
        <f t="shared" si="6"/>
        <v>0</v>
      </c>
      <c r="P59" s="235">
        <f t="shared" si="7"/>
        <v>0</v>
      </c>
      <c r="Q59" s="235">
        <f t="shared" si="8"/>
        <v>0</v>
      </c>
      <c r="R59" s="135">
        <f t="shared" si="9"/>
        <v>0</v>
      </c>
      <c r="S59" s="147"/>
    </row>
    <row r="60" spans="1:19" ht="15">
      <c r="A60" s="65"/>
      <c r="B60" s="43">
        <v>82</v>
      </c>
      <c r="C60" s="90" t="s">
        <v>16</v>
      </c>
      <c r="D60" s="90" t="s">
        <v>13</v>
      </c>
      <c r="E60" s="268">
        <v>0.025</v>
      </c>
      <c r="F60" s="269">
        <v>0.05</v>
      </c>
      <c r="G60" s="242">
        <f>259/1726</f>
        <v>0.15005793742757823</v>
      </c>
      <c r="H60" s="242">
        <f>432/1726</f>
        <v>0.25028968713789107</v>
      </c>
      <c r="I60" s="242">
        <f>(108+108)/1726</f>
        <v>0.12514484356894554</v>
      </c>
      <c r="J60" s="242">
        <f>224/1726</f>
        <v>0.12977983777520277</v>
      </c>
      <c r="K60" s="242"/>
      <c r="L60" s="83">
        <f>76.86/1.726</f>
        <v>44.53070683661645</v>
      </c>
      <c r="M60" s="234">
        <f t="shared" si="4"/>
        <v>1.1132676709154115</v>
      </c>
      <c r="N60" s="235">
        <f t="shared" si="5"/>
        <v>2.315596755504056</v>
      </c>
      <c r="O60" s="235">
        <f t="shared" si="6"/>
        <v>7.22745239933456</v>
      </c>
      <c r="P60" s="235">
        <f t="shared" si="7"/>
        <v>12.537257969007841</v>
      </c>
      <c r="Q60" s="235">
        <f t="shared" si="8"/>
        <v>6.519374143884078</v>
      </c>
      <c r="R60" s="135">
        <f t="shared" si="9"/>
        <v>29.712948938645948</v>
      </c>
      <c r="S60" s="147"/>
    </row>
    <row r="61" spans="1:19" ht="15">
      <c r="A61" s="65"/>
      <c r="B61" s="43">
        <v>82</v>
      </c>
      <c r="C61" s="90" t="s">
        <v>17</v>
      </c>
      <c r="D61" s="90" t="s">
        <v>18</v>
      </c>
      <c r="E61" s="268">
        <v>0.45</v>
      </c>
      <c r="F61" s="269">
        <v>0.5</v>
      </c>
      <c r="G61" s="242">
        <f>863/1726</f>
        <v>0.5</v>
      </c>
      <c r="H61" s="242">
        <f>863/1726</f>
        <v>0.5</v>
      </c>
      <c r="I61" s="242">
        <f>(215+215)/1726</f>
        <v>0.24913093858632676</v>
      </c>
      <c r="J61" s="242"/>
      <c r="K61" s="242"/>
      <c r="L61" s="83">
        <f>99.88*1.726</f>
        <v>172.39288</v>
      </c>
      <c r="M61" s="234">
        <f t="shared" si="4"/>
        <v>77.576796</v>
      </c>
      <c r="N61" s="235">
        <f t="shared" si="5"/>
        <v>89.6442976</v>
      </c>
      <c r="O61" s="235">
        <f t="shared" si="6"/>
        <v>93.230069504</v>
      </c>
      <c r="P61" s="235">
        <f t="shared" si="7"/>
        <v>96.95927228416001</v>
      </c>
      <c r="Q61" s="235">
        <f t="shared" si="8"/>
        <v>50.24355337830401</v>
      </c>
      <c r="R61" s="135">
        <f t="shared" si="9"/>
        <v>407.653988766464</v>
      </c>
      <c r="S61" s="147"/>
    </row>
    <row r="62" spans="1:19" ht="15">
      <c r="A62" s="65"/>
      <c r="B62" s="43">
        <v>82</v>
      </c>
      <c r="C62" s="92">
        <v>35</v>
      </c>
      <c r="D62" s="92" t="s">
        <v>19</v>
      </c>
      <c r="E62" s="270">
        <v>4</v>
      </c>
      <c r="F62" s="270">
        <v>8</v>
      </c>
      <c r="G62" s="100">
        <v>7</v>
      </c>
      <c r="H62" s="100">
        <v>5</v>
      </c>
      <c r="I62" s="160">
        <v>10</v>
      </c>
      <c r="J62" s="160">
        <v>3</v>
      </c>
      <c r="K62" s="100"/>
      <c r="L62" s="83">
        <v>1.685</v>
      </c>
      <c r="M62" s="234">
        <f t="shared" si="4"/>
        <v>6.74</v>
      </c>
      <c r="N62" s="235">
        <f t="shared" si="5"/>
        <v>14.019200000000001</v>
      </c>
      <c r="O62" s="235">
        <f t="shared" si="6"/>
        <v>12.757472</v>
      </c>
      <c r="P62" s="235">
        <f t="shared" si="7"/>
        <v>9.476979200000002</v>
      </c>
      <c r="Q62" s="235">
        <f t="shared" si="8"/>
        <v>19.712116736000006</v>
      </c>
      <c r="R62" s="135">
        <f t="shared" si="9"/>
        <v>62.70576793600001</v>
      </c>
      <c r="S62" s="147"/>
    </row>
    <row r="63" spans="1:19" ht="15">
      <c r="A63" s="66"/>
      <c r="B63" s="49">
        <v>82</v>
      </c>
      <c r="C63" s="94">
        <v>41</v>
      </c>
      <c r="D63" s="94" t="s">
        <v>6</v>
      </c>
      <c r="E63" s="271"/>
      <c r="F63" s="271">
        <v>30</v>
      </c>
      <c r="G63" s="101"/>
      <c r="H63" s="101"/>
      <c r="I63" s="102"/>
      <c r="J63" s="102"/>
      <c r="K63" s="101"/>
      <c r="L63" s="87">
        <v>1.32</v>
      </c>
      <c r="M63" s="238">
        <f t="shared" si="4"/>
        <v>0</v>
      </c>
      <c r="N63" s="239">
        <f t="shared" si="5"/>
        <v>41.184000000000005</v>
      </c>
      <c r="O63" s="239">
        <f t="shared" si="6"/>
        <v>0</v>
      </c>
      <c r="P63" s="239">
        <f t="shared" si="7"/>
        <v>0</v>
      </c>
      <c r="Q63" s="239">
        <f t="shared" si="8"/>
        <v>0</v>
      </c>
      <c r="R63" s="140">
        <f t="shared" si="9"/>
        <v>41.184000000000005</v>
      </c>
      <c r="S63" s="141">
        <f>SUM(M54:Q63)</f>
        <v>4226.700116122403</v>
      </c>
    </row>
    <row r="64" spans="1:19" ht="15">
      <c r="A64" s="64"/>
      <c r="B64" s="45">
        <v>84</v>
      </c>
      <c r="C64" s="88" t="s">
        <v>43</v>
      </c>
      <c r="D64" s="88" t="s">
        <v>48</v>
      </c>
      <c r="E64" s="262">
        <v>0.25</v>
      </c>
      <c r="F64" s="262"/>
      <c r="G64" s="89"/>
      <c r="H64" s="245"/>
      <c r="I64" s="246"/>
      <c r="J64" s="246"/>
      <c r="K64" s="247"/>
      <c r="L64" s="86">
        <f>140.72*1.788</f>
        <v>251.60736</v>
      </c>
      <c r="M64" s="231">
        <f t="shared" si="4"/>
        <v>62.90184</v>
      </c>
      <c r="N64" s="232">
        <f t="shared" si="5"/>
        <v>0</v>
      </c>
      <c r="O64" s="232">
        <f t="shared" si="6"/>
        <v>0</v>
      </c>
      <c r="P64" s="232">
        <f t="shared" si="7"/>
        <v>0</v>
      </c>
      <c r="Q64" s="232">
        <f t="shared" si="8"/>
        <v>0</v>
      </c>
      <c r="R64" s="130">
        <f t="shared" si="9"/>
        <v>62.90184</v>
      </c>
      <c r="S64" s="144"/>
    </row>
    <row r="65" spans="1:19" ht="15">
      <c r="A65" s="65"/>
      <c r="B65" s="6">
        <v>84</v>
      </c>
      <c r="C65" s="90" t="s">
        <v>43</v>
      </c>
      <c r="D65" s="90" t="s">
        <v>49</v>
      </c>
      <c r="E65" s="263">
        <v>0.15</v>
      </c>
      <c r="F65" s="263">
        <v>0.03</v>
      </c>
      <c r="G65" s="91"/>
      <c r="H65" s="91"/>
      <c r="I65" s="237"/>
      <c r="J65" s="237"/>
      <c r="K65" s="91">
        <f>SUM(E64:I67)</f>
        <v>1.77</v>
      </c>
      <c r="L65" s="83">
        <f>140.72*1.788</f>
        <v>251.60736</v>
      </c>
      <c r="M65" s="234">
        <f t="shared" si="4"/>
        <v>37.741104</v>
      </c>
      <c r="N65" s="235">
        <f t="shared" si="5"/>
        <v>7.850149632</v>
      </c>
      <c r="O65" s="235">
        <f t="shared" si="6"/>
        <v>0</v>
      </c>
      <c r="P65" s="235">
        <f t="shared" si="7"/>
        <v>0</v>
      </c>
      <c r="Q65" s="235">
        <f t="shared" si="8"/>
        <v>0</v>
      </c>
      <c r="R65" s="248">
        <f t="shared" si="9"/>
        <v>45.591253632</v>
      </c>
      <c r="S65" s="147"/>
    </row>
    <row r="66" spans="1:19" ht="15">
      <c r="A66" s="65"/>
      <c r="B66" s="6">
        <v>84</v>
      </c>
      <c r="C66" s="90" t="s">
        <v>43</v>
      </c>
      <c r="D66" s="90" t="s">
        <v>50</v>
      </c>
      <c r="E66" s="263">
        <v>0.36</v>
      </c>
      <c r="F66" s="263">
        <v>0.36</v>
      </c>
      <c r="G66" s="91"/>
      <c r="H66" s="91"/>
      <c r="I66" s="237"/>
      <c r="J66" s="237"/>
      <c r="K66" s="91"/>
      <c r="L66" s="83">
        <f>140.72*1.788</f>
        <v>251.60736</v>
      </c>
      <c r="M66" s="234">
        <f t="shared" si="4"/>
        <v>90.57864959999999</v>
      </c>
      <c r="N66" s="235">
        <f t="shared" si="5"/>
        <v>94.201795584</v>
      </c>
      <c r="O66" s="235">
        <f t="shared" si="6"/>
        <v>0</v>
      </c>
      <c r="P66" s="235">
        <f t="shared" si="7"/>
        <v>0</v>
      </c>
      <c r="Q66" s="235">
        <f t="shared" si="8"/>
        <v>0</v>
      </c>
      <c r="R66" s="135">
        <f t="shared" si="9"/>
        <v>184.78044518399997</v>
      </c>
      <c r="S66" s="147"/>
    </row>
    <row r="67" spans="1:19" ht="15">
      <c r="A67" s="65"/>
      <c r="B67" s="6">
        <v>84</v>
      </c>
      <c r="C67" s="90" t="s">
        <v>44</v>
      </c>
      <c r="D67" s="90" t="s">
        <v>51</v>
      </c>
      <c r="E67" s="263">
        <v>0.62</v>
      </c>
      <c r="F67" s="263">
        <v>0</v>
      </c>
      <c r="G67" s="249"/>
      <c r="H67" s="249"/>
      <c r="I67" s="250"/>
      <c r="J67" s="250"/>
      <c r="K67" s="251"/>
      <c r="L67" s="83">
        <f>152.56*1.726</f>
        <v>263.31856</v>
      </c>
      <c r="M67" s="234">
        <f t="shared" si="4"/>
        <v>163.2575072</v>
      </c>
      <c r="N67" s="235">
        <f t="shared" si="5"/>
        <v>0</v>
      </c>
      <c r="O67" s="235">
        <f t="shared" si="6"/>
        <v>0</v>
      </c>
      <c r="P67" s="235">
        <f t="shared" si="7"/>
        <v>0</v>
      </c>
      <c r="Q67" s="235">
        <f t="shared" si="8"/>
        <v>0</v>
      </c>
      <c r="R67" s="135">
        <f t="shared" si="9"/>
        <v>163.2575072</v>
      </c>
      <c r="S67" s="147"/>
    </row>
    <row r="68" spans="1:19" ht="15">
      <c r="A68" s="65"/>
      <c r="B68" s="6">
        <v>84</v>
      </c>
      <c r="C68" s="92">
        <v>35</v>
      </c>
      <c r="D68" s="92" t="s">
        <v>19</v>
      </c>
      <c r="E68" s="272">
        <v>5</v>
      </c>
      <c r="F68" s="272">
        <v>1</v>
      </c>
      <c r="G68" s="107"/>
      <c r="H68" s="161"/>
      <c r="I68" s="164"/>
      <c r="J68" s="164"/>
      <c r="K68" s="107"/>
      <c r="L68" s="83">
        <v>1.685</v>
      </c>
      <c r="M68" s="234">
        <f t="shared" si="4"/>
        <v>8.425</v>
      </c>
      <c r="N68" s="235">
        <f t="shared" si="5"/>
        <v>1.7524000000000002</v>
      </c>
      <c r="O68" s="235">
        <f t="shared" si="6"/>
        <v>0</v>
      </c>
      <c r="P68" s="235">
        <f t="shared" si="7"/>
        <v>0</v>
      </c>
      <c r="Q68" s="235">
        <f t="shared" si="8"/>
        <v>0</v>
      </c>
      <c r="R68" s="135">
        <f t="shared" si="9"/>
        <v>10.1774</v>
      </c>
      <c r="S68" s="147"/>
    </row>
    <row r="69" spans="1:19" ht="15">
      <c r="A69" s="65"/>
      <c r="B69" s="6">
        <v>84</v>
      </c>
      <c r="C69" s="92">
        <v>41</v>
      </c>
      <c r="D69" s="92" t="s">
        <v>6</v>
      </c>
      <c r="E69" s="272">
        <v>10</v>
      </c>
      <c r="F69" s="272">
        <v>3</v>
      </c>
      <c r="G69" s="107"/>
      <c r="H69" s="161"/>
      <c r="I69" s="164"/>
      <c r="J69" s="164"/>
      <c r="K69" s="107"/>
      <c r="L69" s="83">
        <v>1.32</v>
      </c>
      <c r="M69" s="234">
        <f t="shared" si="4"/>
        <v>13.200000000000001</v>
      </c>
      <c r="N69" s="235">
        <f t="shared" si="5"/>
        <v>4.1184</v>
      </c>
      <c r="O69" s="235">
        <f t="shared" si="6"/>
        <v>0</v>
      </c>
      <c r="P69" s="235">
        <f t="shared" si="7"/>
        <v>0</v>
      </c>
      <c r="Q69" s="235">
        <f t="shared" si="8"/>
        <v>0</v>
      </c>
      <c r="R69" s="135">
        <f t="shared" si="9"/>
        <v>17.3184</v>
      </c>
      <c r="S69" s="147"/>
    </row>
    <row r="70" spans="1:19" ht="15">
      <c r="A70" s="65"/>
      <c r="B70" s="6">
        <v>84</v>
      </c>
      <c r="C70" s="90" t="s">
        <v>39</v>
      </c>
      <c r="D70" s="90" t="s">
        <v>52</v>
      </c>
      <c r="E70" s="263">
        <v>0.33</v>
      </c>
      <c r="F70" s="263">
        <v>0.1</v>
      </c>
      <c r="G70" s="91">
        <v>0</v>
      </c>
      <c r="H70" s="91"/>
      <c r="I70" s="237"/>
      <c r="J70" s="237"/>
      <c r="K70" s="91"/>
      <c r="L70" s="83">
        <f>185*1788/1000</f>
        <v>330.78</v>
      </c>
      <c r="M70" s="137">
        <f t="shared" si="4"/>
        <v>109.1574</v>
      </c>
      <c r="N70" s="134">
        <f t="shared" si="5"/>
        <v>34.40112</v>
      </c>
      <c r="O70" s="134">
        <f t="shared" si="6"/>
        <v>0</v>
      </c>
      <c r="P70" s="134">
        <f t="shared" si="7"/>
        <v>0</v>
      </c>
      <c r="Q70" s="134">
        <f t="shared" si="8"/>
        <v>0</v>
      </c>
      <c r="R70" s="135">
        <f t="shared" si="9"/>
        <v>143.55852</v>
      </c>
      <c r="S70" s="147"/>
    </row>
    <row r="71" spans="1:19" ht="15">
      <c r="A71" s="65"/>
      <c r="B71" s="6">
        <v>84</v>
      </c>
      <c r="C71" s="90" t="s">
        <v>45</v>
      </c>
      <c r="D71" s="90" t="s">
        <v>6</v>
      </c>
      <c r="E71" s="273">
        <v>1.3</v>
      </c>
      <c r="F71" s="235"/>
      <c r="G71" s="249"/>
      <c r="H71" s="249"/>
      <c r="I71" s="250"/>
      <c r="J71" s="250"/>
      <c r="K71" s="251"/>
      <c r="L71" s="83">
        <v>1</v>
      </c>
      <c r="M71" s="234">
        <f t="shared" si="4"/>
        <v>1.3</v>
      </c>
      <c r="N71" s="235">
        <f t="shared" si="5"/>
        <v>0</v>
      </c>
      <c r="O71" s="235">
        <f t="shared" si="6"/>
        <v>0</v>
      </c>
      <c r="P71" s="235">
        <f t="shared" si="7"/>
        <v>0</v>
      </c>
      <c r="Q71" s="235">
        <f t="shared" si="8"/>
        <v>0</v>
      </c>
      <c r="R71" s="135">
        <f t="shared" si="9"/>
        <v>1.3</v>
      </c>
      <c r="S71" s="147"/>
    </row>
    <row r="72" spans="1:19" ht="15">
      <c r="A72" s="66"/>
      <c r="B72" s="46">
        <v>84</v>
      </c>
      <c r="C72" s="46" t="s">
        <v>46</v>
      </c>
      <c r="D72" s="252" t="s">
        <v>19</v>
      </c>
      <c r="E72" s="274">
        <v>1.6</v>
      </c>
      <c r="F72" s="239"/>
      <c r="G72" s="253"/>
      <c r="H72" s="253"/>
      <c r="I72" s="254"/>
      <c r="J72" s="254"/>
      <c r="K72" s="47"/>
      <c r="L72" s="87">
        <v>1</v>
      </c>
      <c r="M72" s="238">
        <f t="shared" si="4"/>
        <v>1.6</v>
      </c>
      <c r="N72" s="239">
        <f t="shared" si="5"/>
        <v>0</v>
      </c>
      <c r="O72" s="239">
        <f t="shared" si="6"/>
        <v>0</v>
      </c>
      <c r="P72" s="239">
        <f t="shared" si="7"/>
        <v>0</v>
      </c>
      <c r="Q72" s="239">
        <f t="shared" si="8"/>
        <v>0</v>
      </c>
      <c r="R72" s="140">
        <f t="shared" si="9"/>
        <v>1.6</v>
      </c>
      <c r="S72" s="151">
        <f>SUM(M64:Q72)</f>
        <v>630.4853660160001</v>
      </c>
    </row>
    <row r="73" spans="1:19" ht="15">
      <c r="A73" s="65"/>
      <c r="B73" s="6">
        <v>85</v>
      </c>
      <c r="C73" s="6" t="s">
        <v>15</v>
      </c>
      <c r="D73" s="1" t="s">
        <v>61</v>
      </c>
      <c r="E73" s="273"/>
      <c r="F73" s="235"/>
      <c r="G73" s="249"/>
      <c r="H73" s="249"/>
      <c r="I73" s="255">
        <f>600/1726</f>
        <v>0.34762456546929316</v>
      </c>
      <c r="J73" s="255">
        <f>600/1726</f>
        <v>0.34762456546929316</v>
      </c>
      <c r="K73" s="9"/>
      <c r="L73" s="83">
        <f>152.56*1726/1000</f>
        <v>263.31856</v>
      </c>
      <c r="M73" s="231"/>
      <c r="N73" s="232"/>
      <c r="O73" s="232"/>
      <c r="P73" s="232"/>
      <c r="Q73" s="235">
        <f t="shared" si="8"/>
        <v>107.08417314816002</v>
      </c>
      <c r="R73" s="130">
        <f t="shared" si="9"/>
        <v>107.08417314816002</v>
      </c>
      <c r="S73" s="154"/>
    </row>
    <row r="74" spans="1:19" ht="15">
      <c r="A74" s="65"/>
      <c r="B74" s="6">
        <v>85</v>
      </c>
      <c r="C74" s="6" t="s">
        <v>57</v>
      </c>
      <c r="D74" s="1" t="s">
        <v>61</v>
      </c>
      <c r="E74" s="273"/>
      <c r="F74" s="235"/>
      <c r="G74" s="249"/>
      <c r="H74" s="249"/>
      <c r="I74" s="169">
        <f>720/1726</f>
        <v>0.4171494785631518</v>
      </c>
      <c r="J74" s="169">
        <f>720/1726</f>
        <v>0.4171494785631518</v>
      </c>
      <c r="K74" s="9"/>
      <c r="L74" s="83">
        <f>99.09*1726/1000</f>
        <v>171.02934</v>
      </c>
      <c r="M74" s="234"/>
      <c r="N74" s="235"/>
      <c r="O74" s="235"/>
      <c r="P74" s="235"/>
      <c r="Q74" s="235">
        <f t="shared" si="8"/>
        <v>83.46332499148801</v>
      </c>
      <c r="R74" s="135">
        <f t="shared" si="9"/>
        <v>83.46332499148801</v>
      </c>
      <c r="S74" s="155"/>
    </row>
    <row r="75" spans="1:19" ht="15">
      <c r="A75" s="65"/>
      <c r="B75" s="6">
        <v>85</v>
      </c>
      <c r="C75" s="6" t="s">
        <v>58</v>
      </c>
      <c r="D75" s="1" t="s">
        <v>61</v>
      </c>
      <c r="E75" s="273"/>
      <c r="F75" s="235"/>
      <c r="G75" s="249"/>
      <c r="H75" s="249"/>
      <c r="I75" s="256">
        <f>240/1726</f>
        <v>0.13904982618771727</v>
      </c>
      <c r="J75" s="256">
        <f>240/1726</f>
        <v>0.13904982618771727</v>
      </c>
      <c r="K75" s="9"/>
      <c r="L75" s="83">
        <f>142.32*1726/1000</f>
        <v>245.64431999999996</v>
      </c>
      <c r="M75" s="234"/>
      <c r="N75" s="235"/>
      <c r="O75" s="235"/>
      <c r="P75" s="235"/>
      <c r="Q75" s="235">
        <f t="shared" si="8"/>
        <v>39.958624862208</v>
      </c>
      <c r="R75" s="135">
        <f t="shared" si="9"/>
        <v>39.958624862208</v>
      </c>
      <c r="S75" s="155"/>
    </row>
    <row r="76" spans="1:19" ht="15">
      <c r="A76" s="65"/>
      <c r="B76" s="6">
        <v>85</v>
      </c>
      <c r="C76" s="6" t="s">
        <v>59</v>
      </c>
      <c r="D76" s="1" t="s">
        <v>61</v>
      </c>
      <c r="E76" s="273"/>
      <c r="F76" s="235"/>
      <c r="G76" s="249"/>
      <c r="H76" s="249"/>
      <c r="I76" s="256">
        <f>240/1726</f>
        <v>0.13904982618771727</v>
      </c>
      <c r="J76" s="256">
        <f>240/1726</f>
        <v>0.13904982618771727</v>
      </c>
      <c r="K76" s="9"/>
      <c r="L76" s="83">
        <f>143.06*1726/1000</f>
        <v>246.92156</v>
      </c>
      <c r="M76" s="234"/>
      <c r="N76" s="235"/>
      <c r="O76" s="235"/>
      <c r="P76" s="235"/>
      <c r="Q76" s="235">
        <f t="shared" si="8"/>
        <v>40.16639174246401</v>
      </c>
      <c r="R76" s="135">
        <f t="shared" si="9"/>
        <v>40.16639174246401</v>
      </c>
      <c r="S76" s="155"/>
    </row>
    <row r="77" spans="1:19" ht="15">
      <c r="A77" s="65"/>
      <c r="B77" s="6">
        <v>85</v>
      </c>
      <c r="C77" s="6" t="s">
        <v>60</v>
      </c>
      <c r="D77" s="1" t="s">
        <v>61</v>
      </c>
      <c r="E77" s="273"/>
      <c r="F77" s="235"/>
      <c r="G77" s="249"/>
      <c r="H77" s="249"/>
      <c r="I77" s="256">
        <f>480/1726</f>
        <v>0.27809965237543455</v>
      </c>
      <c r="J77" s="256">
        <f>480/1726</f>
        <v>0.27809965237543455</v>
      </c>
      <c r="K77" s="9"/>
      <c r="L77" s="83">
        <f>107.71*1726/1000</f>
        <v>185.90746</v>
      </c>
      <c r="M77" s="234"/>
      <c r="N77" s="235"/>
      <c r="O77" s="235"/>
      <c r="P77" s="235"/>
      <c r="Q77" s="235">
        <f t="shared" si="8"/>
        <v>60.48262343884801</v>
      </c>
      <c r="R77" s="135">
        <f t="shared" si="9"/>
        <v>60.48262343884801</v>
      </c>
      <c r="S77" s="155"/>
    </row>
    <row r="78" spans="1:19" ht="15">
      <c r="A78" s="65"/>
      <c r="B78" s="6">
        <v>85</v>
      </c>
      <c r="C78" s="6" t="s">
        <v>15</v>
      </c>
      <c r="D78" s="1" t="s">
        <v>62</v>
      </c>
      <c r="E78" s="273"/>
      <c r="F78" s="235"/>
      <c r="G78" s="249"/>
      <c r="H78" s="249"/>
      <c r="I78" s="256">
        <f>1580/1726</f>
        <v>0.9154113557358053</v>
      </c>
      <c r="J78" s="256">
        <f>1580/1726</f>
        <v>0.9154113557358053</v>
      </c>
      <c r="K78" s="9"/>
      <c r="L78" s="83">
        <f>152.56*1726/1000</f>
        <v>263.31856</v>
      </c>
      <c r="M78" s="234"/>
      <c r="N78" s="235"/>
      <c r="O78" s="235"/>
      <c r="P78" s="235"/>
      <c r="Q78" s="235">
        <f t="shared" si="8"/>
        <v>281.98832262348805</v>
      </c>
      <c r="R78" s="135">
        <f t="shared" si="9"/>
        <v>281.98832262348805</v>
      </c>
      <c r="S78" s="155"/>
    </row>
    <row r="79" spans="1:19" ht="15.75" thickBot="1">
      <c r="A79" s="67"/>
      <c r="B79" s="56">
        <v>85</v>
      </c>
      <c r="C79" s="56" t="s">
        <v>57</v>
      </c>
      <c r="D79" s="56" t="s">
        <v>62</v>
      </c>
      <c r="E79" s="275"/>
      <c r="F79" s="276"/>
      <c r="G79" s="57"/>
      <c r="H79" s="57"/>
      <c r="I79" s="171">
        <f>1580/1726</f>
        <v>0.9154113557358053</v>
      </c>
      <c r="J79" s="171">
        <f>1580/1726</f>
        <v>0.9154113557358053</v>
      </c>
      <c r="K79" s="257">
        <f>SUM(E73:I79)</f>
        <v>3.151796060254925</v>
      </c>
      <c r="L79" s="83">
        <f>99.09*1726/1000</f>
        <v>171.02934</v>
      </c>
      <c r="M79" s="258"/>
      <c r="N79" s="259"/>
      <c r="O79" s="259"/>
      <c r="P79" s="259"/>
      <c r="Q79" s="259">
        <f t="shared" si="8"/>
        <v>183.155629842432</v>
      </c>
      <c r="R79" s="166">
        <f t="shared" si="9"/>
        <v>183.155629842432</v>
      </c>
      <c r="S79" s="151">
        <f>SUM(M71:Q79)</f>
        <v>799.199090649088</v>
      </c>
    </row>
    <row r="80" spans="1:21" ht="15">
      <c r="A80" s="173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5"/>
      <c r="M80" s="176">
        <v>2137</v>
      </c>
      <c r="N80" s="176">
        <v>1946</v>
      </c>
      <c r="O80" s="176">
        <v>1632</v>
      </c>
      <c r="P80" s="176">
        <v>1421</v>
      </c>
      <c r="Q80" s="176">
        <v>1518</v>
      </c>
      <c r="R80" s="176">
        <v>8655</v>
      </c>
      <c r="S80" s="174"/>
      <c r="T80" s="177"/>
      <c r="U80" s="177"/>
    </row>
    <row r="81" spans="1:21" ht="15">
      <c r="A81" s="173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5"/>
      <c r="M81" s="178"/>
      <c r="N81" s="178"/>
      <c r="O81" s="178"/>
      <c r="P81" s="178"/>
      <c r="Q81" s="178"/>
      <c r="R81" s="179"/>
      <c r="S81" s="180">
        <v>8655</v>
      </c>
      <c r="T81" s="177"/>
      <c r="U81" s="177"/>
    </row>
    <row r="82" spans="1:21" ht="15">
      <c r="A82" s="173"/>
      <c r="B82" s="200"/>
      <c r="C82" s="220" t="s">
        <v>63</v>
      </c>
      <c r="D82" s="221"/>
      <c r="E82" s="181" t="s">
        <v>42</v>
      </c>
      <c r="F82" s="182" t="s">
        <v>0</v>
      </c>
      <c r="G82" s="182" t="s">
        <v>1</v>
      </c>
      <c r="H82" s="182" t="s">
        <v>2</v>
      </c>
      <c r="I82" s="183" t="s">
        <v>3</v>
      </c>
      <c r="J82" s="183" t="s">
        <v>84</v>
      </c>
      <c r="K82" s="174"/>
      <c r="L82" s="175"/>
      <c r="M82" s="178"/>
      <c r="N82" s="178"/>
      <c r="O82" s="178"/>
      <c r="P82" s="178"/>
      <c r="Q82" s="178"/>
      <c r="R82" s="179"/>
      <c r="S82" s="174"/>
      <c r="T82" s="177"/>
      <c r="U82" s="177"/>
    </row>
    <row r="83" spans="1:21" ht="15">
      <c r="A83" s="173"/>
      <c r="B83" s="184" t="s">
        <v>72</v>
      </c>
      <c r="C83" s="196"/>
      <c r="D83" s="197"/>
      <c r="E83" s="181"/>
      <c r="F83" s="182"/>
      <c r="G83" s="182"/>
      <c r="H83" s="182"/>
      <c r="I83" s="183"/>
      <c r="J83" s="183"/>
      <c r="K83" s="174"/>
      <c r="L83" s="175"/>
      <c r="M83" s="178"/>
      <c r="N83" s="178"/>
      <c r="O83" s="178"/>
      <c r="P83" s="178"/>
      <c r="Q83" s="178"/>
      <c r="R83" s="179"/>
      <c r="S83" s="174"/>
      <c r="T83" s="177"/>
      <c r="U83" s="177"/>
    </row>
    <row r="84" spans="1:21" ht="15">
      <c r="A84" s="173"/>
      <c r="B84" s="186"/>
      <c r="C84" s="313" t="s">
        <v>64</v>
      </c>
      <c r="D84" s="314"/>
      <c r="E84" s="207">
        <v>1.41</v>
      </c>
      <c r="F84" s="208">
        <v>1.36</v>
      </c>
      <c r="G84" s="208">
        <f>SUM(G43:G44,G49)</f>
        <v>1.032239819004525</v>
      </c>
      <c r="H84" s="208">
        <f>SUM(H43:H44,H49)</f>
        <v>0.9615384615384616</v>
      </c>
      <c r="I84" s="208">
        <f>SUM(I43:I44,I49)</f>
        <v>0.8970588235294118</v>
      </c>
      <c r="J84" s="208">
        <f>SUM(J43:J44,J49)</f>
        <v>0.8461538461538463</v>
      </c>
      <c r="K84" s="174"/>
      <c r="L84" s="175"/>
      <c r="M84" s="178"/>
      <c r="N84" s="178"/>
      <c r="O84" s="178"/>
      <c r="P84" s="178"/>
      <c r="Q84" s="178"/>
      <c r="R84" s="185">
        <v>2071</v>
      </c>
      <c r="S84" s="174"/>
      <c r="T84" s="177"/>
      <c r="U84" s="177"/>
    </row>
    <row r="85" spans="1:21" ht="15">
      <c r="A85" s="173"/>
      <c r="B85" s="186"/>
      <c r="C85" s="315" t="s">
        <v>65</v>
      </c>
      <c r="D85" s="314"/>
      <c r="E85" s="207">
        <v>0.72</v>
      </c>
      <c r="F85" s="210">
        <v>0.6</v>
      </c>
      <c r="G85" s="210">
        <f aca="true" t="shared" si="10" ref="G85:J86">G45+G50</f>
        <v>0.5868926563183946</v>
      </c>
      <c r="H85" s="210">
        <f t="shared" si="10"/>
        <v>0.5563496698930552</v>
      </c>
      <c r="I85" s="210">
        <f t="shared" si="10"/>
        <v>0.5236054309002892</v>
      </c>
      <c r="J85" s="210">
        <f t="shared" si="10"/>
        <v>0.3212669683257919</v>
      </c>
      <c r="K85" s="174"/>
      <c r="L85" s="175"/>
      <c r="M85" s="178"/>
      <c r="N85" s="178"/>
      <c r="O85" s="178"/>
      <c r="P85" s="178"/>
      <c r="Q85" s="178"/>
      <c r="R85" s="179">
        <v>705</v>
      </c>
      <c r="S85" s="174"/>
      <c r="T85" s="177"/>
      <c r="U85" s="177"/>
    </row>
    <row r="86" spans="1:21" ht="15">
      <c r="A86" s="173"/>
      <c r="B86" s="186"/>
      <c r="C86" s="174" t="s">
        <v>66</v>
      </c>
      <c r="D86" s="174"/>
      <c r="E86" s="207">
        <v>0.54</v>
      </c>
      <c r="F86" s="210">
        <v>0.45</v>
      </c>
      <c r="G86" s="210">
        <f t="shared" si="10"/>
        <v>0.40067873303167423</v>
      </c>
      <c r="H86" s="210">
        <f t="shared" si="10"/>
        <v>0.15</v>
      </c>
      <c r="I86" s="210">
        <f t="shared" si="10"/>
        <v>0.038461538461538464</v>
      </c>
      <c r="J86" s="210">
        <f t="shared" si="10"/>
        <v>0</v>
      </c>
      <c r="K86" s="174"/>
      <c r="L86" s="175"/>
      <c r="M86" s="178"/>
      <c r="N86" s="178"/>
      <c r="O86" s="178"/>
      <c r="P86" s="178"/>
      <c r="Q86" s="178"/>
      <c r="R86" s="179">
        <v>185</v>
      </c>
      <c r="S86" s="174"/>
      <c r="T86" s="177"/>
      <c r="U86" s="177"/>
    </row>
    <row r="87" spans="1:21" ht="15">
      <c r="A87" s="173"/>
      <c r="B87" s="184" t="s">
        <v>73</v>
      </c>
      <c r="C87" s="196"/>
      <c r="D87" s="197"/>
      <c r="E87" s="211"/>
      <c r="F87" s="212"/>
      <c r="G87" s="212"/>
      <c r="H87" s="212"/>
      <c r="I87" s="213"/>
      <c r="J87" s="213"/>
      <c r="K87" s="174"/>
      <c r="L87" s="175"/>
      <c r="M87" s="178"/>
      <c r="N87" s="178"/>
      <c r="O87" s="178"/>
      <c r="P87" s="178"/>
      <c r="Q87" s="178"/>
      <c r="R87" s="179"/>
      <c r="S87" s="174"/>
      <c r="T87" s="177"/>
      <c r="U87" s="177"/>
    </row>
    <row r="88" spans="1:21" ht="15">
      <c r="A88" s="173"/>
      <c r="B88" s="186"/>
      <c r="C88" s="315" t="s">
        <v>67</v>
      </c>
      <c r="D88" s="314"/>
      <c r="E88" s="207">
        <v>2.01</v>
      </c>
      <c r="F88" s="210">
        <v>1.95</v>
      </c>
      <c r="G88" s="210">
        <v>1.75</v>
      </c>
      <c r="H88" s="210">
        <v>1.65</v>
      </c>
      <c r="I88" s="209">
        <v>1.06</v>
      </c>
      <c r="J88" s="209">
        <v>1.06</v>
      </c>
      <c r="K88" s="174"/>
      <c r="L88" s="175"/>
      <c r="M88" s="178"/>
      <c r="N88" s="178"/>
      <c r="O88" s="178"/>
      <c r="P88" s="178"/>
      <c r="Q88" s="178"/>
      <c r="R88" s="185">
        <v>2482</v>
      </c>
      <c r="S88" s="174"/>
      <c r="T88" s="177"/>
      <c r="U88" s="177"/>
    </row>
    <row r="89" spans="1:21" ht="15">
      <c r="A89" s="173"/>
      <c r="B89" s="186"/>
      <c r="C89" s="315" t="s">
        <v>68</v>
      </c>
      <c r="D89" s="314"/>
      <c r="E89" s="207">
        <v>0.96</v>
      </c>
      <c r="F89" s="210">
        <v>1.1</v>
      </c>
      <c r="G89" s="210">
        <v>1</v>
      </c>
      <c r="H89" s="210">
        <v>0.9</v>
      </c>
      <c r="I89" s="209"/>
      <c r="J89" s="209"/>
      <c r="K89" s="174"/>
      <c r="L89" s="175"/>
      <c r="M89" s="178"/>
      <c r="N89" s="178"/>
      <c r="O89" s="178"/>
      <c r="P89" s="178"/>
      <c r="Q89" s="178"/>
      <c r="R89" s="179">
        <v>917</v>
      </c>
      <c r="S89" s="174"/>
      <c r="T89" s="177"/>
      <c r="U89" s="177"/>
    </row>
    <row r="90" spans="1:21" ht="15">
      <c r="A90" s="173"/>
      <c r="B90" s="186"/>
      <c r="C90" s="315" t="s">
        <v>69</v>
      </c>
      <c r="D90" s="314"/>
      <c r="E90" s="207">
        <v>0.46</v>
      </c>
      <c r="F90" s="210">
        <v>0.75</v>
      </c>
      <c r="G90" s="210">
        <v>0.5</v>
      </c>
      <c r="H90" s="210">
        <v>0.4</v>
      </c>
      <c r="I90" s="209"/>
      <c r="J90" s="209"/>
      <c r="K90" s="174"/>
      <c r="L90" s="175"/>
      <c r="M90" s="178"/>
      <c r="N90" s="178"/>
      <c r="O90" s="178"/>
      <c r="P90" s="178"/>
      <c r="Q90" s="178"/>
      <c r="R90" s="179">
        <v>587</v>
      </c>
      <c r="S90" s="174"/>
      <c r="T90" s="177"/>
      <c r="U90" s="177"/>
    </row>
    <row r="91" spans="1:21" ht="15">
      <c r="A91" s="173"/>
      <c r="B91" s="184" t="s">
        <v>74</v>
      </c>
      <c r="C91" s="196"/>
      <c r="D91" s="197"/>
      <c r="E91" s="217" t="s">
        <v>75</v>
      </c>
      <c r="F91" s="218"/>
      <c r="G91" s="218"/>
      <c r="H91" s="218"/>
      <c r="I91" s="219"/>
      <c r="J91" s="219"/>
      <c r="K91" s="174"/>
      <c r="L91" s="175"/>
      <c r="M91" s="178"/>
      <c r="N91" s="178"/>
      <c r="O91" s="178"/>
      <c r="P91" s="178"/>
      <c r="Q91" s="178"/>
      <c r="R91" s="179"/>
      <c r="S91" s="174"/>
      <c r="T91" s="177"/>
      <c r="U91" s="177"/>
    </row>
    <row r="92" spans="1:21" ht="15">
      <c r="A92" s="173"/>
      <c r="B92" s="184" t="s">
        <v>76</v>
      </c>
      <c r="C92" s="201"/>
      <c r="D92" s="201"/>
      <c r="E92" s="214">
        <v>1.71</v>
      </c>
      <c r="F92" s="215">
        <v>0.49</v>
      </c>
      <c r="G92" s="215">
        <v>0.33</v>
      </c>
      <c r="H92" s="215"/>
      <c r="I92" s="216"/>
      <c r="J92" s="216"/>
      <c r="K92" s="174"/>
      <c r="L92" s="175"/>
      <c r="M92" s="178"/>
      <c r="N92" s="178"/>
      <c r="O92" s="178"/>
      <c r="P92" s="178"/>
      <c r="Q92" s="178"/>
      <c r="R92" s="179">
        <v>690</v>
      </c>
      <c r="S92" s="174"/>
      <c r="T92" s="177"/>
      <c r="U92" s="177"/>
    </row>
    <row r="93" spans="1:21" ht="15">
      <c r="A93" s="173"/>
      <c r="B93" s="189" t="s">
        <v>77</v>
      </c>
      <c r="C93" s="198"/>
      <c r="D93" s="202"/>
      <c r="E93" s="203"/>
      <c r="F93" s="204"/>
      <c r="G93" s="204"/>
      <c r="H93" s="204"/>
      <c r="I93" s="205">
        <v>3.15</v>
      </c>
      <c r="J93" s="205">
        <v>3.15</v>
      </c>
      <c r="K93" s="174"/>
      <c r="L93" s="175"/>
      <c r="M93" s="178"/>
      <c r="N93" s="178"/>
      <c r="O93" s="178"/>
      <c r="P93" s="178"/>
      <c r="Q93" s="178"/>
      <c r="R93" s="179">
        <v>796</v>
      </c>
      <c r="S93" s="174"/>
      <c r="T93" s="177"/>
      <c r="U93" s="177"/>
    </row>
    <row r="94" spans="1:21" ht="15">
      <c r="A94" s="173"/>
      <c r="B94" s="189" t="s">
        <v>78</v>
      </c>
      <c r="C94" s="198"/>
      <c r="D94" s="198"/>
      <c r="E94" s="190">
        <v>40</v>
      </c>
      <c r="F94" s="190">
        <v>63</v>
      </c>
      <c r="G94" s="190">
        <v>30</v>
      </c>
      <c r="H94" s="190">
        <v>13</v>
      </c>
      <c r="I94" s="191">
        <v>3</v>
      </c>
      <c r="J94" s="191">
        <v>3</v>
      </c>
      <c r="K94" s="174"/>
      <c r="L94" s="175"/>
      <c r="M94" s="178"/>
      <c r="N94" s="178"/>
      <c r="O94" s="178"/>
      <c r="P94" s="178"/>
      <c r="Q94" s="178"/>
      <c r="R94" s="179">
        <v>222</v>
      </c>
      <c r="S94" s="174"/>
      <c r="T94" s="177"/>
      <c r="U94" s="177"/>
    </row>
    <row r="95" spans="1:21" ht="15">
      <c r="A95" s="173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5"/>
      <c r="M95" s="178"/>
      <c r="N95" s="178"/>
      <c r="O95" s="178"/>
      <c r="P95" s="178"/>
      <c r="Q95" s="178"/>
      <c r="R95" s="185">
        <v>8655</v>
      </c>
      <c r="S95" s="174"/>
      <c r="T95" s="177"/>
      <c r="U95" s="177"/>
    </row>
    <row r="96" spans="1:21" ht="15">
      <c r="A96" s="173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5"/>
      <c r="M96" s="178"/>
      <c r="N96" s="178"/>
      <c r="O96" s="178"/>
      <c r="P96" s="178"/>
      <c r="Q96" s="178"/>
      <c r="R96" s="179"/>
      <c r="S96" s="174"/>
      <c r="T96" s="177"/>
      <c r="U96" s="177"/>
    </row>
    <row r="97" spans="1:21" ht="15">
      <c r="A97" s="173"/>
      <c r="B97" s="184">
        <v>81</v>
      </c>
      <c r="C97" s="316" t="s">
        <v>81</v>
      </c>
      <c r="D97" s="316"/>
      <c r="E97" s="192">
        <v>2849</v>
      </c>
      <c r="F97" s="193">
        <v>0.17</v>
      </c>
      <c r="G97" s="174"/>
      <c r="H97" s="174"/>
      <c r="I97" s="174"/>
      <c r="J97" s="174"/>
      <c r="K97" s="174"/>
      <c r="L97" s="175"/>
      <c r="M97" s="178"/>
      <c r="N97" s="178"/>
      <c r="O97" s="178"/>
      <c r="P97" s="178"/>
      <c r="Q97" s="178"/>
      <c r="R97" s="179"/>
      <c r="S97" s="174"/>
      <c r="T97" s="177"/>
      <c r="U97" s="177"/>
    </row>
    <row r="98" spans="1:21" ht="15">
      <c r="A98" s="173"/>
      <c r="B98" s="186">
        <v>82</v>
      </c>
      <c r="C98" s="315" t="s">
        <v>82</v>
      </c>
      <c r="D98" s="315"/>
      <c r="E98" s="194">
        <v>3986</v>
      </c>
      <c r="F98" s="193">
        <v>0.17</v>
      </c>
      <c r="G98" s="174"/>
      <c r="H98" s="174"/>
      <c r="I98" s="174"/>
      <c r="J98" s="174"/>
      <c r="K98" s="174"/>
      <c r="L98" s="175"/>
      <c r="M98" s="178"/>
      <c r="N98" s="178"/>
      <c r="O98" s="178"/>
      <c r="P98" s="178"/>
      <c r="Q98" s="178"/>
      <c r="R98" s="179"/>
      <c r="S98" s="174"/>
      <c r="T98" s="177"/>
      <c r="U98" s="177"/>
    </row>
    <row r="99" spans="1:21" ht="15">
      <c r="A99" s="173"/>
      <c r="B99" s="186">
        <v>83</v>
      </c>
      <c r="C99" s="174" t="s">
        <v>83</v>
      </c>
      <c r="D99" s="174"/>
      <c r="E99" s="206" t="s">
        <v>79</v>
      </c>
      <c r="F99" s="174"/>
      <c r="G99" s="174"/>
      <c r="H99" s="174"/>
      <c r="I99" s="174"/>
      <c r="J99" s="174"/>
      <c r="K99" s="174"/>
      <c r="L99" s="175"/>
      <c r="M99" s="178"/>
      <c r="N99" s="178"/>
      <c r="O99" s="178"/>
      <c r="P99" s="178"/>
      <c r="Q99" s="178"/>
      <c r="R99" s="179"/>
      <c r="S99" s="174"/>
      <c r="T99" s="177"/>
      <c r="U99" s="177"/>
    </row>
    <row r="100" spans="1:21" ht="15">
      <c r="A100" s="173"/>
      <c r="B100" s="186">
        <v>84</v>
      </c>
      <c r="C100" s="315" t="s">
        <v>70</v>
      </c>
      <c r="D100" s="315"/>
      <c r="E100" s="194">
        <v>472</v>
      </c>
      <c r="F100" s="193">
        <v>0.01</v>
      </c>
      <c r="G100" s="174"/>
      <c r="H100" s="174"/>
      <c r="I100" s="174"/>
      <c r="J100" s="174"/>
      <c r="K100" s="174"/>
      <c r="L100" s="175"/>
      <c r="M100" s="178"/>
      <c r="N100" s="178"/>
      <c r="O100" s="178"/>
      <c r="P100" s="178"/>
      <c r="Q100" s="178"/>
      <c r="R100" s="179"/>
      <c r="S100" s="174"/>
      <c r="T100" s="177"/>
      <c r="U100" s="177"/>
    </row>
    <row r="101" spans="1:21" ht="15">
      <c r="A101" s="173"/>
      <c r="B101" s="186">
        <v>85</v>
      </c>
      <c r="C101" s="315" t="s">
        <v>71</v>
      </c>
      <c r="D101" s="315"/>
      <c r="E101" s="194">
        <v>770</v>
      </c>
      <c r="F101" s="193">
        <v>0.2</v>
      </c>
      <c r="G101" s="174"/>
      <c r="H101" s="174"/>
      <c r="I101" s="174"/>
      <c r="J101" s="174"/>
      <c r="K101" s="174"/>
      <c r="L101" s="175"/>
      <c r="M101" s="178"/>
      <c r="N101" s="178"/>
      <c r="O101" s="178"/>
      <c r="P101" s="178"/>
      <c r="Q101" s="178"/>
      <c r="R101" s="179"/>
      <c r="S101" s="174"/>
      <c r="T101" s="177"/>
      <c r="U101" s="177"/>
    </row>
    <row r="102" spans="1:21" ht="15">
      <c r="A102" s="173"/>
      <c r="B102" s="184">
        <v>8</v>
      </c>
      <c r="C102" s="196" t="s">
        <v>54</v>
      </c>
      <c r="D102" s="196"/>
      <c r="E102" s="192">
        <v>8077</v>
      </c>
      <c r="F102" s="193">
        <v>0.17</v>
      </c>
      <c r="G102" s="174"/>
      <c r="H102" s="174"/>
      <c r="I102" s="174"/>
      <c r="J102" s="174"/>
      <c r="K102" s="174"/>
      <c r="L102" s="175"/>
      <c r="M102" s="178"/>
      <c r="N102" s="178"/>
      <c r="O102" s="178"/>
      <c r="P102" s="178"/>
      <c r="Q102" s="178"/>
      <c r="R102" s="179"/>
      <c r="S102" s="174"/>
      <c r="T102" s="177"/>
      <c r="U102" s="177"/>
    </row>
    <row r="103" spans="1:21" ht="15">
      <c r="A103" s="173"/>
      <c r="B103" s="187"/>
      <c r="C103" s="188" t="s">
        <v>80</v>
      </c>
      <c r="D103" s="188"/>
      <c r="E103" s="195">
        <v>0.18</v>
      </c>
      <c r="F103" s="174"/>
      <c r="G103" s="174"/>
      <c r="H103" s="174"/>
      <c r="I103" s="174"/>
      <c r="J103" s="174"/>
      <c r="K103" s="174"/>
      <c r="L103" s="175"/>
      <c r="M103" s="178"/>
      <c r="N103" s="178"/>
      <c r="O103" s="178"/>
      <c r="P103" s="178"/>
      <c r="Q103" s="178"/>
      <c r="R103" s="179"/>
      <c r="S103" s="174"/>
      <c r="T103" s="177"/>
      <c r="U103" s="177"/>
    </row>
    <row r="104" spans="1:21" ht="15">
      <c r="A104" s="173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5"/>
      <c r="M104" s="178"/>
      <c r="N104" s="178"/>
      <c r="O104" s="178"/>
      <c r="P104" s="178"/>
      <c r="Q104" s="178"/>
      <c r="R104" s="179"/>
      <c r="S104" s="174"/>
      <c r="T104" s="177"/>
      <c r="U104" s="177"/>
    </row>
    <row r="105" spans="1:21" ht="15">
      <c r="A105" s="173"/>
      <c r="F105" s="174"/>
      <c r="G105" s="174"/>
      <c r="H105" s="174"/>
      <c r="I105" s="174"/>
      <c r="J105" s="174"/>
      <c r="K105" s="174"/>
      <c r="L105" s="175"/>
      <c r="M105" s="178"/>
      <c r="N105" s="178"/>
      <c r="O105" s="178"/>
      <c r="P105" s="178"/>
      <c r="Q105" s="178"/>
      <c r="R105" s="179"/>
      <c r="S105" s="174"/>
      <c r="T105" s="177"/>
      <c r="U105" s="177"/>
    </row>
  </sheetData>
  <mergeCells count="9">
    <mergeCell ref="C90:D90"/>
    <mergeCell ref="C101:D101"/>
    <mergeCell ref="C97:D97"/>
    <mergeCell ref="C98:D98"/>
    <mergeCell ref="C100:D100"/>
    <mergeCell ref="C84:D84"/>
    <mergeCell ref="C85:D85"/>
    <mergeCell ref="C88:D88"/>
    <mergeCell ref="C89:D89"/>
  </mergeCells>
  <printOptions/>
  <pageMargins left="0.25" right="0.25" top="0.93" bottom="0.31" header="0.25" footer="0.2"/>
  <pageSetup horizontalDpi="600" verticalDpi="600" orientation="landscape" scale="74" r:id="rId1"/>
  <headerFooter alignWithMargins="0">
    <oddHeader>&amp;C&amp;"Arial,Bold"&amp;14NCSX CD-2 Cost Baseline Update 
&amp;12(WBS 81, 82,  84, and 85)</oddHeader>
    <oddFooter>&amp;L&amp;"Arial,Bold"Date:  9/16/03&amp;C&amp;"Arial,Bold"&amp;P</oddFooter>
  </headerFooter>
  <rowBreaks count="1" manualBreakCount="1">
    <brk id="8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5"/>
  <sheetViews>
    <sheetView showZeros="0" workbookViewId="0" topLeftCell="A42">
      <pane ySplit="675" topLeftCell="BM1" activePane="bottomLeft" state="split"/>
      <selection pane="topLeft" activeCell="B97" sqref="B97:E103"/>
      <selection pane="bottomLeft" activeCell="B97" sqref="B97:E103"/>
    </sheetView>
  </sheetViews>
  <sheetFormatPr defaultColWidth="9.140625" defaultRowHeight="12.75"/>
  <cols>
    <col min="1" max="1" width="4.421875" style="61" customWidth="1"/>
    <col min="2" max="2" width="4.421875" style="1" customWidth="1"/>
    <col min="3" max="3" width="11.28125" style="1" customWidth="1"/>
    <col min="4" max="4" width="14.00390625" style="1" customWidth="1"/>
    <col min="5" max="5" width="9.8515625" style="10" customWidth="1"/>
    <col min="6" max="6" width="9.8515625" style="12" customWidth="1"/>
    <col min="7" max="7" width="9.8515625" style="7" customWidth="1"/>
    <col min="8" max="8" width="9.8515625" style="10" customWidth="1"/>
    <col min="9" max="9" width="9.8515625" style="12" customWidth="1"/>
    <col min="10" max="10" width="8.140625" style="12" customWidth="1"/>
    <col min="11" max="11" width="3.00390625" style="78" customWidth="1"/>
    <col min="12" max="16" width="9.00390625" style="59" customWidth="1"/>
    <col min="17" max="17" width="11.140625" style="76" customWidth="1"/>
    <col min="18" max="18" width="11.7109375" style="1" customWidth="1"/>
    <col min="19" max="20" width="8.421875" style="77" customWidth="1"/>
    <col min="21" max="16384" width="9.140625" style="1" customWidth="1"/>
  </cols>
  <sheetData>
    <row r="1" spans="1:20" s="5" customFormat="1" ht="18.75" thickBot="1">
      <c r="A1" s="3" t="s">
        <v>4</v>
      </c>
      <c r="B1" s="2"/>
      <c r="C1" s="3">
        <v>8</v>
      </c>
      <c r="D1" s="3"/>
      <c r="E1" s="69" t="s">
        <v>53</v>
      </c>
      <c r="F1" s="70"/>
      <c r="G1" s="71"/>
      <c r="H1" s="71"/>
      <c r="I1" s="72"/>
      <c r="J1" s="4"/>
      <c r="K1" s="78"/>
      <c r="L1" s="73"/>
      <c r="M1" s="73"/>
      <c r="N1" s="73"/>
      <c r="O1" s="73"/>
      <c r="P1" s="73"/>
      <c r="Q1" s="74"/>
      <c r="R1" s="73"/>
      <c r="S1" s="77"/>
      <c r="T1" s="77"/>
    </row>
    <row r="2" spans="1:18" ht="15.75" hidden="1">
      <c r="A2" s="60" t="s">
        <v>5</v>
      </c>
      <c r="C2" s="6"/>
      <c r="D2" s="7"/>
      <c r="E2" s="8"/>
      <c r="F2" s="9"/>
      <c r="H2" s="8"/>
      <c r="I2" s="9"/>
      <c r="J2" s="9"/>
      <c r="K2" s="79"/>
      <c r="L2" s="17"/>
      <c r="Q2" s="75"/>
      <c r="R2" s="59"/>
    </row>
    <row r="3" spans="1:18" ht="15.75" hidden="1">
      <c r="A3" s="11"/>
      <c r="E3" s="13"/>
      <c r="F3" s="14"/>
      <c r="G3" s="16"/>
      <c r="H3" s="13"/>
      <c r="I3" s="15"/>
      <c r="J3" s="15"/>
      <c r="K3" s="80"/>
      <c r="L3" s="17"/>
      <c r="Q3" s="75"/>
      <c r="R3" s="59"/>
    </row>
    <row r="4" spans="3:18" ht="38.25" hidden="1">
      <c r="C4" s="6"/>
      <c r="D4" s="6"/>
      <c r="E4" s="34" t="s">
        <v>26</v>
      </c>
      <c r="F4" s="35" t="s">
        <v>0</v>
      </c>
      <c r="G4" s="36" t="s">
        <v>1</v>
      </c>
      <c r="H4" s="35" t="s">
        <v>2</v>
      </c>
      <c r="I4" s="36" t="s">
        <v>3</v>
      </c>
      <c r="J4" s="36"/>
      <c r="K4" s="81"/>
      <c r="L4" s="17"/>
      <c r="Q4" s="75"/>
      <c r="R4" s="59"/>
    </row>
    <row r="5" spans="1:18" ht="15" hidden="1">
      <c r="A5" s="62" t="s">
        <v>20</v>
      </c>
      <c r="B5" s="43">
        <v>82</v>
      </c>
      <c r="C5" s="6" t="s">
        <v>14</v>
      </c>
      <c r="D5" s="6" t="s">
        <v>7</v>
      </c>
      <c r="E5" s="24">
        <v>0.425</v>
      </c>
      <c r="F5" s="24">
        <v>0.85</v>
      </c>
      <c r="G5" s="24">
        <v>0.85</v>
      </c>
      <c r="H5" s="24">
        <v>0.85</v>
      </c>
      <c r="I5" s="24">
        <f>1100/1726</f>
        <v>0.6373117033603708</v>
      </c>
      <c r="J5" s="24"/>
      <c r="K5" s="82"/>
      <c r="L5" s="17"/>
      <c r="Q5" s="75"/>
      <c r="R5" s="59"/>
    </row>
    <row r="6" spans="1:18" ht="15" hidden="1">
      <c r="A6" s="62" t="s">
        <v>20</v>
      </c>
      <c r="B6" s="43">
        <v>82</v>
      </c>
      <c r="C6" s="6" t="s">
        <v>14</v>
      </c>
      <c r="D6" s="6" t="s">
        <v>8</v>
      </c>
      <c r="E6" s="24">
        <f>518/1726</f>
        <v>0.30011587485515645</v>
      </c>
      <c r="F6" s="24">
        <v>0.6</v>
      </c>
      <c r="G6" s="24">
        <v>0.5</v>
      </c>
      <c r="H6" s="24">
        <v>0.4</v>
      </c>
      <c r="I6" s="24">
        <f>388/1726</f>
        <v>0.22479721900347624</v>
      </c>
      <c r="J6" s="24"/>
      <c r="K6" s="79"/>
      <c r="L6" s="17"/>
      <c r="Q6" s="75"/>
      <c r="R6" s="59"/>
    </row>
    <row r="7" spans="1:18" ht="15" hidden="1">
      <c r="A7" s="62" t="s">
        <v>20</v>
      </c>
      <c r="B7" s="43">
        <v>82</v>
      </c>
      <c r="C7" s="6" t="s">
        <v>14</v>
      </c>
      <c r="D7" s="6" t="s">
        <v>9</v>
      </c>
      <c r="E7" s="24">
        <f>259/1726</f>
        <v>0.15005793742757823</v>
      </c>
      <c r="F7" s="24">
        <v>0.2</v>
      </c>
      <c r="G7" s="24">
        <v>0.1</v>
      </c>
      <c r="H7" s="24">
        <v>0.1</v>
      </c>
      <c r="I7" s="24">
        <v>0</v>
      </c>
      <c r="J7" s="24"/>
      <c r="K7" s="79"/>
      <c r="L7" s="17"/>
      <c r="Q7" s="75"/>
      <c r="R7" s="59"/>
    </row>
    <row r="8" spans="1:18" ht="15" hidden="1">
      <c r="A8" s="62" t="s">
        <v>20</v>
      </c>
      <c r="B8" s="43">
        <v>82</v>
      </c>
      <c r="C8" s="6" t="s">
        <v>15</v>
      </c>
      <c r="D8" s="6" t="s">
        <v>11</v>
      </c>
      <c r="E8" s="24">
        <f>260/1726</f>
        <v>0.15063731170336037</v>
      </c>
      <c r="F8" s="24">
        <v>0.25</v>
      </c>
      <c r="G8" s="24">
        <v>0.15</v>
      </c>
      <c r="H8" s="24">
        <v>0.05</v>
      </c>
      <c r="I8" s="24">
        <f>65/1726</f>
        <v>0.03765932792584009</v>
      </c>
      <c r="J8" s="24"/>
      <c r="K8" s="79"/>
      <c r="L8" s="17"/>
      <c r="Q8" s="75"/>
      <c r="R8" s="59"/>
    </row>
    <row r="9" spans="1:18" ht="15" hidden="1">
      <c r="A9" s="62" t="s">
        <v>20</v>
      </c>
      <c r="B9" s="43">
        <v>82</v>
      </c>
      <c r="C9" s="6" t="s">
        <v>15</v>
      </c>
      <c r="D9" s="6" t="s">
        <v>12</v>
      </c>
      <c r="E9" s="24">
        <v>0</v>
      </c>
      <c r="F9" s="24">
        <v>0.15</v>
      </c>
      <c r="G9" s="24">
        <v>0.15</v>
      </c>
      <c r="H9" s="24">
        <v>0.05</v>
      </c>
      <c r="I9" s="24">
        <f>65/1726</f>
        <v>0.03765932792584009</v>
      </c>
      <c r="J9" s="24"/>
      <c r="K9" s="79"/>
      <c r="L9" s="17"/>
      <c r="Q9" s="75"/>
      <c r="R9" s="59"/>
    </row>
    <row r="10" spans="1:18" ht="15" hidden="1">
      <c r="A10" s="62" t="s">
        <v>20</v>
      </c>
      <c r="B10" s="43">
        <v>82</v>
      </c>
      <c r="C10" s="6" t="s">
        <v>16</v>
      </c>
      <c r="D10" s="6" t="s">
        <v>13</v>
      </c>
      <c r="E10" s="24">
        <v>0.025</v>
      </c>
      <c r="F10" s="24">
        <v>0.05</v>
      </c>
      <c r="G10" s="24">
        <v>0.15</v>
      </c>
      <c r="H10" s="24">
        <v>0.25</v>
      </c>
      <c r="I10" s="24">
        <f>0.25/2</f>
        <v>0.125</v>
      </c>
      <c r="J10" s="24"/>
      <c r="K10" s="79"/>
      <c r="L10" s="17"/>
      <c r="Q10" s="75"/>
      <c r="R10" s="59"/>
    </row>
    <row r="11" spans="1:18" ht="15" hidden="1">
      <c r="A11" s="62" t="s">
        <v>20</v>
      </c>
      <c r="B11" s="43">
        <v>82</v>
      </c>
      <c r="C11" s="6" t="s">
        <v>17</v>
      </c>
      <c r="D11" s="6" t="s">
        <v>18</v>
      </c>
      <c r="E11" s="25">
        <f>173/1726</f>
        <v>0.10023174971031286</v>
      </c>
      <c r="F11" s="25">
        <v>0.5</v>
      </c>
      <c r="G11" s="25">
        <v>0.5</v>
      </c>
      <c r="H11" s="25">
        <v>0.5</v>
      </c>
      <c r="I11" s="25">
        <f>647/1726</f>
        <v>0.37485515643105444</v>
      </c>
      <c r="J11" s="25"/>
      <c r="K11" s="79"/>
      <c r="L11" s="17"/>
      <c r="Q11" s="75"/>
      <c r="R11" s="59"/>
    </row>
    <row r="12" spans="1:18" ht="15" hidden="1">
      <c r="A12" s="62" t="s">
        <v>20</v>
      </c>
      <c r="B12" s="43">
        <v>82</v>
      </c>
      <c r="C12" s="6"/>
      <c r="D12" s="6"/>
      <c r="E12" s="26">
        <f>SUM(E5:E11)</f>
        <v>1.151042873696408</v>
      </c>
      <c r="F12" s="26">
        <f>SUM(F5:F11)</f>
        <v>2.5999999999999996</v>
      </c>
      <c r="G12" s="26">
        <f>SUM(G5:G11)</f>
        <v>2.4</v>
      </c>
      <c r="H12" s="26">
        <f>SUM(H5:H11)</f>
        <v>2.2</v>
      </c>
      <c r="I12" s="26">
        <f>SUM(I5:I11)</f>
        <v>1.4372827346465817</v>
      </c>
      <c r="J12" s="26"/>
      <c r="K12" s="83"/>
      <c r="L12" s="17"/>
      <c r="Q12" s="75"/>
      <c r="R12" s="59"/>
    </row>
    <row r="13" spans="1:18" ht="15" hidden="1">
      <c r="A13" s="62" t="s">
        <v>20</v>
      </c>
      <c r="B13" s="43">
        <v>82</v>
      </c>
      <c r="C13" s="19">
        <v>35</v>
      </c>
      <c r="D13" s="19" t="s">
        <v>19</v>
      </c>
      <c r="E13" s="20">
        <v>4</v>
      </c>
      <c r="F13" s="20">
        <v>10</v>
      </c>
      <c r="G13" s="20">
        <v>10</v>
      </c>
      <c r="H13" s="20">
        <v>5</v>
      </c>
      <c r="I13" s="20">
        <v>5</v>
      </c>
      <c r="J13" s="20"/>
      <c r="K13" s="83"/>
      <c r="L13" s="17"/>
      <c r="Q13" s="75"/>
      <c r="R13" s="59"/>
    </row>
    <row r="14" spans="1:18" ht="15" hidden="1">
      <c r="A14" s="62" t="s">
        <v>20</v>
      </c>
      <c r="B14" s="43">
        <v>82</v>
      </c>
      <c r="C14" s="19">
        <v>41</v>
      </c>
      <c r="D14" s="19" t="s">
        <v>6</v>
      </c>
      <c r="E14" s="20"/>
      <c r="F14" s="20">
        <v>30</v>
      </c>
      <c r="G14" s="20"/>
      <c r="H14" s="20"/>
      <c r="I14" s="20"/>
      <c r="J14" s="20"/>
      <c r="K14" s="83"/>
      <c r="L14" s="17"/>
      <c r="Q14" s="75"/>
      <c r="R14" s="59"/>
    </row>
    <row r="15" spans="1:18" ht="15" hidden="1">
      <c r="A15" s="62" t="s">
        <v>20</v>
      </c>
      <c r="B15" s="6"/>
      <c r="C15" s="6"/>
      <c r="D15" s="6"/>
      <c r="E15" s="9">
        <f>(SUM(E5:E9)*1726*153)+(E10*80*1726)+(E11*1726*100)+(E13*1.2)+(E14*1.3)</f>
        <v>291650.95000000007</v>
      </c>
      <c r="F15" s="9">
        <f>(SUM(F5:F9)*1726*163)+(F10*85*1726)+(F11*1726*107)+(E13*1.2)+(E14*1.3)</f>
        <v>676424.2</v>
      </c>
      <c r="G15" s="9">
        <f>(SUM(G5:G9)*1726*169)+(G10*89*1726)+(G11*1726*111)+(E13*1.2)+(E14*1.3)</f>
        <v>629304.4</v>
      </c>
      <c r="H15" s="9">
        <f>(SUM(H5:H9)*1726*172)+(H10*90*1726)+(H11*1726*112)+(E13*1.2)+(E14*1.3)</f>
        <v>565960.2000000001</v>
      </c>
      <c r="I15" s="9">
        <f>(SUM(I5:I9)*1726*174)+(I10*92*1726)+(I11*1726*114)+(E13*1.2)+(E14*1.3)</f>
        <v>375143.8</v>
      </c>
      <c r="J15" s="9"/>
      <c r="K15" s="83">
        <f>SUM(E15:I15)</f>
        <v>2538483.55</v>
      </c>
      <c r="L15" s="17"/>
      <c r="Q15" s="75"/>
      <c r="R15" s="59"/>
    </row>
    <row r="16" spans="1:18" ht="15" hidden="1">
      <c r="A16" s="62"/>
      <c r="B16" s="6"/>
      <c r="C16" s="6"/>
      <c r="D16" s="6"/>
      <c r="E16" s="7"/>
      <c r="F16" s="9"/>
      <c r="H16" s="7"/>
      <c r="I16" s="9"/>
      <c r="J16" s="9"/>
      <c r="K16" s="83"/>
      <c r="L16" s="17"/>
      <c r="Q16" s="75"/>
      <c r="R16" s="59"/>
    </row>
    <row r="17" spans="1:18" ht="15" hidden="1">
      <c r="A17" s="62"/>
      <c r="B17" s="6"/>
      <c r="C17" s="6"/>
      <c r="D17" s="6"/>
      <c r="E17" s="7"/>
      <c r="F17" s="9"/>
      <c r="H17" s="7"/>
      <c r="I17" s="9"/>
      <c r="J17" s="9"/>
      <c r="K17" s="83"/>
      <c r="L17" s="17"/>
      <c r="Q17" s="75"/>
      <c r="R17" s="59"/>
    </row>
    <row r="18" spans="1:18" ht="15" hidden="1">
      <c r="A18" s="62"/>
      <c r="C18" s="17"/>
      <c r="D18" s="17"/>
      <c r="E18" s="38" t="s">
        <v>26</v>
      </c>
      <c r="F18" s="9"/>
      <c r="H18" s="7"/>
      <c r="I18" s="9"/>
      <c r="J18" s="39"/>
      <c r="K18" s="83"/>
      <c r="L18" s="17"/>
      <c r="Q18" s="75"/>
      <c r="R18" s="59"/>
    </row>
    <row r="19" spans="1:18" ht="15" hidden="1">
      <c r="A19" s="63" t="s">
        <v>21</v>
      </c>
      <c r="B19" s="44">
        <v>82</v>
      </c>
      <c r="C19" s="17" t="s">
        <v>22</v>
      </c>
      <c r="D19" s="17" t="s">
        <v>7</v>
      </c>
      <c r="E19" s="27">
        <f>85%/2</f>
        <v>0.425</v>
      </c>
      <c r="F19" s="26">
        <v>0.85</v>
      </c>
      <c r="G19" s="26">
        <v>0.85</v>
      </c>
      <c r="H19" s="26">
        <v>0.85</v>
      </c>
      <c r="I19" s="26">
        <v>0.4</v>
      </c>
      <c r="J19" s="28"/>
      <c r="K19" s="84"/>
      <c r="L19" s="17"/>
      <c r="Q19" s="75"/>
      <c r="R19" s="59"/>
    </row>
    <row r="20" spans="1:18" ht="15" hidden="1">
      <c r="A20" s="63" t="s">
        <v>21</v>
      </c>
      <c r="B20" s="44">
        <v>82</v>
      </c>
      <c r="C20" s="17" t="s">
        <v>22</v>
      </c>
      <c r="D20" s="17" t="s">
        <v>8</v>
      </c>
      <c r="E20" s="28">
        <f>45%/2</f>
        <v>0.225</v>
      </c>
      <c r="F20" s="26">
        <v>0.4</v>
      </c>
      <c r="G20" s="26">
        <v>0.4</v>
      </c>
      <c r="H20" s="26">
        <v>0.4</v>
      </c>
      <c r="I20" s="26">
        <f>40%/2</f>
        <v>0.2</v>
      </c>
      <c r="J20" s="28"/>
      <c r="K20" s="84"/>
      <c r="L20" s="17"/>
      <c r="Q20" s="75"/>
      <c r="R20" s="59"/>
    </row>
    <row r="21" spans="1:18" ht="15" hidden="1">
      <c r="A21" s="63" t="s">
        <v>21</v>
      </c>
      <c r="B21" s="44">
        <v>82</v>
      </c>
      <c r="C21" s="17" t="s">
        <v>23</v>
      </c>
      <c r="D21" s="17" t="s">
        <v>18</v>
      </c>
      <c r="E21" s="29">
        <v>0.3</v>
      </c>
      <c r="F21" s="51">
        <v>0.3</v>
      </c>
      <c r="G21" s="51">
        <v>0.3</v>
      </c>
      <c r="H21" s="51">
        <v>0.3</v>
      </c>
      <c r="I21" s="51">
        <v>0.4</v>
      </c>
      <c r="J21" s="29"/>
      <c r="K21" s="84"/>
      <c r="L21" s="17"/>
      <c r="Q21" s="75"/>
      <c r="R21" s="59"/>
    </row>
    <row r="22" spans="1:18" ht="15" hidden="1">
      <c r="A22" s="63" t="s">
        <v>21</v>
      </c>
      <c r="B22" s="44">
        <v>82</v>
      </c>
      <c r="C22" s="17"/>
      <c r="D22" s="17"/>
      <c r="E22" s="28">
        <f>SUM(E19:E21)</f>
        <v>0.95</v>
      </c>
      <c r="F22" s="26">
        <f>SUM(F19:F21)</f>
        <v>1.55</v>
      </c>
      <c r="G22" s="26">
        <f>SUM(G19:G21)</f>
        <v>1.55</v>
      </c>
      <c r="H22" s="26">
        <f>SUM(H19:H21)</f>
        <v>1.55</v>
      </c>
      <c r="I22" s="26">
        <f>SUM(I19:I21)</f>
        <v>1</v>
      </c>
      <c r="J22" s="28"/>
      <c r="K22" s="83"/>
      <c r="L22" s="17"/>
      <c r="Q22" s="75"/>
      <c r="R22" s="59"/>
    </row>
    <row r="23" spans="1:18" ht="15" hidden="1">
      <c r="A23" s="63" t="s">
        <v>21</v>
      </c>
      <c r="B23" s="44">
        <v>82</v>
      </c>
      <c r="C23" s="21">
        <v>35</v>
      </c>
      <c r="D23" s="21" t="s">
        <v>19</v>
      </c>
      <c r="E23" s="22">
        <v>10</v>
      </c>
      <c r="F23" s="50">
        <v>10</v>
      </c>
      <c r="G23" s="52">
        <v>8</v>
      </c>
      <c r="H23" s="52">
        <v>5</v>
      </c>
      <c r="I23" s="50">
        <v>4</v>
      </c>
      <c r="J23" s="23"/>
      <c r="K23" s="83"/>
      <c r="L23" s="17"/>
      <c r="Q23" s="75"/>
      <c r="R23" s="59"/>
    </row>
    <row r="24" spans="1:18" ht="15" hidden="1">
      <c r="A24" s="63" t="s">
        <v>21</v>
      </c>
      <c r="B24" s="44">
        <v>82</v>
      </c>
      <c r="C24" s="21">
        <v>41</v>
      </c>
      <c r="D24" s="21" t="s">
        <v>25</v>
      </c>
      <c r="E24" s="22">
        <v>30</v>
      </c>
      <c r="F24" s="50">
        <v>30</v>
      </c>
      <c r="G24" s="52"/>
      <c r="H24" s="52"/>
      <c r="I24" s="50"/>
      <c r="J24" s="23"/>
      <c r="K24" s="83"/>
      <c r="L24" s="17"/>
      <c r="Q24" s="75"/>
      <c r="R24" s="59"/>
    </row>
    <row r="25" spans="1:18" ht="15" hidden="1">
      <c r="A25" s="63" t="s">
        <v>21</v>
      </c>
      <c r="B25" s="44">
        <v>82</v>
      </c>
      <c r="C25" s="17"/>
      <c r="D25" s="17"/>
      <c r="E25" s="39">
        <f>((E19+E20)*143*1726)+(E21*94*1726)+(E23*1.6)+(E24*1.24)</f>
        <v>209158.10000000003</v>
      </c>
      <c r="F25" s="9">
        <f>((F19+F20)*148*1726)+(F21*97*1726)+(E23*1.6)+(E24*1.24)</f>
        <v>369589.8</v>
      </c>
      <c r="G25" s="9">
        <f>((G19+G20)*152*1726)+(G21*100*1726)+(E23*1.6)+(E24*1.24)</f>
        <v>379773.2</v>
      </c>
      <c r="H25" s="9">
        <f>((H19+H20)*159*1726)+(H21*104*1726)+(E23*1.6)+(E24*1.24)</f>
        <v>396946.9</v>
      </c>
      <c r="I25" s="9">
        <f>((I19+I20)*162*1726)+(I21*106*1726)+(E23*1.6)+(E24*1.24)</f>
        <v>241002.80000000005</v>
      </c>
      <c r="J25" s="39"/>
      <c r="K25" s="83">
        <f>SUM(E25:I25)</f>
        <v>1596470.8</v>
      </c>
      <c r="L25" s="17"/>
      <c r="Q25" s="75"/>
      <c r="R25" s="59"/>
    </row>
    <row r="26" spans="1:18" ht="15" hidden="1">
      <c r="A26" s="62"/>
      <c r="B26" s="6"/>
      <c r="C26" s="6"/>
      <c r="D26" s="6"/>
      <c r="E26" s="7"/>
      <c r="F26" s="9"/>
      <c r="H26" s="7"/>
      <c r="I26" s="9"/>
      <c r="J26" s="9"/>
      <c r="K26" s="83"/>
      <c r="L26" s="17"/>
      <c r="Q26" s="75"/>
      <c r="R26" s="59"/>
    </row>
    <row r="27" spans="1:18" ht="15" hidden="1">
      <c r="A27" s="62"/>
      <c r="B27" s="6"/>
      <c r="C27" s="6"/>
      <c r="D27" s="6"/>
      <c r="E27" s="7"/>
      <c r="F27" s="9"/>
      <c r="H27" s="7"/>
      <c r="I27" s="9"/>
      <c r="J27" s="9"/>
      <c r="K27" s="83"/>
      <c r="L27" s="17"/>
      <c r="Q27" s="75"/>
      <c r="R27" s="59"/>
    </row>
    <row r="28" spans="1:18" ht="15.75" hidden="1">
      <c r="A28" s="41" t="s">
        <v>27</v>
      </c>
      <c r="B28" s="6"/>
      <c r="C28" s="6"/>
      <c r="D28" s="6"/>
      <c r="E28" s="7"/>
      <c r="F28" s="9"/>
      <c r="H28" s="7"/>
      <c r="I28" s="9"/>
      <c r="J28" s="9"/>
      <c r="K28" s="83"/>
      <c r="L28" s="17"/>
      <c r="Q28" s="75"/>
      <c r="R28" s="59"/>
    </row>
    <row r="29" spans="1:18" ht="15" hidden="1">
      <c r="A29" s="62"/>
      <c r="B29" s="6"/>
      <c r="C29" s="6"/>
      <c r="D29" s="6"/>
      <c r="E29" s="7"/>
      <c r="F29" s="9"/>
      <c r="H29" s="7"/>
      <c r="I29" s="9"/>
      <c r="J29" s="9"/>
      <c r="K29" s="79"/>
      <c r="L29" s="17"/>
      <c r="Q29" s="75"/>
      <c r="R29" s="59"/>
    </row>
    <row r="30" spans="1:18" ht="15" hidden="1">
      <c r="A30" s="62"/>
      <c r="B30" s="33"/>
      <c r="C30" s="6"/>
      <c r="D30" s="6"/>
      <c r="E30" s="36" t="s">
        <v>26</v>
      </c>
      <c r="F30" s="35" t="s">
        <v>0</v>
      </c>
      <c r="G30" s="36" t="s">
        <v>1</v>
      </c>
      <c r="H30" s="35" t="s">
        <v>2</v>
      </c>
      <c r="I30" s="36" t="s">
        <v>3</v>
      </c>
      <c r="J30" s="36"/>
      <c r="K30" s="79"/>
      <c r="L30" s="17"/>
      <c r="Q30" s="75"/>
      <c r="R30" s="59"/>
    </row>
    <row r="31" spans="1:18" ht="15" hidden="1">
      <c r="A31" s="62" t="s">
        <v>20</v>
      </c>
      <c r="B31" s="43">
        <v>82</v>
      </c>
      <c r="C31" s="6" t="s">
        <v>24</v>
      </c>
      <c r="D31" s="6" t="s">
        <v>10</v>
      </c>
      <c r="E31" s="24">
        <f>832/1768</f>
        <v>0.47058823529411764</v>
      </c>
      <c r="F31" s="24">
        <v>0.8</v>
      </c>
      <c r="G31" s="24">
        <v>0.75</v>
      </c>
      <c r="H31" s="24">
        <v>0.75</v>
      </c>
      <c r="I31" s="24">
        <f>936/1768</f>
        <v>0.5294117647058824</v>
      </c>
      <c r="J31" s="24"/>
      <c r="K31" s="79"/>
      <c r="L31" s="17"/>
      <c r="Q31" s="75"/>
      <c r="R31" s="59"/>
    </row>
    <row r="32" spans="1:18" ht="15" hidden="1">
      <c r="A32" s="62" t="s">
        <v>20</v>
      </c>
      <c r="B32" s="43">
        <v>82</v>
      </c>
      <c r="C32" s="6" t="s">
        <v>28</v>
      </c>
      <c r="D32" s="6" t="s">
        <v>29</v>
      </c>
      <c r="E32" s="25">
        <f>80%/2</f>
        <v>0.4</v>
      </c>
      <c r="F32" s="25">
        <v>0.8</v>
      </c>
      <c r="G32" s="25">
        <v>0.8</v>
      </c>
      <c r="H32" s="25">
        <v>0.8</v>
      </c>
      <c r="I32" s="25">
        <f>80%/2</f>
        <v>0.4</v>
      </c>
      <c r="J32" s="25"/>
      <c r="K32" s="79"/>
      <c r="L32" s="17"/>
      <c r="Q32" s="75"/>
      <c r="R32" s="59"/>
    </row>
    <row r="33" spans="1:18" ht="15" hidden="1">
      <c r="A33" s="62" t="s">
        <v>20</v>
      </c>
      <c r="B33" s="6"/>
      <c r="C33" s="6"/>
      <c r="D33" s="6"/>
      <c r="E33" s="30">
        <f>SUM(E31:E32)</f>
        <v>0.8705882352941177</v>
      </c>
      <c r="F33" s="30">
        <f>SUM(F31:F32)</f>
        <v>1.6</v>
      </c>
      <c r="G33" s="30">
        <f>SUM(G31:G32)</f>
        <v>1.55</v>
      </c>
      <c r="H33" s="30">
        <f>SUM(H31:H32)</f>
        <v>1.55</v>
      </c>
      <c r="I33" s="30">
        <f>SUM(I31:I32)</f>
        <v>0.9294117647058824</v>
      </c>
      <c r="J33" s="30"/>
      <c r="K33" s="79"/>
      <c r="L33" s="17"/>
      <c r="Q33" s="75"/>
      <c r="R33" s="59"/>
    </row>
    <row r="34" spans="1:18" ht="15" hidden="1">
      <c r="A34" s="62" t="s">
        <v>20</v>
      </c>
      <c r="B34" s="6"/>
      <c r="C34" s="6"/>
      <c r="D34" s="6"/>
      <c r="E34" s="18">
        <f>(E31*1768*168)+(E32*1768*131)</f>
        <v>232419.2</v>
      </c>
      <c r="F34" s="18">
        <f>((F31*1768*168)+(F32*1768*131))*1.04</f>
        <v>439821.824</v>
      </c>
      <c r="G34" s="18">
        <f>((G31*1768*168)+(G32*1768*131))*1.04</f>
        <v>424376.57600000006</v>
      </c>
      <c r="H34" s="18">
        <f>((H31*1768*168)+(H32*1768*131))*1.04</f>
        <v>424376.57600000006</v>
      </c>
      <c r="I34" s="18">
        <f>((I31*1768*168)+(I32*1768*131))*1.04</f>
        <v>259886.84800000003</v>
      </c>
      <c r="J34" s="18"/>
      <c r="K34" s="83">
        <f>SUM(E34:I34)</f>
        <v>1780881.0240000002</v>
      </c>
      <c r="L34" s="17"/>
      <c r="Q34" s="75"/>
      <c r="R34" s="59"/>
    </row>
    <row r="35" spans="1:18" ht="15" hidden="1">
      <c r="A35" s="62"/>
      <c r="B35" s="6"/>
      <c r="C35" s="6"/>
      <c r="D35" s="6"/>
      <c r="E35" s="18"/>
      <c r="F35" s="18"/>
      <c r="G35" s="18"/>
      <c r="H35" s="18"/>
      <c r="I35" s="18"/>
      <c r="J35" s="18"/>
      <c r="K35" s="83"/>
      <c r="L35" s="17"/>
      <c r="Q35" s="75"/>
      <c r="R35" s="59"/>
    </row>
    <row r="36" spans="1:18" ht="15" hidden="1">
      <c r="A36" s="62"/>
      <c r="B36" s="37"/>
      <c r="C36" s="17"/>
      <c r="D36" s="17"/>
      <c r="E36" s="40"/>
      <c r="F36" s="9"/>
      <c r="H36" s="7"/>
      <c r="I36" s="9"/>
      <c r="J36" s="39"/>
      <c r="K36" s="83"/>
      <c r="L36" s="17"/>
      <c r="Q36" s="75"/>
      <c r="R36" s="59"/>
    </row>
    <row r="37" spans="1:18" ht="15" hidden="1">
      <c r="A37" s="62"/>
      <c r="B37" s="17"/>
      <c r="C37" s="17" t="s">
        <v>24</v>
      </c>
      <c r="D37" s="17" t="s">
        <v>10</v>
      </c>
      <c r="E37" s="31">
        <v>0.325</v>
      </c>
      <c r="F37" s="30">
        <v>0.65</v>
      </c>
      <c r="G37" s="30">
        <v>0.65</v>
      </c>
      <c r="H37" s="30">
        <v>0.65</v>
      </c>
      <c r="I37" s="30">
        <v>0.25</v>
      </c>
      <c r="J37" s="31"/>
      <c r="K37" s="83"/>
      <c r="L37" s="17"/>
      <c r="Q37" s="75"/>
      <c r="R37" s="59"/>
    </row>
    <row r="38" spans="1:18" ht="15" hidden="1">
      <c r="A38" s="62"/>
      <c r="B38" s="17"/>
      <c r="C38" s="17" t="s">
        <v>28</v>
      </c>
      <c r="D38" s="17" t="s">
        <v>29</v>
      </c>
      <c r="E38" s="32">
        <v>0.1</v>
      </c>
      <c r="F38" s="25">
        <v>0.2</v>
      </c>
      <c r="G38" s="25">
        <v>0.2</v>
      </c>
      <c r="H38" s="25">
        <v>0.2</v>
      </c>
      <c r="I38" s="25">
        <v>0.1</v>
      </c>
      <c r="J38" s="32"/>
      <c r="K38" s="83"/>
      <c r="L38" s="17"/>
      <c r="Q38" s="75"/>
      <c r="R38" s="59"/>
    </row>
    <row r="39" spans="1:18" ht="15" hidden="1">
      <c r="A39" s="63" t="s">
        <v>21</v>
      </c>
      <c r="B39" s="43">
        <v>82</v>
      </c>
      <c r="C39" s="17" t="s">
        <v>31</v>
      </c>
      <c r="D39" s="17" t="s">
        <v>30</v>
      </c>
      <c r="E39" s="31">
        <f>SUM(E37:E38)</f>
        <v>0.42500000000000004</v>
      </c>
      <c r="F39" s="30">
        <f>SUM(F37:F38)</f>
        <v>0.8500000000000001</v>
      </c>
      <c r="G39" s="30">
        <f>SUM(G37:G38)</f>
        <v>0.8500000000000001</v>
      </c>
      <c r="H39" s="30">
        <f>SUM(H37:H38)</f>
        <v>0.8500000000000001</v>
      </c>
      <c r="I39" s="30">
        <f>SUM(I37:I38)</f>
        <v>0.35</v>
      </c>
      <c r="J39" s="31"/>
      <c r="K39" s="83"/>
      <c r="L39" s="17"/>
      <c r="Q39" s="75"/>
      <c r="R39" s="59"/>
    </row>
    <row r="40" spans="1:18" ht="15" hidden="1">
      <c r="A40" s="63" t="s">
        <v>21</v>
      </c>
      <c r="B40" s="17"/>
      <c r="C40" s="17"/>
      <c r="D40" s="17"/>
      <c r="E40" s="42">
        <f>(E37*1768*158)+(E38*1768*122)</f>
        <v>112356.40000000001</v>
      </c>
      <c r="F40" s="18">
        <f>((F37*1768*158)+(F38*1768*122))*1.04</f>
        <v>233701.31200000003</v>
      </c>
      <c r="G40" s="18">
        <f>((G37*1768*158)+(G38*1768*122))*1.04</f>
        <v>233701.31200000003</v>
      </c>
      <c r="H40" s="18">
        <f>((H37*1768*158)+(H38*1768*122))*1.04</f>
        <v>233701.31200000003</v>
      </c>
      <c r="I40" s="18">
        <f>((I37*1768*158)+(I38*1768*122))*1.04</f>
        <v>95061.82400000001</v>
      </c>
      <c r="J40" s="42"/>
      <c r="K40" s="83">
        <f>SUM(E40:I40)</f>
        <v>908522.1600000001</v>
      </c>
      <c r="L40" s="17"/>
      <c r="Q40" s="75"/>
      <c r="R40" s="59"/>
    </row>
    <row r="41" spans="1:18" ht="15.75" hidden="1" thickBot="1">
      <c r="A41" s="62"/>
      <c r="B41" s="6"/>
      <c r="C41" s="6"/>
      <c r="D41" s="6"/>
      <c r="E41" s="7"/>
      <c r="F41" s="9"/>
      <c r="H41" s="7"/>
      <c r="I41" s="9"/>
      <c r="J41" s="9"/>
      <c r="K41" s="79"/>
      <c r="L41" s="17"/>
      <c r="Q41" s="75"/>
      <c r="R41" s="59"/>
    </row>
    <row r="42" spans="1:18" ht="20.25">
      <c r="A42" s="68" t="s">
        <v>47</v>
      </c>
      <c r="B42" s="53"/>
      <c r="C42" s="53"/>
      <c r="D42" s="53"/>
      <c r="E42" s="54" t="s">
        <v>42</v>
      </c>
      <c r="F42" s="54" t="s">
        <v>0</v>
      </c>
      <c r="G42" s="55" t="s">
        <v>1</v>
      </c>
      <c r="H42" s="54" t="s">
        <v>2</v>
      </c>
      <c r="I42" s="55" t="s">
        <v>3</v>
      </c>
      <c r="J42" s="55"/>
      <c r="K42" s="85"/>
      <c r="L42" s="124" t="s">
        <v>42</v>
      </c>
      <c r="M42" s="124" t="s">
        <v>0</v>
      </c>
      <c r="N42" s="125" t="s">
        <v>1</v>
      </c>
      <c r="O42" s="124" t="s">
        <v>2</v>
      </c>
      <c r="P42" s="125" t="s">
        <v>3</v>
      </c>
      <c r="Q42" s="126" t="s">
        <v>54</v>
      </c>
      <c r="R42" s="127"/>
    </row>
    <row r="43" spans="1:18" ht="15">
      <c r="A43" s="64"/>
      <c r="B43" s="45">
        <v>81</v>
      </c>
      <c r="C43" s="88" t="s">
        <v>32</v>
      </c>
      <c r="D43" s="88" t="s">
        <v>33</v>
      </c>
      <c r="E43" s="89">
        <v>0.85</v>
      </c>
      <c r="F43" s="89">
        <v>0.85</v>
      </c>
      <c r="G43" s="89">
        <v>0.85</v>
      </c>
      <c r="H43" s="89">
        <v>0.85</v>
      </c>
      <c r="I43" s="156">
        <v>0.55</v>
      </c>
      <c r="J43" s="89"/>
      <c r="K43" s="86">
        <f>203.77*1788/1000</f>
        <v>364.34076</v>
      </c>
      <c r="L43" s="128">
        <f>+K43*E43</f>
        <v>309.689646</v>
      </c>
      <c r="M43" s="129">
        <f>+K43*F43*1.04</f>
        <v>322.07723183999997</v>
      </c>
      <c r="N43" s="129">
        <f>+K43*G43*1.04*1.04</f>
        <v>334.9603211136</v>
      </c>
      <c r="O43" s="129">
        <f>+K43*H43*1.04*1.04*1.04</f>
        <v>348.358733958144</v>
      </c>
      <c r="P43" s="129">
        <f>+K43*I43*1.04*1.04*1.04*1.04</f>
        <v>234.42493626359808</v>
      </c>
      <c r="Q43" s="130">
        <f>SUM(L43:P43)</f>
        <v>1549.5108691753421</v>
      </c>
      <c r="R43" s="131"/>
    </row>
    <row r="44" spans="1:18" ht="15">
      <c r="A44" s="65"/>
      <c r="B44" s="6">
        <v>81</v>
      </c>
      <c r="C44" s="90" t="s">
        <v>32</v>
      </c>
      <c r="D44" s="90" t="s">
        <v>34</v>
      </c>
      <c r="E44" s="91">
        <v>0.31</v>
      </c>
      <c r="F44" s="91">
        <v>0.31</v>
      </c>
      <c r="G44" s="111">
        <v>0.07</v>
      </c>
      <c r="H44" s="111">
        <v>0</v>
      </c>
      <c r="I44" s="112">
        <v>0</v>
      </c>
      <c r="J44" s="113"/>
      <c r="K44" s="83">
        <f>203.77*1788/1000</f>
        <v>364.34076</v>
      </c>
      <c r="L44" s="132">
        <f aca="true" t="shared" si="0" ref="L44:L69">+K44*E44</f>
        <v>112.9456356</v>
      </c>
      <c r="M44" s="133">
        <f aca="true" t="shared" si="1" ref="M44:M69">+K44*F44*1.04</f>
        <v>117.46346102400001</v>
      </c>
      <c r="N44" s="134">
        <f aca="true" t="shared" si="2" ref="N44:N69">+K44*G44*1.04*1.04</f>
        <v>27.584967621120004</v>
      </c>
      <c r="O44" s="134">
        <f aca="true" t="shared" si="3" ref="O44:O69">+K44*H44*1.04*1.04*1.04</f>
        <v>0</v>
      </c>
      <c r="P44" s="134">
        <f aca="true" t="shared" si="4" ref="P44:P69">+K44*I44*1.04*1.04*1.04*1.04</f>
        <v>0</v>
      </c>
      <c r="Q44" s="135">
        <f aca="true" t="shared" si="5" ref="Q44:Q79">SUM(L44:P44)</f>
        <v>257.99406424512006</v>
      </c>
      <c r="R44" s="136"/>
    </row>
    <row r="45" spans="1:18" ht="15">
      <c r="A45" s="65"/>
      <c r="B45" s="6">
        <v>81</v>
      </c>
      <c r="C45" s="114" t="s">
        <v>36</v>
      </c>
      <c r="D45" s="114" t="s">
        <v>29</v>
      </c>
      <c r="E45" s="113">
        <v>0.62</v>
      </c>
      <c r="F45" s="113">
        <v>0.5</v>
      </c>
      <c r="G45" s="113">
        <v>0.5</v>
      </c>
      <c r="H45" s="113">
        <v>0.5</v>
      </c>
      <c r="I45" s="115">
        <f>+H45*0.75</f>
        <v>0.375</v>
      </c>
      <c r="J45" s="113">
        <f>SUM(E43:I46)</f>
        <v>8.295</v>
      </c>
      <c r="K45" s="83">
        <f>130.66*1768/1000</f>
        <v>231.00688</v>
      </c>
      <c r="L45" s="137">
        <f t="shared" si="0"/>
        <v>143.2242656</v>
      </c>
      <c r="M45" s="134">
        <f t="shared" si="1"/>
        <v>120.1235776</v>
      </c>
      <c r="N45" s="134">
        <f t="shared" si="2"/>
        <v>124.92852070400001</v>
      </c>
      <c r="O45" s="134">
        <f t="shared" si="3"/>
        <v>129.92566153216</v>
      </c>
      <c r="P45" s="134">
        <f t="shared" si="4"/>
        <v>101.34201599508481</v>
      </c>
      <c r="Q45" s="135">
        <f t="shared" si="5"/>
        <v>619.5440414312449</v>
      </c>
      <c r="R45" s="136"/>
    </row>
    <row r="46" spans="1:18" ht="15">
      <c r="A46" s="65"/>
      <c r="B46" s="6">
        <v>81</v>
      </c>
      <c r="C46" s="114" t="s">
        <v>37</v>
      </c>
      <c r="D46" s="114" t="s">
        <v>38</v>
      </c>
      <c r="E46" s="113">
        <v>0.41</v>
      </c>
      <c r="F46" s="113">
        <v>0.3</v>
      </c>
      <c r="G46" s="113">
        <v>0.3</v>
      </c>
      <c r="H46" s="113">
        <v>0.15</v>
      </c>
      <c r="I46" s="115">
        <v>0</v>
      </c>
      <c r="J46" s="113"/>
      <c r="K46" s="83">
        <f>43.37*2080/1000</f>
        <v>90.2096</v>
      </c>
      <c r="L46" s="132">
        <f t="shared" si="0"/>
        <v>36.985935999999995</v>
      </c>
      <c r="M46" s="133">
        <f t="shared" si="1"/>
        <v>28.145395199999996</v>
      </c>
      <c r="N46" s="133">
        <f t="shared" si="2"/>
        <v>29.271211007999998</v>
      </c>
      <c r="O46" s="133">
        <f t="shared" si="3"/>
        <v>15.22102972416</v>
      </c>
      <c r="P46" s="133">
        <f t="shared" si="4"/>
        <v>0</v>
      </c>
      <c r="Q46" s="135">
        <f t="shared" si="5"/>
        <v>109.62357193215999</v>
      </c>
      <c r="R46" s="136"/>
    </row>
    <row r="47" spans="1:18" ht="15">
      <c r="A47" s="65"/>
      <c r="B47" s="6">
        <v>81</v>
      </c>
      <c r="C47" s="92">
        <v>41</v>
      </c>
      <c r="D47" s="92" t="s">
        <v>6</v>
      </c>
      <c r="E47" s="93">
        <v>3</v>
      </c>
      <c r="F47" s="93">
        <v>6</v>
      </c>
      <c r="G47" s="93">
        <v>6</v>
      </c>
      <c r="H47" s="93">
        <v>2</v>
      </c>
      <c r="I47" s="157">
        <v>0</v>
      </c>
      <c r="J47" s="93"/>
      <c r="K47" s="83">
        <v>1.32</v>
      </c>
      <c r="L47" s="132">
        <f t="shared" si="0"/>
        <v>3.96</v>
      </c>
      <c r="M47" s="133">
        <f t="shared" si="1"/>
        <v>8.2368</v>
      </c>
      <c r="N47" s="133">
        <f t="shared" si="2"/>
        <v>8.566272000000001</v>
      </c>
      <c r="O47" s="133">
        <f t="shared" si="3"/>
        <v>2.9696409600000004</v>
      </c>
      <c r="P47" s="133">
        <f t="shared" si="4"/>
        <v>0</v>
      </c>
      <c r="Q47" s="135">
        <f t="shared" si="5"/>
        <v>23.73271296</v>
      </c>
      <c r="R47" s="136"/>
    </row>
    <row r="48" spans="1:18" ht="15">
      <c r="A48" s="65"/>
      <c r="B48" s="6">
        <v>81</v>
      </c>
      <c r="C48" s="92">
        <v>35</v>
      </c>
      <c r="D48" s="92" t="s">
        <v>19</v>
      </c>
      <c r="E48" s="93">
        <v>8</v>
      </c>
      <c r="F48" s="93">
        <v>8</v>
      </c>
      <c r="G48" s="93">
        <v>8</v>
      </c>
      <c r="H48" s="93">
        <v>4</v>
      </c>
      <c r="I48" s="157">
        <v>0</v>
      </c>
      <c r="J48" s="93"/>
      <c r="K48" s="83">
        <v>1.685</v>
      </c>
      <c r="L48" s="132">
        <f t="shared" si="0"/>
        <v>13.48</v>
      </c>
      <c r="M48" s="133">
        <f t="shared" si="1"/>
        <v>14.019200000000001</v>
      </c>
      <c r="N48" s="133">
        <f t="shared" si="2"/>
        <v>14.579968000000003</v>
      </c>
      <c r="O48" s="133">
        <f t="shared" si="3"/>
        <v>7.5815833600000015</v>
      </c>
      <c r="P48" s="133">
        <f t="shared" si="4"/>
        <v>0</v>
      </c>
      <c r="Q48" s="135">
        <f t="shared" si="5"/>
        <v>49.660751360000006</v>
      </c>
      <c r="R48" s="136"/>
    </row>
    <row r="49" spans="1:18" ht="15">
      <c r="A49" s="65"/>
      <c r="B49" s="6">
        <v>81</v>
      </c>
      <c r="C49" s="99" t="s">
        <v>55</v>
      </c>
      <c r="D49" s="99" t="s">
        <v>40</v>
      </c>
      <c r="E49" s="106">
        <v>0.25</v>
      </c>
      <c r="F49" s="91">
        <v>0.2</v>
      </c>
      <c r="G49" s="106">
        <v>0.1</v>
      </c>
      <c r="H49" s="106">
        <v>0.1</v>
      </c>
      <c r="I49" s="116">
        <v>0.1</v>
      </c>
      <c r="J49" s="106"/>
      <c r="K49" s="83">
        <f>185*1788/1000</f>
        <v>330.78</v>
      </c>
      <c r="L49" s="137">
        <f t="shared" si="0"/>
        <v>82.695</v>
      </c>
      <c r="M49" s="134">
        <f t="shared" si="1"/>
        <v>68.80224</v>
      </c>
      <c r="N49" s="134">
        <f t="shared" si="2"/>
        <v>35.7771648</v>
      </c>
      <c r="O49" s="134">
        <f t="shared" si="3"/>
        <v>37.208251392</v>
      </c>
      <c r="P49" s="134">
        <f t="shared" si="4"/>
        <v>38.69658144768</v>
      </c>
      <c r="Q49" s="135">
        <f t="shared" si="5"/>
        <v>263.17923763967997</v>
      </c>
      <c r="R49" s="136"/>
    </row>
    <row r="50" spans="1:18" ht="15">
      <c r="A50" s="65"/>
      <c r="B50" s="6">
        <v>81</v>
      </c>
      <c r="C50" s="99" t="s">
        <v>55</v>
      </c>
      <c r="D50" s="99" t="s">
        <v>41</v>
      </c>
      <c r="E50" s="106">
        <v>0.1</v>
      </c>
      <c r="F50" s="106">
        <v>0.1</v>
      </c>
      <c r="G50" s="106">
        <v>0.08</v>
      </c>
      <c r="H50" s="106">
        <v>0.05</v>
      </c>
      <c r="I50" s="116">
        <v>0</v>
      </c>
      <c r="J50" s="106">
        <f>SUM(E49:I51)</f>
        <v>1.3800000000000003</v>
      </c>
      <c r="K50" s="83">
        <f>137.64*1788/1000</f>
        <v>246.10031999999998</v>
      </c>
      <c r="L50" s="137">
        <f t="shared" si="0"/>
        <v>24.610032</v>
      </c>
      <c r="M50" s="134">
        <f t="shared" si="1"/>
        <v>25.59443328</v>
      </c>
      <c r="N50" s="134">
        <f t="shared" si="2"/>
        <v>21.29456848896</v>
      </c>
      <c r="O50" s="134">
        <f t="shared" si="3"/>
        <v>13.841469517824002</v>
      </c>
      <c r="P50" s="134">
        <f t="shared" si="4"/>
        <v>0</v>
      </c>
      <c r="Q50" s="135">
        <f t="shared" si="5"/>
        <v>85.34050328678401</v>
      </c>
      <c r="R50" s="136"/>
    </row>
    <row r="51" spans="1:18" ht="15">
      <c r="A51" s="65"/>
      <c r="B51" s="6">
        <v>81</v>
      </c>
      <c r="C51" s="99" t="s">
        <v>55</v>
      </c>
      <c r="D51" s="99" t="s">
        <v>56</v>
      </c>
      <c r="E51" s="106">
        <v>0.1</v>
      </c>
      <c r="F51" s="106">
        <v>0.1</v>
      </c>
      <c r="G51" s="106">
        <v>0.1</v>
      </c>
      <c r="H51" s="106">
        <v>0</v>
      </c>
      <c r="I51" s="116">
        <v>0</v>
      </c>
      <c r="J51" s="106"/>
      <c r="K51" s="83">
        <f>82.17*1788/1000</f>
        <v>146.91996</v>
      </c>
      <c r="L51" s="137">
        <f>+K51*E51</f>
        <v>14.691996000000001</v>
      </c>
      <c r="M51" s="134">
        <f>+K51*F51*1.04</f>
        <v>15.279675840000001</v>
      </c>
      <c r="N51" s="134">
        <f>+K51*G51*1.04*1.04</f>
        <v>15.890862873600001</v>
      </c>
      <c r="O51" s="134">
        <f>+K51*H51*1.04*1.04*1.04</f>
        <v>0</v>
      </c>
      <c r="P51" s="134">
        <f>+K51*I51*1.04*1.04*1.04*1.04</f>
        <v>0</v>
      </c>
      <c r="Q51" s="135">
        <f>SUM(L51:P51)</f>
        <v>45.862534713600006</v>
      </c>
      <c r="R51" s="136"/>
    </row>
    <row r="52" spans="1:18" ht="15">
      <c r="A52" s="65"/>
      <c r="B52" s="6">
        <v>81</v>
      </c>
      <c r="C52" s="92" t="s">
        <v>45</v>
      </c>
      <c r="D52" s="92" t="s">
        <v>6</v>
      </c>
      <c r="E52" s="93">
        <v>3</v>
      </c>
      <c r="F52" s="93">
        <v>3</v>
      </c>
      <c r="G52" s="93">
        <v>2</v>
      </c>
      <c r="H52" s="93">
        <v>0</v>
      </c>
      <c r="I52" s="157">
        <v>0</v>
      </c>
      <c r="J52" s="93"/>
      <c r="K52" s="83">
        <v>1</v>
      </c>
      <c r="L52" s="132">
        <f t="shared" si="0"/>
        <v>3</v>
      </c>
      <c r="M52" s="133">
        <f t="shared" si="1"/>
        <v>3.12</v>
      </c>
      <c r="N52" s="133">
        <f t="shared" si="2"/>
        <v>2.1632000000000002</v>
      </c>
      <c r="O52" s="133">
        <f t="shared" si="3"/>
        <v>0</v>
      </c>
      <c r="P52" s="133">
        <f t="shared" si="4"/>
        <v>0</v>
      </c>
      <c r="Q52" s="135">
        <f t="shared" si="5"/>
        <v>8.2832</v>
      </c>
      <c r="R52" s="136"/>
    </row>
    <row r="53" spans="1:18" ht="15">
      <c r="A53" s="66"/>
      <c r="B53" s="46">
        <v>81</v>
      </c>
      <c r="C53" s="94" t="s">
        <v>46</v>
      </c>
      <c r="D53" s="94" t="s">
        <v>19</v>
      </c>
      <c r="E53" s="95">
        <v>4</v>
      </c>
      <c r="F53" s="95">
        <v>4</v>
      </c>
      <c r="G53" s="95">
        <v>3</v>
      </c>
      <c r="H53" s="95">
        <v>2</v>
      </c>
      <c r="I53" s="158">
        <v>0</v>
      </c>
      <c r="J53" s="95"/>
      <c r="K53" s="87">
        <v>1</v>
      </c>
      <c r="L53" s="138">
        <f t="shared" si="0"/>
        <v>4</v>
      </c>
      <c r="M53" s="139">
        <f t="shared" si="1"/>
        <v>4.16</v>
      </c>
      <c r="N53" s="139">
        <f t="shared" si="2"/>
        <v>3.2448</v>
      </c>
      <c r="O53" s="139">
        <f t="shared" si="3"/>
        <v>2.249728</v>
      </c>
      <c r="P53" s="139">
        <f t="shared" si="4"/>
        <v>0</v>
      </c>
      <c r="Q53" s="140">
        <f t="shared" si="5"/>
        <v>13.654527999999999</v>
      </c>
      <c r="R53" s="141">
        <f>SUM(L43:P53)</f>
        <v>3026.3860147439314</v>
      </c>
    </row>
    <row r="54" spans="1:18" ht="15">
      <c r="A54" s="64"/>
      <c r="B54" s="48">
        <v>82</v>
      </c>
      <c r="C54" s="96" t="s">
        <v>14</v>
      </c>
      <c r="D54" s="96" t="s">
        <v>7</v>
      </c>
      <c r="E54" s="97">
        <v>0.825</v>
      </c>
      <c r="F54" s="98">
        <v>0.85</v>
      </c>
      <c r="G54" s="98">
        <v>0.8</v>
      </c>
      <c r="H54" s="98">
        <v>0.8</v>
      </c>
      <c r="I54" s="159">
        <v>0.6</v>
      </c>
      <c r="J54" s="98"/>
      <c r="K54" s="86">
        <f>152.56*1726/1000</f>
        <v>263.31856</v>
      </c>
      <c r="L54" s="142">
        <f t="shared" si="0"/>
        <v>217.237812</v>
      </c>
      <c r="M54" s="143">
        <f t="shared" si="1"/>
        <v>232.77360704</v>
      </c>
      <c r="N54" s="143">
        <f t="shared" si="2"/>
        <v>227.84428359680004</v>
      </c>
      <c r="O54" s="143">
        <f t="shared" si="3"/>
        <v>236.95805494067204</v>
      </c>
      <c r="P54" s="143">
        <f t="shared" si="4"/>
        <v>184.82728285372417</v>
      </c>
      <c r="Q54" s="130">
        <f t="shared" si="5"/>
        <v>1099.6410404311962</v>
      </c>
      <c r="R54" s="144"/>
    </row>
    <row r="55" spans="1:18" ht="15">
      <c r="A55" s="65"/>
      <c r="B55" s="6">
        <v>82</v>
      </c>
      <c r="C55" s="114" t="s">
        <v>35</v>
      </c>
      <c r="D55" s="114" t="s">
        <v>10</v>
      </c>
      <c r="E55" s="113">
        <v>0.9</v>
      </c>
      <c r="F55" s="113">
        <v>0.75</v>
      </c>
      <c r="G55" s="113">
        <v>0.6</v>
      </c>
      <c r="H55" s="113">
        <v>0.5</v>
      </c>
      <c r="I55" s="115">
        <v>0.2</v>
      </c>
      <c r="J55" s="113"/>
      <c r="K55" s="83">
        <f>167.94*1768/1000</f>
        <v>296.91792</v>
      </c>
      <c r="L55" s="137">
        <f>+K55*E55</f>
        <v>267.226128</v>
      </c>
      <c r="M55" s="134">
        <f>+K55*F55*1.04</f>
        <v>231.5959776</v>
      </c>
      <c r="N55" s="134">
        <f>+K55*G55*1.04*1.04</f>
        <v>192.6878533632</v>
      </c>
      <c r="O55" s="134">
        <f>+K55*H55*1.04*1.04*1.04</f>
        <v>166.99613958144</v>
      </c>
      <c r="P55" s="134">
        <f>+K55*I55*1.04*1.04*1.04*1.04</f>
        <v>69.47039406587905</v>
      </c>
      <c r="Q55" s="135">
        <f>SUM(L55:P55)</f>
        <v>927.9764926105191</v>
      </c>
      <c r="R55" s="136"/>
    </row>
    <row r="56" spans="1:18" ht="15">
      <c r="A56" s="65"/>
      <c r="B56" s="43">
        <v>82</v>
      </c>
      <c r="C56" s="99" t="s">
        <v>14</v>
      </c>
      <c r="D56" s="99" t="s">
        <v>8</v>
      </c>
      <c r="E56" s="117">
        <v>0.51</v>
      </c>
      <c r="F56" s="118">
        <v>0.6</v>
      </c>
      <c r="G56" s="118">
        <v>0.5</v>
      </c>
      <c r="H56" s="118">
        <v>0.4</v>
      </c>
      <c r="I56" s="119">
        <v>0</v>
      </c>
      <c r="J56" s="118"/>
      <c r="K56" s="83">
        <f>152.56*1726/1000</f>
        <v>263.31856</v>
      </c>
      <c r="L56" s="145">
        <f t="shared" si="0"/>
        <v>134.29246559999999</v>
      </c>
      <c r="M56" s="146">
        <f t="shared" si="1"/>
        <v>164.31078144</v>
      </c>
      <c r="N56" s="146">
        <f t="shared" si="2"/>
        <v>142.402677248</v>
      </c>
      <c r="O56" s="146">
        <f t="shared" si="3"/>
        <v>118.47902747033602</v>
      </c>
      <c r="P56" s="146">
        <f t="shared" si="4"/>
        <v>0</v>
      </c>
      <c r="Q56" s="135">
        <f t="shared" si="5"/>
        <v>559.484951758336</v>
      </c>
      <c r="R56" s="147"/>
    </row>
    <row r="57" spans="1:18" ht="15">
      <c r="A57" s="65"/>
      <c r="B57" s="43">
        <v>82</v>
      </c>
      <c r="C57" s="99" t="s">
        <v>14</v>
      </c>
      <c r="D57" s="99" t="s">
        <v>9</v>
      </c>
      <c r="E57" s="117">
        <v>0.46</v>
      </c>
      <c r="F57" s="118">
        <v>0.75</v>
      </c>
      <c r="G57" s="118">
        <v>0.5</v>
      </c>
      <c r="H57" s="118">
        <v>0.4</v>
      </c>
      <c r="I57" s="119">
        <v>0</v>
      </c>
      <c r="J57" s="118">
        <f>SUM(E54:I61)</f>
        <v>15.08813731170336</v>
      </c>
      <c r="K57" s="83">
        <f>152.56*1726/1000</f>
        <v>263.31856</v>
      </c>
      <c r="L57" s="145">
        <f t="shared" si="0"/>
        <v>121.1265376</v>
      </c>
      <c r="M57" s="146">
        <f t="shared" si="1"/>
        <v>205.3884768</v>
      </c>
      <c r="N57" s="146">
        <f t="shared" si="2"/>
        <v>142.402677248</v>
      </c>
      <c r="O57" s="146">
        <f t="shared" si="3"/>
        <v>118.47902747033602</v>
      </c>
      <c r="P57" s="146">
        <f t="shared" si="4"/>
        <v>0</v>
      </c>
      <c r="Q57" s="135">
        <f t="shared" si="5"/>
        <v>587.3967191183361</v>
      </c>
      <c r="R57" s="147"/>
    </row>
    <row r="58" spans="1:18" ht="15">
      <c r="A58" s="65"/>
      <c r="B58" s="43">
        <v>82</v>
      </c>
      <c r="C58" s="99" t="s">
        <v>15</v>
      </c>
      <c r="D58" s="99" t="s">
        <v>11</v>
      </c>
      <c r="E58" s="117">
        <v>0.28063731170336037</v>
      </c>
      <c r="F58" s="118">
        <v>0.35</v>
      </c>
      <c r="G58" s="118">
        <v>0.35</v>
      </c>
      <c r="H58" s="118">
        <v>0.35</v>
      </c>
      <c r="I58" s="119">
        <f>0.35*0.75</f>
        <v>0.26249999999999996</v>
      </c>
      <c r="J58" s="118"/>
      <c r="K58" s="83">
        <f>152.56*1726/1000</f>
        <v>263.31856</v>
      </c>
      <c r="L58" s="145">
        <f t="shared" si="0"/>
        <v>73.8970128</v>
      </c>
      <c r="M58" s="146">
        <f t="shared" si="1"/>
        <v>95.84795583999998</v>
      </c>
      <c r="N58" s="146">
        <f t="shared" si="2"/>
        <v>99.68187407359999</v>
      </c>
      <c r="O58" s="146">
        <f t="shared" si="3"/>
        <v>103.66914903654398</v>
      </c>
      <c r="P58" s="146">
        <f t="shared" si="4"/>
        <v>80.8619362485043</v>
      </c>
      <c r="Q58" s="135">
        <f t="shared" si="5"/>
        <v>453.9579279986483</v>
      </c>
      <c r="R58" s="147"/>
    </row>
    <row r="59" spans="1:18" ht="15">
      <c r="A59" s="65"/>
      <c r="B59" s="43">
        <v>82</v>
      </c>
      <c r="C59" s="99" t="s">
        <v>15</v>
      </c>
      <c r="D59" s="99" t="s">
        <v>12</v>
      </c>
      <c r="E59" s="117">
        <v>0</v>
      </c>
      <c r="F59" s="117">
        <v>0</v>
      </c>
      <c r="G59" s="117">
        <v>0</v>
      </c>
      <c r="H59" s="117">
        <v>0</v>
      </c>
      <c r="I59" s="163">
        <v>0</v>
      </c>
      <c r="J59" s="118"/>
      <c r="K59" s="83">
        <f>152.56*1726/1000</f>
        <v>263.31856</v>
      </c>
      <c r="L59" s="145">
        <f t="shared" si="0"/>
        <v>0</v>
      </c>
      <c r="M59" s="146">
        <f t="shared" si="1"/>
        <v>0</v>
      </c>
      <c r="N59" s="146">
        <f t="shared" si="2"/>
        <v>0</v>
      </c>
      <c r="O59" s="146">
        <f t="shared" si="3"/>
        <v>0</v>
      </c>
      <c r="P59" s="146">
        <f t="shared" si="4"/>
        <v>0</v>
      </c>
      <c r="Q59" s="135">
        <f t="shared" si="5"/>
        <v>0</v>
      </c>
      <c r="R59" s="147"/>
    </row>
    <row r="60" spans="1:18" ht="15">
      <c r="A60" s="65"/>
      <c r="B60" s="43">
        <v>82</v>
      </c>
      <c r="C60" s="99" t="s">
        <v>16</v>
      </c>
      <c r="D60" s="99" t="s">
        <v>13</v>
      </c>
      <c r="E60" s="117">
        <v>0.025</v>
      </c>
      <c r="F60" s="118">
        <v>0.05</v>
      </c>
      <c r="G60" s="118">
        <v>0.15</v>
      </c>
      <c r="H60" s="118">
        <v>0.25</v>
      </c>
      <c r="I60" s="119">
        <f>0.25/2</f>
        <v>0.125</v>
      </c>
      <c r="J60" s="118"/>
      <c r="K60" s="83">
        <f>76.86/1.726</f>
        <v>44.53070683661645</v>
      </c>
      <c r="L60" s="145">
        <f t="shared" si="0"/>
        <v>1.1132676709154115</v>
      </c>
      <c r="M60" s="146">
        <f t="shared" si="1"/>
        <v>2.315596755504056</v>
      </c>
      <c r="N60" s="146">
        <f t="shared" si="2"/>
        <v>7.224661877172653</v>
      </c>
      <c r="O60" s="146">
        <f t="shared" si="3"/>
        <v>12.522747253765935</v>
      </c>
      <c r="P60" s="146">
        <f t="shared" si="4"/>
        <v>6.5118285719582865</v>
      </c>
      <c r="Q60" s="135">
        <f t="shared" si="5"/>
        <v>29.68810212931634</v>
      </c>
      <c r="R60" s="147"/>
    </row>
    <row r="61" spans="1:18" ht="15">
      <c r="A61" s="65"/>
      <c r="B61" s="43">
        <v>82</v>
      </c>
      <c r="C61" s="99" t="s">
        <v>17</v>
      </c>
      <c r="D61" s="99" t="s">
        <v>18</v>
      </c>
      <c r="E61" s="117">
        <v>0.45</v>
      </c>
      <c r="F61" s="118">
        <v>0.5</v>
      </c>
      <c r="G61" s="118">
        <v>0.5</v>
      </c>
      <c r="H61" s="118">
        <v>0.5</v>
      </c>
      <c r="I61" s="119">
        <v>0</v>
      </c>
      <c r="J61" s="118"/>
      <c r="K61" s="83">
        <f>99.88*1.726</f>
        <v>172.39288</v>
      </c>
      <c r="L61" s="145">
        <f t="shared" si="0"/>
        <v>77.576796</v>
      </c>
      <c r="M61" s="146">
        <f t="shared" si="1"/>
        <v>89.6442976</v>
      </c>
      <c r="N61" s="146">
        <f t="shared" si="2"/>
        <v>93.230069504</v>
      </c>
      <c r="O61" s="146">
        <f t="shared" si="3"/>
        <v>96.95927228416001</v>
      </c>
      <c r="P61" s="146">
        <f t="shared" si="4"/>
        <v>0</v>
      </c>
      <c r="Q61" s="135">
        <f t="shared" si="5"/>
        <v>357.41043538816</v>
      </c>
      <c r="R61" s="147"/>
    </row>
    <row r="62" spans="1:18" ht="15">
      <c r="A62" s="65"/>
      <c r="B62" s="43">
        <v>82</v>
      </c>
      <c r="C62" s="92">
        <v>35</v>
      </c>
      <c r="D62" s="92" t="s">
        <v>19</v>
      </c>
      <c r="E62" s="100">
        <v>4</v>
      </c>
      <c r="F62" s="100">
        <v>8</v>
      </c>
      <c r="G62" s="100">
        <v>7</v>
      </c>
      <c r="H62" s="100">
        <v>5</v>
      </c>
      <c r="I62" s="160">
        <v>3</v>
      </c>
      <c r="J62" s="100"/>
      <c r="K62" s="83">
        <v>1.685</v>
      </c>
      <c r="L62" s="145">
        <f t="shared" si="0"/>
        <v>6.74</v>
      </c>
      <c r="M62" s="146">
        <f t="shared" si="1"/>
        <v>14.019200000000001</v>
      </c>
      <c r="N62" s="146">
        <f t="shared" si="2"/>
        <v>12.757472</v>
      </c>
      <c r="O62" s="146">
        <f t="shared" si="3"/>
        <v>9.476979200000002</v>
      </c>
      <c r="P62" s="146">
        <f t="shared" si="4"/>
        <v>5.913635020800001</v>
      </c>
      <c r="Q62" s="135">
        <f t="shared" si="5"/>
        <v>48.9072862208</v>
      </c>
      <c r="R62" s="147"/>
    </row>
    <row r="63" spans="1:18" ht="15">
      <c r="A63" s="66"/>
      <c r="B63" s="49">
        <v>82</v>
      </c>
      <c r="C63" s="94">
        <v>41</v>
      </c>
      <c r="D63" s="94" t="s">
        <v>6</v>
      </c>
      <c r="E63" s="101"/>
      <c r="F63" s="101">
        <v>30</v>
      </c>
      <c r="G63" s="101"/>
      <c r="H63" s="101"/>
      <c r="I63" s="102"/>
      <c r="J63" s="101"/>
      <c r="K63" s="87">
        <v>1.32</v>
      </c>
      <c r="L63" s="148">
        <f t="shared" si="0"/>
        <v>0</v>
      </c>
      <c r="M63" s="149">
        <f t="shared" si="1"/>
        <v>41.184000000000005</v>
      </c>
      <c r="N63" s="149">
        <f t="shared" si="2"/>
        <v>0</v>
      </c>
      <c r="O63" s="149">
        <f t="shared" si="3"/>
        <v>0</v>
      </c>
      <c r="P63" s="149">
        <f t="shared" si="4"/>
        <v>0</v>
      </c>
      <c r="Q63" s="140">
        <f t="shared" si="5"/>
        <v>41.184000000000005</v>
      </c>
      <c r="R63" s="141">
        <f>SUM(L54:P63)</f>
        <v>4105.64695565531</v>
      </c>
    </row>
    <row r="64" spans="1:18" ht="15">
      <c r="A64" s="64"/>
      <c r="B64" s="45">
        <v>84</v>
      </c>
      <c r="C64" s="96" t="s">
        <v>43</v>
      </c>
      <c r="D64" s="96" t="s">
        <v>48</v>
      </c>
      <c r="E64" s="103">
        <v>0.25</v>
      </c>
      <c r="F64" s="103"/>
      <c r="G64" s="103"/>
      <c r="H64" s="104"/>
      <c r="I64" s="105"/>
      <c r="J64" s="120"/>
      <c r="K64" s="86">
        <f>140.72*1.788</f>
        <v>251.60736</v>
      </c>
      <c r="L64" s="142">
        <f t="shared" si="0"/>
        <v>62.90184</v>
      </c>
      <c r="M64" s="143">
        <f t="shared" si="1"/>
        <v>0</v>
      </c>
      <c r="N64" s="143">
        <f t="shared" si="2"/>
        <v>0</v>
      </c>
      <c r="O64" s="143">
        <f t="shared" si="3"/>
        <v>0</v>
      </c>
      <c r="P64" s="143">
        <f t="shared" si="4"/>
        <v>0</v>
      </c>
      <c r="Q64" s="130">
        <f t="shared" si="5"/>
        <v>62.90184</v>
      </c>
      <c r="R64" s="144"/>
    </row>
    <row r="65" spans="1:18" ht="15">
      <c r="A65" s="65"/>
      <c r="B65" s="6">
        <v>84</v>
      </c>
      <c r="C65" s="99" t="s">
        <v>43</v>
      </c>
      <c r="D65" s="99" t="s">
        <v>49</v>
      </c>
      <c r="E65" s="106">
        <v>0.15</v>
      </c>
      <c r="F65" s="106">
        <v>0.03</v>
      </c>
      <c r="G65" s="106">
        <v>0.03</v>
      </c>
      <c r="H65" s="106"/>
      <c r="I65" s="116"/>
      <c r="J65" s="106">
        <f>SUM(E64:I67)</f>
        <v>2.1</v>
      </c>
      <c r="K65" s="83">
        <f>140.72*1.788</f>
        <v>251.60736</v>
      </c>
      <c r="L65" s="145">
        <f t="shared" si="0"/>
        <v>37.741104</v>
      </c>
      <c r="M65" s="146">
        <f t="shared" si="1"/>
        <v>7.850149632</v>
      </c>
      <c r="N65" s="146">
        <f t="shared" si="2"/>
        <v>8.16415561728</v>
      </c>
      <c r="O65" s="146">
        <f t="shared" si="3"/>
        <v>0</v>
      </c>
      <c r="P65" s="146">
        <f t="shared" si="4"/>
        <v>0</v>
      </c>
      <c r="Q65" s="150">
        <f t="shared" si="5"/>
        <v>53.75540924928</v>
      </c>
      <c r="R65" s="147"/>
    </row>
    <row r="66" spans="1:18" ht="15">
      <c r="A66" s="65"/>
      <c r="B66" s="6">
        <v>84</v>
      </c>
      <c r="C66" s="99" t="s">
        <v>43</v>
      </c>
      <c r="D66" s="99" t="s">
        <v>50</v>
      </c>
      <c r="E66" s="106">
        <v>0.36</v>
      </c>
      <c r="F66" s="106">
        <v>0.36</v>
      </c>
      <c r="G66" s="106">
        <v>0.3</v>
      </c>
      <c r="H66" s="106">
        <v>0</v>
      </c>
      <c r="I66" s="116">
        <v>0</v>
      </c>
      <c r="J66" s="106"/>
      <c r="K66" s="83">
        <f>140.72*1.788</f>
        <v>251.60736</v>
      </c>
      <c r="L66" s="145">
        <f t="shared" si="0"/>
        <v>90.57864959999999</v>
      </c>
      <c r="M66" s="146">
        <f t="shared" si="1"/>
        <v>94.201795584</v>
      </c>
      <c r="N66" s="146">
        <f t="shared" si="2"/>
        <v>81.64155617280001</v>
      </c>
      <c r="O66" s="146">
        <f t="shared" si="3"/>
        <v>0</v>
      </c>
      <c r="P66" s="146">
        <f t="shared" si="4"/>
        <v>0</v>
      </c>
      <c r="Q66" s="135">
        <f t="shared" si="5"/>
        <v>266.42200135679997</v>
      </c>
      <c r="R66" s="147"/>
    </row>
    <row r="67" spans="1:18" ht="15">
      <c r="A67" s="65"/>
      <c r="B67" s="6">
        <v>84</v>
      </c>
      <c r="C67" s="99" t="s">
        <v>44</v>
      </c>
      <c r="D67" s="99" t="s">
        <v>51</v>
      </c>
      <c r="E67" s="106">
        <v>0.62</v>
      </c>
      <c r="F67" s="106">
        <v>0</v>
      </c>
      <c r="G67" s="121"/>
      <c r="H67" s="121"/>
      <c r="I67" s="122"/>
      <c r="J67" s="123"/>
      <c r="K67" s="83">
        <f>152.56*1.726</f>
        <v>263.31856</v>
      </c>
      <c r="L67" s="145">
        <f t="shared" si="0"/>
        <v>163.2575072</v>
      </c>
      <c r="M67" s="146">
        <f t="shared" si="1"/>
        <v>0</v>
      </c>
      <c r="N67" s="146">
        <f t="shared" si="2"/>
        <v>0</v>
      </c>
      <c r="O67" s="146">
        <f t="shared" si="3"/>
        <v>0</v>
      </c>
      <c r="P67" s="146">
        <f t="shared" si="4"/>
        <v>0</v>
      </c>
      <c r="Q67" s="135">
        <f t="shared" si="5"/>
        <v>163.2575072</v>
      </c>
      <c r="R67" s="147"/>
    </row>
    <row r="68" spans="1:18" ht="15">
      <c r="A68" s="65"/>
      <c r="B68" s="6">
        <v>84</v>
      </c>
      <c r="C68" s="92">
        <v>35</v>
      </c>
      <c r="D68" s="92" t="s">
        <v>19</v>
      </c>
      <c r="E68" s="107">
        <v>5</v>
      </c>
      <c r="F68" s="107">
        <v>1</v>
      </c>
      <c r="G68" s="107">
        <v>1</v>
      </c>
      <c r="H68" s="161">
        <v>0</v>
      </c>
      <c r="I68" s="164">
        <v>0</v>
      </c>
      <c r="J68" s="107"/>
      <c r="K68" s="83">
        <v>1.685</v>
      </c>
      <c r="L68" s="145">
        <f t="shared" si="0"/>
        <v>8.425</v>
      </c>
      <c r="M68" s="146">
        <f t="shared" si="1"/>
        <v>1.7524000000000002</v>
      </c>
      <c r="N68" s="146">
        <f t="shared" si="2"/>
        <v>1.8224960000000003</v>
      </c>
      <c r="O68" s="146">
        <f t="shared" si="3"/>
        <v>0</v>
      </c>
      <c r="P68" s="146">
        <f t="shared" si="4"/>
        <v>0</v>
      </c>
      <c r="Q68" s="135">
        <f t="shared" si="5"/>
        <v>11.999896000000001</v>
      </c>
      <c r="R68" s="147"/>
    </row>
    <row r="69" spans="1:18" ht="15">
      <c r="A69" s="65"/>
      <c r="B69" s="6">
        <v>84</v>
      </c>
      <c r="C69" s="92">
        <v>41</v>
      </c>
      <c r="D69" s="92" t="s">
        <v>6</v>
      </c>
      <c r="E69" s="107">
        <v>10</v>
      </c>
      <c r="F69" s="107">
        <v>3</v>
      </c>
      <c r="G69" s="107">
        <v>3</v>
      </c>
      <c r="H69" s="161">
        <v>0</v>
      </c>
      <c r="I69" s="164">
        <v>0</v>
      </c>
      <c r="J69" s="107"/>
      <c r="K69" s="83">
        <v>1.32</v>
      </c>
      <c r="L69" s="145">
        <f t="shared" si="0"/>
        <v>13.200000000000001</v>
      </c>
      <c r="M69" s="146">
        <f t="shared" si="1"/>
        <v>4.1184</v>
      </c>
      <c r="N69" s="146">
        <f t="shared" si="2"/>
        <v>4.283136000000001</v>
      </c>
      <c r="O69" s="146">
        <f t="shared" si="3"/>
        <v>0</v>
      </c>
      <c r="P69" s="146">
        <f t="shared" si="4"/>
        <v>0</v>
      </c>
      <c r="Q69" s="135">
        <f t="shared" si="5"/>
        <v>21.601536000000003</v>
      </c>
      <c r="R69" s="147"/>
    </row>
    <row r="70" spans="1:18" ht="15">
      <c r="A70" s="65"/>
      <c r="B70" s="6">
        <v>84</v>
      </c>
      <c r="C70" s="99" t="s">
        <v>39</v>
      </c>
      <c r="D70" s="99" t="s">
        <v>52</v>
      </c>
      <c r="E70" s="106">
        <v>0.33</v>
      </c>
      <c r="F70" s="106">
        <v>0.1</v>
      </c>
      <c r="G70" s="106">
        <v>0</v>
      </c>
      <c r="H70" s="106"/>
      <c r="I70" s="116"/>
      <c r="J70" s="106"/>
      <c r="K70" s="83">
        <f>185*1788/1000</f>
        <v>330.78</v>
      </c>
      <c r="L70" s="137">
        <f>+K70*E70</f>
        <v>109.1574</v>
      </c>
      <c r="M70" s="134">
        <f>+K70*F70*1.04</f>
        <v>34.40112</v>
      </c>
      <c r="N70" s="134">
        <f>+K70*G70*1.04*1.04</f>
        <v>0</v>
      </c>
      <c r="O70" s="134">
        <f>+K70*H70*1.04*1.04*1.04</f>
        <v>0</v>
      </c>
      <c r="P70" s="134">
        <f aca="true" t="shared" si="6" ref="P70:P79">+K70*I70*1.04*1.04*1.04*1.04</f>
        <v>0</v>
      </c>
      <c r="Q70" s="135">
        <f t="shared" si="5"/>
        <v>143.55852</v>
      </c>
      <c r="R70" s="147"/>
    </row>
    <row r="71" spans="1:18" ht="15">
      <c r="A71" s="65"/>
      <c r="B71" s="6">
        <v>84</v>
      </c>
      <c r="C71" s="99" t="s">
        <v>45</v>
      </c>
      <c r="D71" s="99" t="s">
        <v>6</v>
      </c>
      <c r="E71" s="121">
        <v>1.3</v>
      </c>
      <c r="F71" s="123"/>
      <c r="G71" s="121"/>
      <c r="H71" s="121"/>
      <c r="I71" s="122"/>
      <c r="J71" s="123"/>
      <c r="K71" s="83">
        <v>1</v>
      </c>
      <c r="L71" s="145">
        <f>+K71*E71</f>
        <v>1.3</v>
      </c>
      <c r="M71" s="146">
        <f>+K71*F71*1.04</f>
        <v>0</v>
      </c>
      <c r="N71" s="146">
        <f>+K71*G71*1.04*1.04</f>
        <v>0</v>
      </c>
      <c r="O71" s="146">
        <f>+K71*H71*1.04*1.04*1.04</f>
        <v>0</v>
      </c>
      <c r="P71" s="146">
        <f t="shared" si="6"/>
        <v>0</v>
      </c>
      <c r="Q71" s="135">
        <f t="shared" si="5"/>
        <v>1.3</v>
      </c>
      <c r="R71" s="147"/>
    </row>
    <row r="72" spans="1:18" ht="15">
      <c r="A72" s="66"/>
      <c r="B72" s="46">
        <v>84</v>
      </c>
      <c r="C72" s="46" t="s">
        <v>46</v>
      </c>
      <c r="D72" s="108" t="s">
        <v>19</v>
      </c>
      <c r="E72" s="109">
        <v>1.6</v>
      </c>
      <c r="F72" s="110"/>
      <c r="G72" s="109"/>
      <c r="H72" s="109"/>
      <c r="I72" s="162"/>
      <c r="J72" s="47"/>
      <c r="K72" s="87">
        <v>1</v>
      </c>
      <c r="L72" s="148">
        <f>+K72*E72</f>
        <v>1.6</v>
      </c>
      <c r="M72" s="149">
        <f>+K72*F72*1.04</f>
        <v>0</v>
      </c>
      <c r="N72" s="149">
        <f>+K72*G72*1.04*1.04</f>
        <v>0</v>
      </c>
      <c r="O72" s="149">
        <f>+K72*H72*1.04*1.04*1.04</f>
        <v>0</v>
      </c>
      <c r="P72" s="149">
        <f t="shared" si="6"/>
        <v>0</v>
      </c>
      <c r="Q72" s="140">
        <f t="shared" si="5"/>
        <v>1.6</v>
      </c>
      <c r="R72" s="151">
        <f>SUM(L64:P72)</f>
        <v>726.3967098060799</v>
      </c>
    </row>
    <row r="73" spans="1:18" ht="15">
      <c r="A73" s="65"/>
      <c r="B73" s="6">
        <v>85</v>
      </c>
      <c r="C73" s="6" t="s">
        <v>15</v>
      </c>
      <c r="D73" s="1" t="s">
        <v>61</v>
      </c>
      <c r="E73" s="152"/>
      <c r="F73" s="153"/>
      <c r="G73" s="152"/>
      <c r="H73" s="152"/>
      <c r="I73" s="168">
        <f>600/1726</f>
        <v>0.34762456546929316</v>
      </c>
      <c r="J73" s="9"/>
      <c r="K73" s="83">
        <f>152.56*1726/1000</f>
        <v>263.31856</v>
      </c>
      <c r="L73" s="142"/>
      <c r="M73" s="143"/>
      <c r="N73" s="143"/>
      <c r="O73" s="143"/>
      <c r="P73" s="146">
        <f t="shared" si="6"/>
        <v>107.08417314816002</v>
      </c>
      <c r="Q73" s="130">
        <f t="shared" si="5"/>
        <v>107.08417314816002</v>
      </c>
      <c r="R73" s="154"/>
    </row>
    <row r="74" spans="1:18" ht="15">
      <c r="A74" s="65"/>
      <c r="B74" s="6">
        <v>85</v>
      </c>
      <c r="C74" s="6" t="s">
        <v>57</v>
      </c>
      <c r="D74" s="1" t="s">
        <v>61</v>
      </c>
      <c r="E74" s="152"/>
      <c r="F74" s="153"/>
      <c r="G74" s="152"/>
      <c r="H74" s="152"/>
      <c r="I74" s="169">
        <f>720/1726</f>
        <v>0.4171494785631518</v>
      </c>
      <c r="J74" s="9"/>
      <c r="K74" s="83">
        <f>99.09*1726/1000</f>
        <v>171.02934</v>
      </c>
      <c r="L74" s="145"/>
      <c r="M74" s="146"/>
      <c r="N74" s="146"/>
      <c r="O74" s="146"/>
      <c r="P74" s="146">
        <f t="shared" si="6"/>
        <v>83.46332499148801</v>
      </c>
      <c r="Q74" s="135">
        <f t="shared" si="5"/>
        <v>83.46332499148801</v>
      </c>
      <c r="R74" s="155"/>
    </row>
    <row r="75" spans="1:18" ht="15">
      <c r="A75" s="65"/>
      <c r="B75" s="6">
        <v>85</v>
      </c>
      <c r="C75" s="6" t="s">
        <v>58</v>
      </c>
      <c r="D75" s="1" t="s">
        <v>61</v>
      </c>
      <c r="E75" s="152"/>
      <c r="F75" s="153"/>
      <c r="G75" s="152"/>
      <c r="H75" s="152"/>
      <c r="I75" s="170">
        <f>240/1726</f>
        <v>0.13904982618771727</v>
      </c>
      <c r="J75" s="9"/>
      <c r="K75" s="83">
        <f>142.32*1726/1000</f>
        <v>245.64431999999996</v>
      </c>
      <c r="L75" s="145"/>
      <c r="M75" s="146"/>
      <c r="N75" s="146"/>
      <c r="O75" s="146"/>
      <c r="P75" s="146">
        <f t="shared" si="6"/>
        <v>39.958624862208</v>
      </c>
      <c r="Q75" s="135">
        <f t="shared" si="5"/>
        <v>39.958624862208</v>
      </c>
      <c r="R75" s="155"/>
    </row>
    <row r="76" spans="1:18" ht="15">
      <c r="A76" s="65"/>
      <c r="B76" s="6">
        <v>85</v>
      </c>
      <c r="C76" s="6" t="s">
        <v>59</v>
      </c>
      <c r="D76" s="1" t="s">
        <v>61</v>
      </c>
      <c r="E76" s="152"/>
      <c r="F76" s="153"/>
      <c r="G76" s="152"/>
      <c r="H76" s="152"/>
      <c r="I76" s="170">
        <f>240/1726</f>
        <v>0.13904982618771727</v>
      </c>
      <c r="J76" s="9"/>
      <c r="K76" s="83">
        <f>143.06*1726/1000</f>
        <v>246.92156</v>
      </c>
      <c r="L76" s="145"/>
      <c r="M76" s="146"/>
      <c r="N76" s="146"/>
      <c r="O76" s="146"/>
      <c r="P76" s="146">
        <f t="shared" si="6"/>
        <v>40.16639174246401</v>
      </c>
      <c r="Q76" s="135">
        <f t="shared" si="5"/>
        <v>40.16639174246401</v>
      </c>
      <c r="R76" s="155"/>
    </row>
    <row r="77" spans="1:18" ht="15">
      <c r="A77" s="65"/>
      <c r="B77" s="6">
        <v>85</v>
      </c>
      <c r="C77" s="6" t="s">
        <v>60</v>
      </c>
      <c r="D77" s="1" t="s">
        <v>61</v>
      </c>
      <c r="E77" s="152"/>
      <c r="F77" s="153"/>
      <c r="G77" s="152"/>
      <c r="H77" s="152"/>
      <c r="I77" s="170">
        <f>480/1726</f>
        <v>0.27809965237543455</v>
      </c>
      <c r="J77" s="9"/>
      <c r="K77" s="83">
        <f>107.71*1726/1000</f>
        <v>185.90746</v>
      </c>
      <c r="L77" s="145"/>
      <c r="M77" s="146"/>
      <c r="N77" s="146"/>
      <c r="O77" s="146"/>
      <c r="P77" s="146">
        <f t="shared" si="6"/>
        <v>60.48262343884801</v>
      </c>
      <c r="Q77" s="135">
        <f t="shared" si="5"/>
        <v>60.48262343884801</v>
      </c>
      <c r="R77" s="155"/>
    </row>
    <row r="78" spans="1:18" ht="15">
      <c r="A78" s="65"/>
      <c r="B78" s="6">
        <v>85</v>
      </c>
      <c r="C78" s="6" t="s">
        <v>15</v>
      </c>
      <c r="D78" s="1" t="s">
        <v>62</v>
      </c>
      <c r="E78" s="152"/>
      <c r="F78" s="153"/>
      <c r="G78" s="152"/>
      <c r="H78" s="152"/>
      <c r="I78" s="170">
        <f>1580/1726</f>
        <v>0.9154113557358053</v>
      </c>
      <c r="J78" s="9"/>
      <c r="K78" s="83">
        <f>152.56*1726/1000</f>
        <v>263.31856</v>
      </c>
      <c r="L78" s="145"/>
      <c r="M78" s="146"/>
      <c r="N78" s="146"/>
      <c r="O78" s="146"/>
      <c r="P78" s="146">
        <f t="shared" si="6"/>
        <v>281.98832262348805</v>
      </c>
      <c r="Q78" s="135">
        <f t="shared" si="5"/>
        <v>281.98832262348805</v>
      </c>
      <c r="R78" s="155"/>
    </row>
    <row r="79" spans="1:18" ht="15.75" thickBot="1">
      <c r="A79" s="67"/>
      <c r="B79" s="56">
        <v>85</v>
      </c>
      <c r="C79" s="56" t="s">
        <v>57</v>
      </c>
      <c r="D79" s="56" t="s">
        <v>62</v>
      </c>
      <c r="E79" s="57"/>
      <c r="F79" s="58"/>
      <c r="G79" s="57"/>
      <c r="H79" s="57"/>
      <c r="I79" s="171">
        <f>1580/1726</f>
        <v>0.9154113557358053</v>
      </c>
      <c r="J79" s="172">
        <f>SUM(E73:I79)</f>
        <v>3.151796060254925</v>
      </c>
      <c r="K79" s="83">
        <f>99.09*1726/1000</f>
        <v>171.02934</v>
      </c>
      <c r="L79" s="167"/>
      <c r="M79" s="165"/>
      <c r="N79" s="165"/>
      <c r="O79" s="165"/>
      <c r="P79" s="165">
        <f t="shared" si="6"/>
        <v>183.155629842432</v>
      </c>
      <c r="Q79" s="166">
        <f t="shared" si="5"/>
        <v>183.155629842432</v>
      </c>
      <c r="R79" s="151">
        <f>SUM(L71:P79)</f>
        <v>799.199090649088</v>
      </c>
    </row>
    <row r="80" spans="1:20" ht="15">
      <c r="A80" s="173"/>
      <c r="B80" s="174"/>
      <c r="C80" s="174"/>
      <c r="D80" s="174"/>
      <c r="E80" s="174"/>
      <c r="F80" s="174"/>
      <c r="G80" s="174"/>
      <c r="H80" s="174"/>
      <c r="I80" s="174"/>
      <c r="J80" s="174"/>
      <c r="K80" s="175"/>
      <c r="L80" s="176">
        <v>2137</v>
      </c>
      <c r="M80" s="176">
        <v>1946</v>
      </c>
      <c r="N80" s="176">
        <v>1632</v>
      </c>
      <c r="O80" s="176">
        <v>1421</v>
      </c>
      <c r="P80" s="176">
        <v>1518</v>
      </c>
      <c r="Q80" s="176">
        <v>8655</v>
      </c>
      <c r="R80" s="174"/>
      <c r="S80" s="177"/>
      <c r="T80" s="177"/>
    </row>
    <row r="81" spans="1:20" ht="15">
      <c r="A81" s="173"/>
      <c r="B81" s="174"/>
      <c r="C81" s="174"/>
      <c r="D81" s="174"/>
      <c r="E81" s="174"/>
      <c r="F81" s="174"/>
      <c r="G81" s="174"/>
      <c r="H81" s="174"/>
      <c r="I81" s="174"/>
      <c r="J81" s="174"/>
      <c r="K81" s="175"/>
      <c r="L81" s="178"/>
      <c r="M81" s="178"/>
      <c r="N81" s="178"/>
      <c r="O81" s="178"/>
      <c r="P81" s="178"/>
      <c r="Q81" s="179"/>
      <c r="R81" s="180">
        <v>8655</v>
      </c>
      <c r="S81" s="177"/>
      <c r="T81" s="177"/>
    </row>
    <row r="82" spans="1:20" ht="15">
      <c r="A82" s="173"/>
      <c r="B82" s="200"/>
      <c r="C82" s="220" t="s">
        <v>63</v>
      </c>
      <c r="D82" s="221"/>
      <c r="E82" s="181" t="s">
        <v>42</v>
      </c>
      <c r="F82" s="182" t="s">
        <v>0</v>
      </c>
      <c r="G82" s="182" t="s">
        <v>1</v>
      </c>
      <c r="H82" s="182" t="s">
        <v>2</v>
      </c>
      <c r="I82" s="183" t="s">
        <v>3</v>
      </c>
      <c r="J82" s="174"/>
      <c r="K82" s="175"/>
      <c r="L82" s="178"/>
      <c r="M82" s="178"/>
      <c r="N82" s="178"/>
      <c r="O82" s="178"/>
      <c r="P82" s="178"/>
      <c r="Q82" s="179"/>
      <c r="R82" s="174"/>
      <c r="S82" s="177"/>
      <c r="T82" s="177"/>
    </row>
    <row r="83" spans="1:20" ht="15">
      <c r="A83" s="173"/>
      <c r="B83" s="184" t="s">
        <v>72</v>
      </c>
      <c r="C83" s="196"/>
      <c r="D83" s="197"/>
      <c r="E83" s="181"/>
      <c r="F83" s="182"/>
      <c r="G83" s="182"/>
      <c r="H83" s="182"/>
      <c r="I83" s="183"/>
      <c r="J83" s="174"/>
      <c r="K83" s="175"/>
      <c r="L83" s="178"/>
      <c r="M83" s="178"/>
      <c r="N83" s="178"/>
      <c r="O83" s="178"/>
      <c r="P83" s="178"/>
      <c r="Q83" s="179"/>
      <c r="R83" s="174"/>
      <c r="S83" s="177"/>
      <c r="T83" s="177"/>
    </row>
    <row r="84" spans="1:20" ht="15">
      <c r="A84" s="173"/>
      <c r="B84" s="186"/>
      <c r="C84" s="313" t="s">
        <v>64</v>
      </c>
      <c r="D84" s="314"/>
      <c r="E84" s="207">
        <v>1.41</v>
      </c>
      <c r="F84" s="208">
        <v>1.36</v>
      </c>
      <c r="G84" s="208">
        <v>1.02</v>
      </c>
      <c r="H84" s="208">
        <v>0.95</v>
      </c>
      <c r="I84" s="209">
        <v>0.65</v>
      </c>
      <c r="J84" s="174"/>
      <c r="K84" s="175"/>
      <c r="L84" s="178"/>
      <c r="M84" s="178"/>
      <c r="N84" s="178"/>
      <c r="O84" s="178"/>
      <c r="P84" s="178"/>
      <c r="Q84" s="185">
        <v>2071</v>
      </c>
      <c r="R84" s="174"/>
      <c r="S84" s="177"/>
      <c r="T84" s="177"/>
    </row>
    <row r="85" spans="1:20" ht="15">
      <c r="A85" s="173"/>
      <c r="B85" s="186"/>
      <c r="C85" s="315" t="s">
        <v>65</v>
      </c>
      <c r="D85" s="314"/>
      <c r="E85" s="207">
        <v>0.72</v>
      </c>
      <c r="F85" s="210">
        <v>0.6</v>
      </c>
      <c r="G85" s="210">
        <v>0.58</v>
      </c>
      <c r="H85" s="210">
        <v>0.55</v>
      </c>
      <c r="I85" s="209">
        <v>0.38</v>
      </c>
      <c r="J85" s="174"/>
      <c r="K85" s="175"/>
      <c r="L85" s="178"/>
      <c r="M85" s="178"/>
      <c r="N85" s="178"/>
      <c r="O85" s="178"/>
      <c r="P85" s="178"/>
      <c r="Q85" s="179">
        <v>705</v>
      </c>
      <c r="R85" s="174"/>
      <c r="S85" s="177"/>
      <c r="T85" s="177"/>
    </row>
    <row r="86" spans="1:20" ht="15">
      <c r="A86" s="173"/>
      <c r="B86" s="186"/>
      <c r="C86" s="174" t="s">
        <v>66</v>
      </c>
      <c r="D86" s="174"/>
      <c r="E86" s="207">
        <v>0.54</v>
      </c>
      <c r="F86" s="210">
        <v>0.45</v>
      </c>
      <c r="G86" s="210">
        <v>0.55</v>
      </c>
      <c r="H86" s="210">
        <v>0.4</v>
      </c>
      <c r="I86" s="209">
        <v>0.13</v>
      </c>
      <c r="J86" s="174"/>
      <c r="K86" s="175"/>
      <c r="L86" s="178"/>
      <c r="M86" s="178"/>
      <c r="N86" s="178"/>
      <c r="O86" s="178"/>
      <c r="P86" s="178"/>
      <c r="Q86" s="179">
        <v>185</v>
      </c>
      <c r="R86" s="174"/>
      <c r="S86" s="177"/>
      <c r="T86" s="177"/>
    </row>
    <row r="87" spans="1:20" ht="15">
      <c r="A87" s="173"/>
      <c r="B87" s="184" t="s">
        <v>73</v>
      </c>
      <c r="C87" s="196"/>
      <c r="D87" s="197"/>
      <c r="E87" s="211"/>
      <c r="F87" s="212"/>
      <c r="G87" s="212"/>
      <c r="H87" s="212"/>
      <c r="I87" s="213"/>
      <c r="J87" s="174"/>
      <c r="K87" s="175"/>
      <c r="L87" s="178"/>
      <c r="M87" s="178"/>
      <c r="N87" s="178"/>
      <c r="O87" s="178"/>
      <c r="P87" s="178"/>
      <c r="Q87" s="179"/>
      <c r="R87" s="174"/>
      <c r="S87" s="177"/>
      <c r="T87" s="177"/>
    </row>
    <row r="88" spans="1:20" ht="15">
      <c r="A88" s="173"/>
      <c r="B88" s="186"/>
      <c r="C88" s="315" t="s">
        <v>67</v>
      </c>
      <c r="D88" s="314"/>
      <c r="E88" s="207">
        <v>2.01</v>
      </c>
      <c r="F88" s="210">
        <v>1.95</v>
      </c>
      <c r="G88" s="210">
        <v>1.75</v>
      </c>
      <c r="H88" s="210">
        <v>1.65</v>
      </c>
      <c r="I88" s="209">
        <v>1.06</v>
      </c>
      <c r="J88" s="174"/>
      <c r="K88" s="175"/>
      <c r="L88" s="178"/>
      <c r="M88" s="178"/>
      <c r="N88" s="178"/>
      <c r="O88" s="178"/>
      <c r="P88" s="178"/>
      <c r="Q88" s="185">
        <v>2482</v>
      </c>
      <c r="R88" s="174"/>
      <c r="S88" s="177"/>
      <c r="T88" s="177"/>
    </row>
    <row r="89" spans="1:20" ht="15">
      <c r="A89" s="173"/>
      <c r="B89" s="186"/>
      <c r="C89" s="315" t="s">
        <v>68</v>
      </c>
      <c r="D89" s="314"/>
      <c r="E89" s="207">
        <v>0.96</v>
      </c>
      <c r="F89" s="210">
        <v>1.1</v>
      </c>
      <c r="G89" s="210">
        <v>1</v>
      </c>
      <c r="H89" s="210">
        <v>0.9</v>
      </c>
      <c r="I89" s="209"/>
      <c r="J89" s="174"/>
      <c r="K89" s="175"/>
      <c r="L89" s="178"/>
      <c r="M89" s="178"/>
      <c r="N89" s="178"/>
      <c r="O89" s="178"/>
      <c r="P89" s="178"/>
      <c r="Q89" s="179">
        <v>917</v>
      </c>
      <c r="R89" s="174"/>
      <c r="S89" s="177"/>
      <c r="T89" s="177"/>
    </row>
    <row r="90" spans="1:20" ht="15">
      <c r="A90" s="173"/>
      <c r="B90" s="186"/>
      <c r="C90" s="315" t="s">
        <v>69</v>
      </c>
      <c r="D90" s="314"/>
      <c r="E90" s="207">
        <v>0.46</v>
      </c>
      <c r="F90" s="210">
        <v>0.75</v>
      </c>
      <c r="G90" s="210">
        <v>0.5</v>
      </c>
      <c r="H90" s="210">
        <v>0.4</v>
      </c>
      <c r="I90" s="209"/>
      <c r="J90" s="174"/>
      <c r="K90" s="175"/>
      <c r="L90" s="178"/>
      <c r="M90" s="178"/>
      <c r="N90" s="178"/>
      <c r="O90" s="178"/>
      <c r="P90" s="178"/>
      <c r="Q90" s="179">
        <v>587</v>
      </c>
      <c r="R90" s="174"/>
      <c r="S90" s="177"/>
      <c r="T90" s="177"/>
    </row>
    <row r="91" spans="1:20" ht="15">
      <c r="A91" s="173"/>
      <c r="B91" s="184" t="s">
        <v>74</v>
      </c>
      <c r="C91" s="196"/>
      <c r="D91" s="197"/>
      <c r="E91" s="317" t="s">
        <v>75</v>
      </c>
      <c r="F91" s="318"/>
      <c r="G91" s="318"/>
      <c r="H91" s="318"/>
      <c r="I91" s="319"/>
      <c r="J91" s="174"/>
      <c r="K91" s="175"/>
      <c r="L91" s="178"/>
      <c r="M91" s="178"/>
      <c r="N91" s="178"/>
      <c r="O91" s="178"/>
      <c r="P91" s="178"/>
      <c r="Q91" s="179"/>
      <c r="R91" s="174"/>
      <c r="S91" s="177"/>
      <c r="T91" s="177"/>
    </row>
    <row r="92" spans="1:20" ht="15">
      <c r="A92" s="173"/>
      <c r="B92" s="184" t="s">
        <v>76</v>
      </c>
      <c r="C92" s="201"/>
      <c r="D92" s="201"/>
      <c r="E92" s="214">
        <v>1.71</v>
      </c>
      <c r="F92" s="215">
        <v>0.49</v>
      </c>
      <c r="G92" s="215">
        <v>0.33</v>
      </c>
      <c r="H92" s="215"/>
      <c r="I92" s="216"/>
      <c r="J92" s="174"/>
      <c r="K92" s="175"/>
      <c r="L92" s="178"/>
      <c r="M92" s="178"/>
      <c r="N92" s="178"/>
      <c r="O92" s="178"/>
      <c r="P92" s="178"/>
      <c r="Q92" s="179">
        <v>690</v>
      </c>
      <c r="R92" s="174"/>
      <c r="S92" s="177"/>
      <c r="T92" s="177"/>
    </row>
    <row r="93" spans="1:20" ht="15">
      <c r="A93" s="173"/>
      <c r="B93" s="189" t="s">
        <v>77</v>
      </c>
      <c r="C93" s="198"/>
      <c r="D93" s="202"/>
      <c r="E93" s="203"/>
      <c r="F93" s="204"/>
      <c r="G93" s="204"/>
      <c r="H93" s="204"/>
      <c r="I93" s="205">
        <v>3.15</v>
      </c>
      <c r="J93" s="174"/>
      <c r="K93" s="175"/>
      <c r="L93" s="178"/>
      <c r="M93" s="178"/>
      <c r="N93" s="178"/>
      <c r="O93" s="178"/>
      <c r="P93" s="178"/>
      <c r="Q93" s="179">
        <v>796</v>
      </c>
      <c r="R93" s="174"/>
      <c r="S93" s="177"/>
      <c r="T93" s="177"/>
    </row>
    <row r="94" spans="1:20" ht="15">
      <c r="A94" s="173"/>
      <c r="B94" s="189" t="s">
        <v>78</v>
      </c>
      <c r="C94" s="198"/>
      <c r="D94" s="198"/>
      <c r="E94" s="190">
        <v>40</v>
      </c>
      <c r="F94" s="190">
        <v>63</v>
      </c>
      <c r="G94" s="190">
        <v>30</v>
      </c>
      <c r="H94" s="190">
        <v>13</v>
      </c>
      <c r="I94" s="191">
        <v>3</v>
      </c>
      <c r="J94" s="174"/>
      <c r="K94" s="175"/>
      <c r="L94" s="178"/>
      <c r="M94" s="178"/>
      <c r="N94" s="178"/>
      <c r="O94" s="178"/>
      <c r="P94" s="178"/>
      <c r="Q94" s="179">
        <v>222</v>
      </c>
      <c r="R94" s="174"/>
      <c r="S94" s="177"/>
      <c r="T94" s="177"/>
    </row>
    <row r="95" spans="1:20" ht="15">
      <c r="A95" s="173"/>
      <c r="B95" s="174"/>
      <c r="C95" s="174"/>
      <c r="D95" s="174"/>
      <c r="E95" s="174"/>
      <c r="F95" s="174"/>
      <c r="G95" s="174"/>
      <c r="H95" s="174"/>
      <c r="I95" s="174"/>
      <c r="J95" s="174"/>
      <c r="K95" s="175"/>
      <c r="L95" s="178"/>
      <c r="M95" s="178"/>
      <c r="N95" s="178"/>
      <c r="O95" s="178"/>
      <c r="P95" s="178"/>
      <c r="Q95" s="185">
        <v>8655</v>
      </c>
      <c r="R95" s="174"/>
      <c r="S95" s="177"/>
      <c r="T95" s="177"/>
    </row>
    <row r="96" spans="1:20" ht="15">
      <c r="A96" s="173"/>
      <c r="B96" s="174"/>
      <c r="C96" s="174"/>
      <c r="D96" s="174"/>
      <c r="E96" s="174"/>
      <c r="F96" s="174"/>
      <c r="G96" s="174"/>
      <c r="H96" s="174"/>
      <c r="I96" s="174"/>
      <c r="J96" s="174"/>
      <c r="K96" s="175"/>
      <c r="L96" s="178"/>
      <c r="M96" s="178"/>
      <c r="N96" s="178"/>
      <c r="O96" s="178"/>
      <c r="P96" s="178"/>
      <c r="Q96" s="179"/>
      <c r="R96" s="174"/>
      <c r="S96" s="177"/>
      <c r="T96" s="177"/>
    </row>
    <row r="97" spans="1:20" ht="15">
      <c r="A97" s="173"/>
      <c r="B97" s="184">
        <v>81</v>
      </c>
      <c r="C97" s="316" t="s">
        <v>81</v>
      </c>
      <c r="D97" s="316"/>
      <c r="E97" s="192">
        <v>2849</v>
      </c>
      <c r="F97" s="193">
        <v>0.17</v>
      </c>
      <c r="G97" s="174"/>
      <c r="H97" s="174"/>
      <c r="I97" s="174"/>
      <c r="J97" s="174"/>
      <c r="K97" s="175"/>
      <c r="L97" s="178"/>
      <c r="M97" s="178"/>
      <c r="N97" s="178"/>
      <c r="O97" s="178"/>
      <c r="P97" s="178"/>
      <c r="Q97" s="179"/>
      <c r="R97" s="174"/>
      <c r="S97" s="177"/>
      <c r="T97" s="177"/>
    </row>
    <row r="98" spans="1:20" ht="15">
      <c r="A98" s="173"/>
      <c r="B98" s="186">
        <v>82</v>
      </c>
      <c r="C98" s="315" t="s">
        <v>82</v>
      </c>
      <c r="D98" s="315"/>
      <c r="E98" s="194">
        <v>3986</v>
      </c>
      <c r="F98" s="193">
        <v>0.17</v>
      </c>
      <c r="G98" s="174"/>
      <c r="H98" s="174"/>
      <c r="I98" s="174"/>
      <c r="J98" s="174"/>
      <c r="K98" s="175"/>
      <c r="L98" s="178"/>
      <c r="M98" s="178"/>
      <c r="N98" s="178"/>
      <c r="O98" s="178"/>
      <c r="P98" s="178"/>
      <c r="Q98" s="179"/>
      <c r="R98" s="174"/>
      <c r="S98" s="177"/>
      <c r="T98" s="177"/>
    </row>
    <row r="99" spans="1:20" ht="15">
      <c r="A99" s="173"/>
      <c r="B99" s="186">
        <v>83</v>
      </c>
      <c r="C99" s="174" t="s">
        <v>83</v>
      </c>
      <c r="D99" s="174"/>
      <c r="E99" s="206" t="s">
        <v>79</v>
      </c>
      <c r="F99" s="174"/>
      <c r="G99" s="174"/>
      <c r="H99" s="174"/>
      <c r="I99" s="174"/>
      <c r="J99" s="174"/>
      <c r="K99" s="175"/>
      <c r="L99" s="178"/>
      <c r="M99" s="178"/>
      <c r="N99" s="178"/>
      <c r="O99" s="178"/>
      <c r="P99" s="178"/>
      <c r="Q99" s="179"/>
      <c r="R99" s="174"/>
      <c r="S99" s="177"/>
      <c r="T99" s="177"/>
    </row>
    <row r="100" spans="1:20" ht="15">
      <c r="A100" s="173"/>
      <c r="B100" s="186">
        <v>84</v>
      </c>
      <c r="C100" s="315" t="s">
        <v>70</v>
      </c>
      <c r="D100" s="315"/>
      <c r="E100" s="194">
        <v>472</v>
      </c>
      <c r="F100" s="193">
        <v>0.01</v>
      </c>
      <c r="G100" s="174"/>
      <c r="H100" s="174"/>
      <c r="I100" s="174"/>
      <c r="J100" s="174"/>
      <c r="K100" s="175"/>
      <c r="L100" s="178"/>
      <c r="M100" s="178"/>
      <c r="N100" s="178"/>
      <c r="O100" s="178"/>
      <c r="P100" s="178"/>
      <c r="Q100" s="179"/>
      <c r="R100" s="174"/>
      <c r="S100" s="177"/>
      <c r="T100" s="177"/>
    </row>
    <row r="101" spans="1:20" ht="15">
      <c r="A101" s="173"/>
      <c r="B101" s="186">
        <v>85</v>
      </c>
      <c r="C101" s="315" t="s">
        <v>71</v>
      </c>
      <c r="D101" s="315"/>
      <c r="E101" s="194">
        <v>770</v>
      </c>
      <c r="F101" s="193">
        <v>0.2</v>
      </c>
      <c r="G101" s="174"/>
      <c r="H101" s="174"/>
      <c r="I101" s="174"/>
      <c r="J101" s="174"/>
      <c r="K101" s="175"/>
      <c r="L101" s="178"/>
      <c r="M101" s="178"/>
      <c r="N101" s="178"/>
      <c r="O101" s="178"/>
      <c r="P101" s="178"/>
      <c r="Q101" s="179"/>
      <c r="R101" s="174"/>
      <c r="S101" s="177"/>
      <c r="T101" s="177"/>
    </row>
    <row r="102" spans="1:20" ht="15">
      <c r="A102" s="173"/>
      <c r="B102" s="184">
        <v>8</v>
      </c>
      <c r="C102" s="196" t="s">
        <v>54</v>
      </c>
      <c r="D102" s="196"/>
      <c r="E102" s="192">
        <v>8077</v>
      </c>
      <c r="F102" s="193">
        <v>0.17</v>
      </c>
      <c r="G102" s="174"/>
      <c r="H102" s="174"/>
      <c r="I102" s="174"/>
      <c r="J102" s="174"/>
      <c r="K102" s="175"/>
      <c r="L102" s="178"/>
      <c r="M102" s="178"/>
      <c r="N102" s="178"/>
      <c r="O102" s="178"/>
      <c r="P102" s="178"/>
      <c r="Q102" s="179"/>
      <c r="R102" s="174"/>
      <c r="S102" s="177"/>
      <c r="T102" s="177"/>
    </row>
    <row r="103" spans="1:20" ht="15">
      <c r="A103" s="173"/>
      <c r="B103" s="187"/>
      <c r="C103" s="188" t="s">
        <v>80</v>
      </c>
      <c r="D103" s="188"/>
      <c r="E103" s="195">
        <v>0.18</v>
      </c>
      <c r="F103" s="174"/>
      <c r="G103" s="174"/>
      <c r="H103" s="174"/>
      <c r="I103" s="174"/>
      <c r="J103" s="174"/>
      <c r="K103" s="175"/>
      <c r="L103" s="178"/>
      <c r="M103" s="178"/>
      <c r="N103" s="178"/>
      <c r="O103" s="178"/>
      <c r="P103" s="178"/>
      <c r="Q103" s="179"/>
      <c r="R103" s="174"/>
      <c r="S103" s="177"/>
      <c r="T103" s="177"/>
    </row>
    <row r="104" spans="1:20" ht="15">
      <c r="A104" s="173"/>
      <c r="B104" s="174"/>
      <c r="C104" s="174"/>
      <c r="D104" s="174"/>
      <c r="E104" s="174"/>
      <c r="F104" s="174"/>
      <c r="G104" s="174"/>
      <c r="H104" s="174"/>
      <c r="I104" s="174"/>
      <c r="J104" s="174"/>
      <c r="K104" s="175"/>
      <c r="L104" s="178"/>
      <c r="M104" s="178"/>
      <c r="N104" s="178"/>
      <c r="O104" s="178"/>
      <c r="P104" s="178"/>
      <c r="Q104" s="179"/>
      <c r="R104" s="174"/>
      <c r="S104" s="177"/>
      <c r="T104" s="177"/>
    </row>
    <row r="105" spans="1:20" ht="15">
      <c r="A105" s="173"/>
      <c r="F105" s="174"/>
      <c r="G105" s="174"/>
      <c r="H105" s="174"/>
      <c r="I105" s="174"/>
      <c r="J105" s="174"/>
      <c r="K105" s="175"/>
      <c r="L105" s="178"/>
      <c r="M105" s="178"/>
      <c r="N105" s="178"/>
      <c r="O105" s="178"/>
      <c r="P105" s="178"/>
      <c r="Q105" s="179"/>
      <c r="R105" s="174"/>
      <c r="S105" s="177"/>
      <c r="T105" s="177"/>
    </row>
  </sheetData>
  <mergeCells count="10">
    <mergeCell ref="E91:I91"/>
    <mergeCell ref="C84:D84"/>
    <mergeCell ref="C85:D85"/>
    <mergeCell ref="C88:D88"/>
    <mergeCell ref="C89:D89"/>
    <mergeCell ref="C90:D90"/>
    <mergeCell ref="C101:D101"/>
    <mergeCell ref="C97:D97"/>
    <mergeCell ref="C98:D98"/>
    <mergeCell ref="C100:D100"/>
  </mergeCells>
  <printOptions/>
  <pageMargins left="0.25" right="0.25" top="0.93" bottom="0.31" header="0.25" footer="0.2"/>
  <pageSetup horizontalDpi="600" verticalDpi="600" orientation="landscape" scale="74" r:id="rId1"/>
  <headerFooter alignWithMargins="0">
    <oddHeader>&amp;C&amp;"Arial,Bold"&amp;14NCSX CD-2 Cost Baseline Update 
&amp;12(WBS 81, 82,  84, and 85)</oddHeader>
    <oddFooter>&amp;L&amp;"Arial,Bold"Date:  9/16/03&amp;C&amp;"Arial,Bold"&amp;P</oddFooter>
  </headerFooter>
  <rowBreaks count="1" manualBreakCount="1">
    <brk id="8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2007-04-26T19:48:42Z</cp:lastPrinted>
  <dcterms:created xsi:type="dcterms:W3CDTF">2002-03-21T16:35:03Z</dcterms:created>
  <dcterms:modified xsi:type="dcterms:W3CDTF">2007-04-26T19:48:49Z</dcterms:modified>
  <cp:category/>
  <cp:version/>
  <cp:contentType/>
  <cp:contentStatus/>
</cp:coreProperties>
</file>