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11" yWindow="65266" windowWidth="23700" windowHeight="15120" activeTab="1"/>
  </bookViews>
  <sheets>
    <sheet name="Sheet17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>
    <definedName name="a">'Sheet1'!$D$11</definedName>
    <definedName name="Ab">'Sheet1'!#REF!</definedName>
    <definedName name="ac">'Sheet1'!#REF!</definedName>
    <definedName name="ai">'Sheet1'!#REF!</definedName>
    <definedName name="au">'Sheet1'!#REF!</definedName>
    <definedName name="Bi">'Sheet1'!#REF!</definedName>
    <definedName name="cb">'Sheet1'!#REF!</definedName>
    <definedName name="Cd">'Sheet1'!$D$97</definedName>
    <definedName name="Ci">'Sheet1'!$I$114:$I$115</definedName>
    <definedName name="Cj">'Sheet1'!$J$114:$J$121</definedName>
    <definedName name="Cp">'Sheet1'!$D$7</definedName>
    <definedName name="Cpc">'Sheet1'!#REF!</definedName>
    <definedName name="cpi">'Sheet1'!#REF!</definedName>
    <definedName name="d">'Sheet1'!#REF!</definedName>
    <definedName name="di">'Sheet1'!$D$16</definedName>
    <definedName name="dT">'Sheet1'!#REF!</definedName>
    <definedName name="dTk">'Sheet1'!$E$111</definedName>
    <definedName name="f">'Sheet1'!$J$42:$J$43</definedName>
    <definedName name="g">'Sheet1'!$D$18</definedName>
    <definedName name="h">'Sheet1'!$I$42</definedName>
    <definedName name="hi">'Sheet1'!$B$111</definedName>
    <definedName name="I">'Sheet1'!#REF!</definedName>
    <definedName name="Ij">'Sheet1'!#REF!</definedName>
    <definedName name="k">'Sheet1'!$D$9</definedName>
    <definedName name="kb">'Sheet1'!#REF!</definedName>
    <definedName name="kc">'Sheet1'!$D$21</definedName>
    <definedName name="Ke">'Sheet1'!#REF!</definedName>
    <definedName name="ki">'Sheet1'!#REF!</definedName>
    <definedName name="ko">'Sheet1'!#REF!</definedName>
    <definedName name="L">'Sheet1'!#REF!</definedName>
    <definedName name="Lb">'Sheet1'!#REF!</definedName>
    <definedName name="Lc">'Sheet1'!#REF!</definedName>
    <definedName name="Le">'Sheet1'!#REF!</definedName>
    <definedName name="Li">'Sheet1'!#REF!</definedName>
    <definedName name="Lp">'Sheet1'!#REF!</definedName>
    <definedName name="mb">'Sheet1'!#REF!</definedName>
    <definedName name="mc">'Sheet1'!#REF!</definedName>
    <definedName name="mi">'Sheet1'!$K$114:$K$121</definedName>
    <definedName name="mj">'Sheet1'!$L$114:$L$121</definedName>
    <definedName name="n">'Sheet1'!#REF!</definedName>
    <definedName name="p">'Sheet1'!$D$8</definedName>
    <definedName name="pb">'Sheet1'!#REF!</definedName>
    <definedName name="pc">'Sheet1'!#REF!</definedName>
    <definedName name="pi">'Sheet1'!$D$17</definedName>
    <definedName name="pj">'Sheet1'!#REF!</definedName>
    <definedName name="po">'Sheet1'!$D$14</definedName>
    <definedName name="Pr">'Sheet1'!$D$12</definedName>
    <definedName name="Q">'Sheet1'!#REF!</definedName>
    <definedName name="Qi">'Sheet1'!#REF!</definedName>
    <definedName name="Rb">'Sheet1'!$D$114:$D$121</definedName>
    <definedName name="Rbo">'Sheet1'!#REF!</definedName>
    <definedName name="Rcu">'Sheet1'!#REF!</definedName>
    <definedName name="Rd">'Sheet1'!$F$114:$F$121</definedName>
    <definedName name="Re">'Sheet1'!$G$42:$G$43</definedName>
    <definedName name="Req">'Sheet1'!$H$114:$H$115</definedName>
    <definedName name="Rf">'Sheet1'!$E$114:$E$121</definedName>
    <definedName name="Ri">'Sheet1'!$C$114:$C$115</definedName>
    <definedName name="Rj">'Sheet1'!#REF!</definedName>
    <definedName name="Rk">'Sheet1'!$J$2</definedName>
    <definedName name="Ro">'Sheet1'!$D$15</definedName>
    <definedName name="Rt">'Sheet1'!$G$114:$G$115</definedName>
    <definedName name="t">'Sheet1'!$N$113:$V$113</definedName>
    <definedName name="Tb">'Sheet1'!#REF!</definedName>
    <definedName name="Tc">'Sheet1'!#REF!</definedName>
    <definedName name="Th">'Sheet1'!#REF!</definedName>
    <definedName name="ti">'Sheet1'!#REF!</definedName>
    <definedName name="Tj">'Sheet1'!#REF!</definedName>
    <definedName name="Tk">'Sheet1'!$E$110</definedName>
    <definedName name="To">'Sheet1'!#REF!</definedName>
    <definedName name="Tw">'Sheet1'!$D$6</definedName>
    <definedName name="u">'Sheet1'!$D$10</definedName>
    <definedName name="v">'Sheet1'!$D$13</definedName>
    <definedName name="ve">'Sheet1'!#REF!</definedName>
    <definedName name="vi">'Sheet1'!$D$42:$D$43</definedName>
    <definedName name="x">'Sheet1'!#REF!</definedName>
  </definedNames>
  <calcPr fullCalcOnLoad="1"/>
</workbook>
</file>

<file path=xl/sharedStrings.xml><?xml version="1.0" encoding="utf-8"?>
<sst xmlns="http://schemas.openxmlformats.org/spreadsheetml/2006/main" count="272" uniqueCount="150">
  <si>
    <t>po=</t>
  </si>
  <si>
    <t>atmos</t>
  </si>
  <si>
    <t>Lumped mass analysis</t>
  </si>
  <si>
    <t>Pi=</t>
  </si>
  <si>
    <t>g=</t>
  </si>
  <si>
    <t>cm/s^2</t>
  </si>
  <si>
    <t>Cp=</t>
  </si>
  <si>
    <t>Pr=</t>
  </si>
  <si>
    <t>p=</t>
  </si>
  <si>
    <t>v=</t>
  </si>
  <si>
    <t>k=</t>
  </si>
  <si>
    <t>u=</t>
  </si>
  <si>
    <t>a=</t>
  </si>
  <si>
    <t>cond.</t>
  </si>
  <si>
    <t>diffus.</t>
  </si>
  <si>
    <t>av. spec ht(J/g-K)</t>
  </si>
  <si>
    <t>spec ht(J/g-K)</t>
  </si>
  <si>
    <t>dyn visc.g/cm-s</t>
  </si>
  <si>
    <t>Prandtl</t>
  </si>
  <si>
    <t>Re</t>
  </si>
  <si>
    <t>pressure</t>
  </si>
  <si>
    <t xml:space="preserve">entrance vel  </t>
  </si>
  <si>
    <t>Mass</t>
  </si>
  <si>
    <t>film coef</t>
  </si>
  <si>
    <t xml:space="preserve"> (m/s)</t>
  </si>
  <si>
    <t>flow(g/s)</t>
  </si>
  <si>
    <t>(w/cm^2-K)</t>
  </si>
  <si>
    <t>(atmos)</t>
  </si>
  <si>
    <t>vi</t>
  </si>
  <si>
    <t>f</t>
  </si>
  <si>
    <t>h</t>
  </si>
  <si>
    <t>Pt</t>
  </si>
  <si>
    <t>N2 kin. visc. (cm^2/s)</t>
  </si>
  <si>
    <t>di</t>
  </si>
  <si>
    <t>copper temp(K) after pulse</t>
  </si>
  <si>
    <t>(Btu/hr-ft^2-F)</t>
  </si>
  <si>
    <t>Btu/s-ft^2-F</t>
  </si>
  <si>
    <t xml:space="preserve">Conductor is 1.33 x 1.66 cm </t>
  </si>
  <si>
    <t>plg</t>
  </si>
  <si>
    <t>Coolant parameters</t>
  </si>
  <si>
    <t>1.2 sec pulse</t>
  </si>
  <si>
    <t>Conductor parameters</t>
  </si>
  <si>
    <t>copper density(g/cm^3)</t>
  </si>
  <si>
    <t>density liq(g/cm^3)</t>
  </si>
  <si>
    <t>density liq</t>
  </si>
  <si>
    <t>PLG</t>
  </si>
  <si>
    <t>passage dia(cm)</t>
  </si>
  <si>
    <t>Reynolds No</t>
  </si>
  <si>
    <t>friction coef</t>
  </si>
  <si>
    <t>entrance velocity(m/s)</t>
  </si>
  <si>
    <t>mass flow(g/s)</t>
  </si>
  <si>
    <t>pressure drop(atmos/m)</t>
  </si>
  <si>
    <t>Start Temp is 77K</t>
  </si>
  <si>
    <t>LN2 Parameters</t>
  </si>
  <si>
    <t>Characteristics of LN2 are used at 5 atmos</t>
  </si>
  <si>
    <t>m/s</t>
  </si>
  <si>
    <t>passage dia (cm)</t>
  </si>
  <si>
    <t>(gpm)</t>
  </si>
  <si>
    <t>gpm</t>
  </si>
  <si>
    <t>drop (atmos)</t>
  </si>
  <si>
    <t>drop</t>
  </si>
  <si>
    <t>Calculate coolant header parameters</t>
  </si>
  <si>
    <t>passage</t>
  </si>
  <si>
    <t>length(m)</t>
  </si>
  <si>
    <t>tacing</t>
  </si>
  <si>
    <t>corrugated hose</t>
  </si>
  <si>
    <t>tracing</t>
  </si>
  <si>
    <t>N2(77K)</t>
  </si>
  <si>
    <t>TF</t>
  </si>
  <si>
    <t>MC nominal hose</t>
  </si>
  <si>
    <t>MC shortest hose</t>
  </si>
  <si>
    <t>MC longest hose</t>
  </si>
  <si>
    <t>Corrugated hose length is total for inlet and outlet.</t>
  </si>
  <si>
    <t>needs restricter valve or orifice</t>
  </si>
  <si>
    <t>drop(atmos)</t>
  </si>
  <si>
    <t>atmos (atmos)</t>
  </si>
  <si>
    <t>MC coil tracing</t>
  </si>
  <si>
    <t>Proposed tracing</t>
  </si>
  <si>
    <t>MC</t>
  </si>
  <si>
    <t>ID</t>
  </si>
  <si>
    <t>(in)</t>
  </si>
  <si>
    <t>(cm)</t>
  </si>
  <si>
    <t>Length tracing</t>
  </si>
  <si>
    <t>(m)</t>
  </si>
  <si>
    <t>PF1</t>
  </si>
  <si>
    <t>PF4</t>
  </si>
  <si>
    <t>Flow required</t>
  </si>
  <si>
    <t>PF5</t>
  </si>
  <si>
    <t>PF6</t>
  </si>
  <si>
    <t>(ft)</t>
  </si>
  <si>
    <t>diffus. cm^2/s</t>
  </si>
  <si>
    <t xml:space="preserve"> </t>
  </si>
  <si>
    <t>flow</t>
  </si>
  <si>
    <t>minimum</t>
  </si>
  <si>
    <t>Total flow in device(gpm) =</t>
  </si>
  <si>
    <t>MC branch</t>
  </si>
  <si>
    <t>Spare circuits</t>
  </si>
  <si>
    <t>ND</t>
  </si>
  <si>
    <t>to keep flow rate down.</t>
  </si>
  <si>
    <t>Inlet/outlet losses ignored.</t>
  </si>
  <si>
    <t>FP1</t>
  </si>
  <si>
    <t>FP2</t>
  </si>
  <si>
    <t>FP3</t>
  </si>
  <si>
    <t>TF Header</t>
  </si>
  <si>
    <t xml:space="preserve"> MC</t>
  </si>
  <si>
    <t>spares</t>
  </si>
  <si>
    <t>Sum</t>
  </si>
  <si>
    <t>THERMOHYDRAULICS OF LN2 FLOW IN CONVENTIONAL COILS</t>
  </si>
  <si>
    <t>All lines are connected by corrugated flex hose.</t>
  </si>
  <si>
    <t>delta pressure</t>
  </si>
  <si>
    <t>Configuration assumed is full future upgraded coil system</t>
  </si>
  <si>
    <t>PF3</t>
  </si>
  <si>
    <t>PF2</t>
  </si>
  <si>
    <t>TF branch</t>
  </si>
  <si>
    <t>MC header</t>
  </si>
  <si>
    <t>PF1A</t>
  </si>
  <si>
    <t>Flow must work with PF1A alone at startup but also</t>
  </si>
  <si>
    <t>with PF1,PF2, and PF3 replacing PF1A later.</t>
  </si>
  <si>
    <t>UPGRADE</t>
  </si>
  <si>
    <t>CD4</t>
  </si>
  <si>
    <t>OPERATION</t>
  </si>
  <si>
    <t>(Upgrade)</t>
  </si>
  <si>
    <t>Minimum</t>
  </si>
  <si>
    <t>Actual flow</t>
  </si>
  <si>
    <t xml:space="preserve">Pressure </t>
  </si>
  <si>
    <t>flow required</t>
  </si>
  <si>
    <t>Length of</t>
  </si>
  <si>
    <t>hose</t>
  </si>
  <si>
    <t>Note: Flow restriction devices may be necessary for individual spare circuits, on a case by case basis, to balance flows.</t>
  </si>
  <si>
    <t>to prevent two phase flow.</t>
  </si>
  <si>
    <t>TF header(upgrade)</t>
  </si>
  <si>
    <t>friction</t>
  </si>
  <si>
    <t>diameter</t>
  </si>
  <si>
    <t>inches</t>
  </si>
  <si>
    <t>loss per m</t>
  </si>
  <si>
    <t>velocity</t>
  </si>
  <si>
    <t>maximum</t>
  </si>
  <si>
    <t xml:space="preserve">inside </t>
  </si>
  <si>
    <t>flow rate</t>
  </si>
  <si>
    <t>l/s</t>
  </si>
  <si>
    <t>Film Coef</t>
  </si>
  <si>
    <t>Friction</t>
  </si>
  <si>
    <t>MC tracing</t>
  </si>
  <si>
    <t>w/cm^2-K</t>
  </si>
  <si>
    <t>PF1A tracing</t>
  </si>
  <si>
    <t>PF4 tracing</t>
  </si>
  <si>
    <t>PF5 tracing</t>
  </si>
  <si>
    <t>PF6 tracing</t>
  </si>
  <si>
    <t>TF tracing</t>
  </si>
  <si>
    <t>Spare lines bibs are supplied on PF side.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</si>
</sst>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0.00000"/>
    <numFmt numFmtId="167" formatCode="0.0000"/>
    <numFmt numFmtId="168" formatCode="0.0"/>
    <numFmt numFmtId="169" formatCode="0.0000000"/>
    <numFmt numFmtId="170" formatCode="0.E+00"/>
    <numFmt numFmtId="171" formatCode="0.000E+00"/>
    <numFmt numFmtId="172" formatCode="0.00000000"/>
    <numFmt numFmtId="173" formatCode="0.000000000"/>
    <numFmt numFmtId="174" formatCode="#,##0.0_);\(#,##0.0\)"/>
    <numFmt numFmtId="175" formatCode="0.00000000000000"/>
    <numFmt numFmtId="176" formatCode="0.0000000000000"/>
    <numFmt numFmtId="177" formatCode="0.000000000000"/>
    <numFmt numFmtId="178" formatCode="0.00000000000"/>
    <numFmt numFmtId="179" formatCode="0.0000000000"/>
    <numFmt numFmtId="180" formatCode="#,##0.000_);\(#,##0.000\)"/>
    <numFmt numFmtId="181" formatCode="#,##0.0000_);\(#,##0.0000\)"/>
    <numFmt numFmtId="182" formatCode="#,##0.00000_);\(#,##0.00000\)"/>
    <numFmt numFmtId="183" formatCode="#,##0.000000_);\(#,##0.000000\)"/>
    <numFmt numFmtId="184" formatCode="#,##0.0000000_);\(#,##0.0000000\)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10"/>
      <name val="Geneva"/>
      <family val="0"/>
    </font>
    <font>
      <sz val="10"/>
      <color indexed="8"/>
      <name val="Geneva"/>
      <family val="0"/>
    </font>
    <font>
      <sz val="10"/>
      <color indexed="12"/>
      <name val="Geneva"/>
      <family val="0"/>
    </font>
    <font>
      <b/>
      <sz val="10"/>
      <color indexed="10"/>
      <name val="Geneva"/>
      <family val="0"/>
    </font>
    <font>
      <sz val="10"/>
      <color indexed="48"/>
      <name val="Geneva"/>
      <family val="0"/>
    </font>
    <font>
      <sz val="10"/>
      <color indexed="39"/>
      <name val="Geneva"/>
      <family val="0"/>
    </font>
    <font>
      <u val="single"/>
      <sz val="10"/>
      <name val="Geneva"/>
      <family val="0"/>
    </font>
    <font>
      <sz val="10"/>
      <color indexed="17"/>
      <name val="Geneva"/>
      <family val="0"/>
    </font>
    <font>
      <sz val="10"/>
      <color indexed="61"/>
      <name val="Geneva"/>
      <family val="0"/>
    </font>
    <font>
      <sz val="10"/>
      <color indexed="14"/>
      <name val="Geneva"/>
      <family val="0"/>
    </font>
    <font>
      <b/>
      <sz val="10"/>
      <color indexed="8"/>
      <name val="Geneva"/>
      <family val="0"/>
    </font>
    <font>
      <b/>
      <u val="single"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0"/>
      <color indexed="17"/>
      <name val="Geneva"/>
      <family val="0"/>
    </font>
    <font>
      <b/>
      <sz val="10"/>
      <color indexed="48"/>
      <name val="Geneva"/>
      <family val="0"/>
    </font>
    <font>
      <b/>
      <sz val="10"/>
      <color indexed="12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14" fontId="1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71" fontId="0" fillId="0" borderId="0" xfId="0" applyNumberFormat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167" fontId="0" fillId="0" borderId="0" xfId="0" applyNumberFormat="1" applyAlignment="1">
      <alignment horizontal="center"/>
    </xf>
    <xf numFmtId="168" fontId="6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 quotePrefix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10" fillId="0" borderId="0" xfId="0" applyFont="1" applyAlignment="1">
      <alignment/>
    </xf>
    <xf numFmtId="1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39" fontId="0" fillId="0" borderId="0" xfId="0" applyNumberFormat="1" applyAlignment="1">
      <alignment horizontal="center"/>
    </xf>
    <xf numFmtId="168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" fontId="4" fillId="0" borderId="0" xfId="0" applyNumberFormat="1" applyFont="1" applyAlignment="1">
      <alignment horizontal="center"/>
    </xf>
    <xf numFmtId="167" fontId="0" fillId="0" borderId="0" xfId="0" applyNumberFormat="1" applyAlignment="1">
      <alignment horizontal="left"/>
    </xf>
    <xf numFmtId="0" fontId="5" fillId="0" borderId="0" xfId="0" applyFon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4" fontId="4" fillId="0" borderId="0" xfId="0" applyNumberFormat="1" applyFont="1" applyAlignment="1">
      <alignment horizontal="left"/>
    </xf>
    <xf numFmtId="11" fontId="4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2" fontId="6" fillId="0" borderId="0" xfId="0" applyNumberFormat="1" applyFont="1" applyAlignment="1">
      <alignment horizontal="left"/>
    </xf>
    <xf numFmtId="11" fontId="6" fillId="0" borderId="0" xfId="0" applyNumberFormat="1" applyFont="1" applyBorder="1" applyAlignment="1">
      <alignment horizontal="left"/>
    </xf>
    <xf numFmtId="168" fontId="0" fillId="0" borderId="0" xfId="0" applyNumberFormat="1" applyAlignment="1">
      <alignment horizontal="left"/>
    </xf>
    <xf numFmtId="168" fontId="0" fillId="0" borderId="0" xfId="0" applyNumberFormat="1" applyAlignment="1">
      <alignment horizontal="left" indent="1"/>
    </xf>
    <xf numFmtId="164" fontId="0" fillId="0" borderId="0" xfId="0" applyNumberFormat="1" applyAlignment="1">
      <alignment horizontal="left"/>
    </xf>
    <xf numFmtId="0" fontId="14" fillId="0" borderId="0" xfId="0" applyFont="1" applyAlignment="1">
      <alignment/>
    </xf>
    <xf numFmtId="0" fontId="0" fillId="0" borderId="0" xfId="0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171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5" fillId="0" borderId="0" xfId="0" applyFont="1" applyAlignment="1">
      <alignment/>
    </xf>
    <xf numFmtId="167" fontId="0" fillId="0" borderId="0" xfId="0" applyNumberFormat="1" applyAlignment="1">
      <alignment/>
    </xf>
    <xf numFmtId="2" fontId="4" fillId="0" borderId="0" xfId="0" applyNumberFormat="1" applyFont="1" applyBorder="1" applyAlignment="1">
      <alignment horizontal="left"/>
    </xf>
    <xf numFmtId="37" fontId="0" fillId="0" borderId="0" xfId="0" applyNumberFormat="1" applyAlignment="1">
      <alignment horizontal="left"/>
    </xf>
    <xf numFmtId="2" fontId="0" fillId="0" borderId="0" xfId="0" applyNumberFormat="1" applyBorder="1" applyAlignment="1">
      <alignment horizontal="right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Border="1" applyAlignment="1">
      <alignment horizontal="left"/>
    </xf>
    <xf numFmtId="39" fontId="0" fillId="0" borderId="0" xfId="0" applyNumberFormat="1" applyAlignment="1">
      <alignment horizontal="right"/>
    </xf>
    <xf numFmtId="168" fontId="6" fillId="0" borderId="1" xfId="0" applyNumberFormat="1" applyFont="1" applyBorder="1" applyAlignment="1">
      <alignment horizontal="center"/>
    </xf>
    <xf numFmtId="168" fontId="0" fillId="0" borderId="0" xfId="0" applyNumberFormat="1" applyFill="1" applyAlignment="1">
      <alignment horizontal="center"/>
    </xf>
    <xf numFmtId="169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right"/>
    </xf>
    <xf numFmtId="164" fontId="0" fillId="0" borderId="0" xfId="0" applyNumberFormat="1" applyFill="1" applyAlignment="1">
      <alignment horizontal="center"/>
    </xf>
    <xf numFmtId="167" fontId="0" fillId="0" borderId="0" xfId="0" applyNumberForma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1" fontId="0" fillId="0" borderId="1" xfId="0" applyNumberFormat="1" applyBorder="1" applyAlignment="1">
      <alignment horizontal="center"/>
    </xf>
    <xf numFmtId="37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68" fontId="14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1" fontId="0" fillId="0" borderId="0" xfId="0" applyNumberFormat="1" applyFont="1" applyAlignment="1">
      <alignment horizontal="center"/>
    </xf>
    <xf numFmtId="2" fontId="11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165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168" fontId="1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1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164" fontId="0" fillId="0" borderId="0" xfId="0" applyNumberFormat="1" applyBorder="1" applyAlignment="1">
      <alignment horizontal="left"/>
    </xf>
    <xf numFmtId="2" fontId="0" fillId="0" borderId="0" xfId="0" applyNumberFormat="1" applyFont="1" applyAlignment="1">
      <alignment horizontal="left"/>
    </xf>
    <xf numFmtId="168" fontId="0" fillId="0" borderId="0" xfId="0" applyNumberFormat="1" applyFont="1" applyAlignment="1">
      <alignment horizontal="right"/>
    </xf>
    <xf numFmtId="168" fontId="6" fillId="0" borderId="0" xfId="0" applyNumberFormat="1" applyFont="1" applyAlignment="1">
      <alignment horizontal="left"/>
    </xf>
    <xf numFmtId="2" fontId="4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2" fontId="7" fillId="0" borderId="1" xfId="0" applyNumberFormat="1" applyFont="1" applyFill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" fontId="1" fillId="0" borderId="0" xfId="0" applyNumberFormat="1" applyFont="1" applyAlignment="1">
      <alignment horizontal="left"/>
    </xf>
    <xf numFmtId="2" fontId="14" fillId="0" borderId="0" xfId="0" applyNumberFormat="1" applyFont="1" applyAlignment="1">
      <alignment horizontal="center"/>
    </xf>
    <xf numFmtId="2" fontId="19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1" xfId="0" applyFont="1" applyBorder="1" applyAlignment="1">
      <alignment/>
    </xf>
    <xf numFmtId="0" fontId="1" fillId="3" borderId="0" xfId="0" applyFont="1" applyFill="1" applyAlignment="1">
      <alignment horizontal="right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ont="1" applyFill="1" applyAlignment="1">
      <alignment horizontal="right"/>
    </xf>
    <xf numFmtId="1" fontId="0" fillId="3" borderId="0" xfId="0" applyNumberFormat="1" applyFill="1" applyAlignment="1">
      <alignment horizontal="center"/>
    </xf>
    <xf numFmtId="2" fontId="4" fillId="3" borderId="0" xfId="0" applyNumberFormat="1" applyFont="1" applyFill="1" applyAlignment="1">
      <alignment horizontal="center"/>
    </xf>
    <xf numFmtId="2" fontId="6" fillId="3" borderId="0" xfId="0" applyNumberFormat="1" applyFont="1" applyFill="1" applyAlignment="1">
      <alignment horizontal="center"/>
    </xf>
    <xf numFmtId="1" fontId="5" fillId="3" borderId="0" xfId="0" applyNumberFormat="1" applyFont="1" applyFill="1" applyAlignment="1">
      <alignment horizontal="center"/>
    </xf>
    <xf numFmtId="2" fontId="0" fillId="3" borderId="0" xfId="0" applyNumberFormat="1" applyFill="1" applyAlignment="1">
      <alignment horizontal="center"/>
    </xf>
    <xf numFmtId="37" fontId="0" fillId="3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3" borderId="0" xfId="0" applyNumberFormat="1" applyFont="1" applyFill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11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37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1" fontId="0" fillId="0" borderId="0" xfId="0" applyNumberFormat="1" applyBorder="1" applyAlignment="1">
      <alignment/>
    </xf>
    <xf numFmtId="0" fontId="1" fillId="4" borderId="0" xfId="0" applyFont="1" applyFill="1" applyAlignment="1">
      <alignment horizontal="right"/>
    </xf>
    <xf numFmtId="2" fontId="0" fillId="4" borderId="0" xfId="0" applyNumberFormat="1" applyFill="1" applyBorder="1" applyAlignment="1">
      <alignment horizontal="right"/>
    </xf>
    <xf numFmtId="0" fontId="0" fillId="4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11" fontId="0" fillId="4" borderId="0" xfId="0" applyNumberFormat="1" applyFill="1" applyAlignment="1">
      <alignment/>
    </xf>
    <xf numFmtId="0" fontId="0" fillId="4" borderId="0" xfId="0" applyFill="1" applyAlignment="1">
      <alignment/>
    </xf>
    <xf numFmtId="37" fontId="0" fillId="4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right"/>
    </xf>
    <xf numFmtId="164" fontId="1" fillId="4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right"/>
    </xf>
    <xf numFmtId="1" fontId="4" fillId="4" borderId="0" xfId="0" applyNumberFormat="1" applyFont="1" applyFill="1" applyBorder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1" fontId="5" fillId="4" borderId="0" xfId="0" applyNumberFormat="1" applyFont="1" applyFill="1" applyAlignment="1">
      <alignment horizontal="center"/>
    </xf>
    <xf numFmtId="164" fontId="0" fillId="4" borderId="0" xfId="0" applyNumberFormat="1" applyFont="1" applyFill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11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/>
    </xf>
    <xf numFmtId="37" fontId="0" fillId="4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2" fontId="14" fillId="4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5" fillId="4" borderId="0" xfId="0" applyNumberFormat="1" applyFont="1" applyFill="1" applyAlignment="1">
      <alignment horizontal="center"/>
    </xf>
    <xf numFmtId="167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2" fontId="1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168" fontId="18" fillId="0" borderId="0" xfId="0" applyNumberFormat="1" applyFont="1" applyBorder="1" applyAlignment="1">
      <alignment horizontal="center"/>
    </xf>
    <xf numFmtId="185" fontId="0" fillId="0" borderId="0" xfId="0" applyNumberForma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8" fontId="20" fillId="0" borderId="0" xfId="0" applyNumberFormat="1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4" fontId="14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5</xdr:row>
      <xdr:rowOff>95250</xdr:rowOff>
    </xdr:from>
    <xdr:to>
      <xdr:col>14</xdr:col>
      <xdr:colOff>647700</xdr:colOff>
      <xdr:row>25</xdr:row>
      <xdr:rowOff>38100</xdr:rowOff>
    </xdr:to>
    <xdr:sp>
      <xdr:nvSpPr>
        <xdr:cNvPr id="1" name="Rectangle 553"/>
        <xdr:cNvSpPr>
          <a:spLocks/>
        </xdr:cNvSpPr>
      </xdr:nvSpPr>
      <xdr:spPr>
        <a:xfrm>
          <a:off x="7324725" y="904875"/>
          <a:ext cx="8743950" cy="3181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142875</xdr:colOff>
      <xdr:row>18</xdr:row>
      <xdr:rowOff>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14420850" y="29146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14</xdr:col>
      <xdr:colOff>542925</xdr:colOff>
      <xdr:row>20</xdr:row>
      <xdr:rowOff>38100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14420850" y="3238500"/>
          <a:ext cx="1543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5</xdr:col>
      <xdr:colOff>0</xdr:colOff>
      <xdr:row>151</xdr:row>
      <xdr:rowOff>76200</xdr:rowOff>
    </xdr:from>
    <xdr:ext cx="85725" cy="200025"/>
    <xdr:sp>
      <xdr:nvSpPr>
        <xdr:cNvPr id="4" name="TextBox 190"/>
        <xdr:cNvSpPr txBox="1">
          <a:spLocks noChangeArrowheads="1"/>
        </xdr:cNvSpPr>
      </xdr:nvSpPr>
      <xdr:spPr>
        <a:xfrm>
          <a:off x="6000750" y="24526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3</xdr:col>
      <xdr:colOff>876300</xdr:colOff>
      <xdr:row>149</xdr:row>
      <xdr:rowOff>114300</xdr:rowOff>
    </xdr:from>
    <xdr:ext cx="85725" cy="200025"/>
    <xdr:sp>
      <xdr:nvSpPr>
        <xdr:cNvPr id="5" name="TextBox 191"/>
        <xdr:cNvSpPr txBox="1">
          <a:spLocks noChangeArrowheads="1"/>
        </xdr:cNvSpPr>
      </xdr:nvSpPr>
      <xdr:spPr>
        <a:xfrm>
          <a:off x="4524375" y="24241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9</xdr:col>
      <xdr:colOff>152400</xdr:colOff>
      <xdr:row>7</xdr:row>
      <xdr:rowOff>123825</xdr:rowOff>
    </xdr:from>
    <xdr:to>
      <xdr:col>13</xdr:col>
      <xdr:colOff>533400</xdr:colOff>
      <xdr:row>7</xdr:row>
      <xdr:rowOff>123825</xdr:rowOff>
    </xdr:to>
    <xdr:sp>
      <xdr:nvSpPr>
        <xdr:cNvPr id="6" name="Line 518"/>
        <xdr:cNvSpPr>
          <a:spLocks/>
        </xdr:cNvSpPr>
      </xdr:nvSpPr>
      <xdr:spPr>
        <a:xfrm flipV="1">
          <a:off x="11325225" y="1257300"/>
          <a:ext cx="36290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47625</xdr:colOff>
      <xdr:row>7</xdr:row>
      <xdr:rowOff>133350</xdr:rowOff>
    </xdr:from>
    <xdr:to>
      <xdr:col>12</xdr:col>
      <xdr:colOff>47625</xdr:colOff>
      <xdr:row>13</xdr:row>
      <xdr:rowOff>142875</xdr:rowOff>
    </xdr:to>
    <xdr:sp>
      <xdr:nvSpPr>
        <xdr:cNvPr id="7" name="Line 519"/>
        <xdr:cNvSpPr>
          <a:spLocks/>
        </xdr:cNvSpPr>
      </xdr:nvSpPr>
      <xdr:spPr>
        <a:xfrm>
          <a:off x="13611225" y="1266825"/>
          <a:ext cx="0" cy="98107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12</xdr:col>
      <xdr:colOff>180975</xdr:colOff>
      <xdr:row>11</xdr:row>
      <xdr:rowOff>47625</xdr:rowOff>
    </xdr:from>
    <xdr:ext cx="466725" cy="200025"/>
    <xdr:sp>
      <xdr:nvSpPr>
        <xdr:cNvPr id="8" name="TextBox 520"/>
        <xdr:cNvSpPr txBox="1">
          <a:spLocks noChangeArrowheads="1"/>
        </xdr:cNvSpPr>
      </xdr:nvSpPr>
      <xdr:spPr>
        <a:xfrm>
          <a:off x="13744575" y="1828800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2 inch</a:t>
          </a:r>
        </a:p>
      </xdr:txBody>
    </xdr:sp>
    <xdr:clientData/>
  </xdr:oneCellAnchor>
  <xdr:oneCellAnchor>
    <xdr:from>
      <xdr:col>9</xdr:col>
      <xdr:colOff>647700</xdr:colOff>
      <xdr:row>6</xdr:row>
      <xdr:rowOff>76200</xdr:rowOff>
    </xdr:from>
    <xdr:ext cx="590550" cy="200025"/>
    <xdr:sp>
      <xdr:nvSpPr>
        <xdr:cNvPr id="9" name="TextBox 521"/>
        <xdr:cNvSpPr txBox="1">
          <a:spLocks noChangeArrowheads="1"/>
        </xdr:cNvSpPr>
      </xdr:nvSpPr>
      <xdr:spPr>
        <a:xfrm>
          <a:off x="11820525" y="1047750"/>
          <a:ext cx="590550" cy="200025"/>
        </a:xfrm>
        <a:prstGeom prst="rect">
          <a:avLst/>
        </a:prstGeom>
        <a:noFill/>
        <a:ln w="381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1.5 inch</a:t>
          </a:r>
        </a:p>
      </xdr:txBody>
    </xdr:sp>
    <xdr:clientData/>
  </xdr:oneCellAnchor>
  <xdr:twoCellAnchor>
    <xdr:from>
      <xdr:col>11</xdr:col>
      <xdr:colOff>742950</xdr:colOff>
      <xdr:row>8</xdr:row>
      <xdr:rowOff>0</xdr:rowOff>
    </xdr:from>
    <xdr:to>
      <xdr:col>11</xdr:col>
      <xdr:colOff>742950</xdr:colOff>
      <xdr:row>13</xdr:row>
      <xdr:rowOff>19050</xdr:rowOff>
    </xdr:to>
    <xdr:sp>
      <xdr:nvSpPr>
        <xdr:cNvPr id="10" name="Line 522"/>
        <xdr:cNvSpPr>
          <a:spLocks/>
        </xdr:cNvSpPr>
      </xdr:nvSpPr>
      <xdr:spPr>
        <a:xfrm>
          <a:off x="13468350" y="1295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361950</xdr:colOff>
      <xdr:row>8</xdr:row>
      <xdr:rowOff>47625</xdr:rowOff>
    </xdr:from>
    <xdr:to>
      <xdr:col>13</xdr:col>
      <xdr:colOff>276225</xdr:colOff>
      <xdr:row>8</xdr:row>
      <xdr:rowOff>47625</xdr:rowOff>
    </xdr:to>
    <xdr:sp>
      <xdr:nvSpPr>
        <xdr:cNvPr id="11" name="Line 523"/>
        <xdr:cNvSpPr>
          <a:spLocks/>
        </xdr:cNvSpPr>
      </xdr:nvSpPr>
      <xdr:spPr>
        <a:xfrm flipH="1">
          <a:off x="13925550" y="13430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238125</xdr:colOff>
      <xdr:row>8</xdr:row>
      <xdr:rowOff>47625</xdr:rowOff>
    </xdr:from>
    <xdr:to>
      <xdr:col>11</xdr:col>
      <xdr:colOff>533400</xdr:colOff>
      <xdr:row>8</xdr:row>
      <xdr:rowOff>47625</xdr:rowOff>
    </xdr:to>
    <xdr:sp>
      <xdr:nvSpPr>
        <xdr:cNvPr id="12" name="Line 524"/>
        <xdr:cNvSpPr>
          <a:spLocks/>
        </xdr:cNvSpPr>
      </xdr:nvSpPr>
      <xdr:spPr>
        <a:xfrm>
          <a:off x="11410950" y="134302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19050</xdr:colOff>
      <xdr:row>13</xdr:row>
      <xdr:rowOff>57150</xdr:rowOff>
    </xdr:from>
    <xdr:to>
      <xdr:col>12</xdr:col>
      <xdr:colOff>361950</xdr:colOff>
      <xdr:row>14</xdr:row>
      <xdr:rowOff>95250</xdr:rowOff>
    </xdr:to>
    <xdr:grpSp>
      <xdr:nvGrpSpPr>
        <xdr:cNvPr id="13" name="Group 525"/>
        <xdr:cNvGrpSpPr>
          <a:grpSpLocks/>
        </xdr:cNvGrpSpPr>
      </xdr:nvGrpSpPr>
      <xdr:grpSpPr>
        <a:xfrm rot="5400000" flipH="1">
          <a:off x="12744450" y="2162175"/>
          <a:ext cx="1181100" cy="200025"/>
          <a:chOff x="1546" y="161"/>
          <a:chExt cx="21" cy="77"/>
        </a:xfrm>
        <a:solidFill>
          <a:srgbClr val="FFFFFF"/>
        </a:solidFill>
      </xdr:grpSpPr>
      <xdr:sp>
        <xdr:nvSpPr>
          <xdr:cNvPr id="14" name="AutoShape 526"/>
          <xdr:cNvSpPr>
            <a:spLocks/>
          </xdr:cNvSpPr>
        </xdr:nvSpPr>
        <xdr:spPr>
          <a:xfrm>
            <a:off x="1549" y="161"/>
            <a:ext cx="18" cy="23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5" name="AutoShape 527"/>
          <xdr:cNvSpPr>
            <a:spLocks/>
          </xdr:cNvSpPr>
        </xdr:nvSpPr>
        <xdr:spPr>
          <a:xfrm flipV="1">
            <a:off x="1549" y="185"/>
            <a:ext cx="18" cy="23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6" name="Line 528"/>
          <xdr:cNvSpPr>
            <a:spLocks/>
          </xdr:cNvSpPr>
        </xdr:nvSpPr>
        <xdr:spPr>
          <a:xfrm>
            <a:off x="1557" y="208"/>
            <a:ext cx="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7" name="Line 529"/>
          <xdr:cNvSpPr>
            <a:spLocks/>
          </xdr:cNvSpPr>
        </xdr:nvSpPr>
        <xdr:spPr>
          <a:xfrm>
            <a:off x="1546" y="238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  <xdr:oneCellAnchor>
    <xdr:from>
      <xdr:col>11</xdr:col>
      <xdr:colOff>676275</xdr:colOff>
      <xdr:row>6</xdr:row>
      <xdr:rowOff>0</xdr:rowOff>
    </xdr:from>
    <xdr:ext cx="628650" cy="200025"/>
    <xdr:sp>
      <xdr:nvSpPr>
        <xdr:cNvPr id="18" name="TextBox 530"/>
        <xdr:cNvSpPr txBox="1">
          <a:spLocks noChangeArrowheads="1"/>
        </xdr:cNvSpPr>
      </xdr:nvSpPr>
      <xdr:spPr>
        <a:xfrm>
          <a:off x="13401675" y="971550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Geneva"/>
              <a:ea typeface="Geneva"/>
              <a:cs typeface="Geneva"/>
            </a:rPr>
            <a:t>MC side</a:t>
          </a:r>
        </a:p>
      </xdr:txBody>
    </xdr:sp>
    <xdr:clientData/>
  </xdr:oneCellAnchor>
  <xdr:twoCellAnchor>
    <xdr:from>
      <xdr:col>11</xdr:col>
      <xdr:colOff>819150</xdr:colOff>
      <xdr:row>7</xdr:row>
      <xdr:rowOff>104775</xdr:rowOff>
    </xdr:from>
    <xdr:to>
      <xdr:col>11</xdr:col>
      <xdr:colOff>819150</xdr:colOff>
      <xdr:row>13</xdr:row>
      <xdr:rowOff>142875</xdr:rowOff>
    </xdr:to>
    <xdr:sp>
      <xdr:nvSpPr>
        <xdr:cNvPr id="19" name="Line 531"/>
        <xdr:cNvSpPr>
          <a:spLocks/>
        </xdr:cNvSpPr>
      </xdr:nvSpPr>
      <xdr:spPr>
        <a:xfrm flipH="1" flipV="1">
          <a:off x="13544550" y="1238250"/>
          <a:ext cx="0" cy="10096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6</xdr:col>
      <xdr:colOff>533400</xdr:colOff>
      <xdr:row>6</xdr:row>
      <xdr:rowOff>47625</xdr:rowOff>
    </xdr:from>
    <xdr:ext cx="1095375" cy="200025"/>
    <xdr:sp>
      <xdr:nvSpPr>
        <xdr:cNvPr id="20" name="TextBox 532"/>
        <xdr:cNvSpPr txBox="1">
          <a:spLocks noChangeArrowheads="1"/>
        </xdr:cNvSpPr>
      </xdr:nvSpPr>
      <xdr:spPr>
        <a:xfrm>
          <a:off x="7581900" y="1019175"/>
          <a:ext cx="1095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Geneva"/>
              <a:ea typeface="Geneva"/>
              <a:cs typeface="Geneva"/>
            </a:rPr>
            <a:t>Return Header</a:t>
          </a:r>
        </a:p>
      </xdr:txBody>
    </xdr:sp>
    <xdr:clientData/>
  </xdr:oneCellAnchor>
  <xdr:twoCellAnchor>
    <xdr:from>
      <xdr:col>10</xdr:col>
      <xdr:colOff>542925</xdr:colOff>
      <xdr:row>19</xdr:row>
      <xdr:rowOff>95250</xdr:rowOff>
    </xdr:from>
    <xdr:to>
      <xdr:col>12</xdr:col>
      <xdr:colOff>771525</xdr:colOff>
      <xdr:row>19</xdr:row>
      <xdr:rowOff>95250</xdr:rowOff>
    </xdr:to>
    <xdr:sp>
      <xdr:nvSpPr>
        <xdr:cNvPr id="21" name="Line 533"/>
        <xdr:cNvSpPr>
          <a:spLocks/>
        </xdr:cNvSpPr>
      </xdr:nvSpPr>
      <xdr:spPr>
        <a:xfrm>
          <a:off x="12420600" y="3171825"/>
          <a:ext cx="1914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11</xdr:col>
      <xdr:colOff>657225</xdr:colOff>
      <xdr:row>23</xdr:row>
      <xdr:rowOff>47625</xdr:rowOff>
    </xdr:from>
    <xdr:ext cx="581025" cy="200025"/>
    <xdr:sp>
      <xdr:nvSpPr>
        <xdr:cNvPr id="22" name="TextBox 536"/>
        <xdr:cNvSpPr txBox="1">
          <a:spLocks noChangeArrowheads="1"/>
        </xdr:cNvSpPr>
      </xdr:nvSpPr>
      <xdr:spPr>
        <a:xfrm>
          <a:off x="13382625" y="3771900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Geneva"/>
              <a:ea typeface="Geneva"/>
              <a:cs typeface="Geneva"/>
            </a:rPr>
            <a:t>TF side</a:t>
          </a:r>
        </a:p>
      </xdr:txBody>
    </xdr:sp>
    <xdr:clientData/>
  </xdr:oneCellAnchor>
  <xdr:oneCellAnchor>
    <xdr:from>
      <xdr:col>12</xdr:col>
      <xdr:colOff>161925</xdr:colOff>
      <xdr:row>21</xdr:row>
      <xdr:rowOff>38100</xdr:rowOff>
    </xdr:from>
    <xdr:ext cx="466725" cy="200025"/>
    <xdr:sp>
      <xdr:nvSpPr>
        <xdr:cNvPr id="23" name="TextBox 539"/>
        <xdr:cNvSpPr txBox="1">
          <a:spLocks noChangeArrowheads="1"/>
        </xdr:cNvSpPr>
      </xdr:nvSpPr>
      <xdr:spPr>
        <a:xfrm>
          <a:off x="13725525" y="3438525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1 inch</a:t>
          </a:r>
        </a:p>
      </xdr:txBody>
    </xdr:sp>
    <xdr:clientData/>
  </xdr:oneCellAnchor>
  <xdr:twoCellAnchor>
    <xdr:from>
      <xdr:col>12</xdr:col>
      <xdr:colOff>190500</xdr:colOff>
      <xdr:row>18</xdr:row>
      <xdr:rowOff>152400</xdr:rowOff>
    </xdr:from>
    <xdr:to>
      <xdr:col>12</xdr:col>
      <xdr:colOff>771525</xdr:colOff>
      <xdr:row>18</xdr:row>
      <xdr:rowOff>152400</xdr:rowOff>
    </xdr:to>
    <xdr:sp>
      <xdr:nvSpPr>
        <xdr:cNvPr id="24" name="Line 540"/>
        <xdr:cNvSpPr>
          <a:spLocks/>
        </xdr:cNvSpPr>
      </xdr:nvSpPr>
      <xdr:spPr>
        <a:xfrm flipH="1">
          <a:off x="13754100" y="30670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438150</xdr:colOff>
      <xdr:row>18</xdr:row>
      <xdr:rowOff>152400</xdr:rowOff>
    </xdr:from>
    <xdr:to>
      <xdr:col>11</xdr:col>
      <xdr:colOff>828675</xdr:colOff>
      <xdr:row>18</xdr:row>
      <xdr:rowOff>152400</xdr:rowOff>
    </xdr:to>
    <xdr:sp>
      <xdr:nvSpPr>
        <xdr:cNvPr id="25" name="Line 541"/>
        <xdr:cNvSpPr>
          <a:spLocks/>
        </xdr:cNvSpPr>
      </xdr:nvSpPr>
      <xdr:spPr>
        <a:xfrm>
          <a:off x="12315825" y="30670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10</xdr:col>
      <xdr:colOff>19050</xdr:colOff>
      <xdr:row>8</xdr:row>
      <xdr:rowOff>85725</xdr:rowOff>
    </xdr:from>
    <xdr:ext cx="638175" cy="200025"/>
    <xdr:sp>
      <xdr:nvSpPr>
        <xdr:cNvPr id="26" name="TextBox 542"/>
        <xdr:cNvSpPr txBox="1">
          <a:spLocks noChangeArrowheads="1"/>
        </xdr:cNvSpPr>
      </xdr:nvSpPr>
      <xdr:spPr>
        <a:xfrm>
          <a:off x="11896725" y="1381125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1.61 m/s</a:t>
          </a:r>
        </a:p>
      </xdr:txBody>
    </xdr:sp>
    <xdr:clientData/>
  </xdr:oneCellAnchor>
  <xdr:oneCellAnchor>
    <xdr:from>
      <xdr:col>10</xdr:col>
      <xdr:colOff>495300</xdr:colOff>
      <xdr:row>11</xdr:row>
      <xdr:rowOff>38100</xdr:rowOff>
    </xdr:from>
    <xdr:ext cx="685800" cy="200025"/>
    <xdr:sp>
      <xdr:nvSpPr>
        <xdr:cNvPr id="27" name="TextBox 543"/>
        <xdr:cNvSpPr txBox="1">
          <a:spLocks noChangeArrowheads="1"/>
        </xdr:cNvSpPr>
      </xdr:nvSpPr>
      <xdr:spPr>
        <a:xfrm>
          <a:off x="12372975" y="1819275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 1.95 m/s</a:t>
          </a:r>
        </a:p>
      </xdr:txBody>
    </xdr:sp>
    <xdr:clientData/>
  </xdr:oneCellAnchor>
  <xdr:twoCellAnchor>
    <xdr:from>
      <xdr:col>11</xdr:col>
      <xdr:colOff>809625</xdr:colOff>
      <xdr:row>20</xdr:row>
      <xdr:rowOff>47625</xdr:rowOff>
    </xdr:from>
    <xdr:to>
      <xdr:col>11</xdr:col>
      <xdr:colOff>809625</xdr:colOff>
      <xdr:row>22</xdr:row>
      <xdr:rowOff>133350</xdr:rowOff>
    </xdr:to>
    <xdr:sp>
      <xdr:nvSpPr>
        <xdr:cNvPr id="28" name="Line 545"/>
        <xdr:cNvSpPr>
          <a:spLocks/>
        </xdr:cNvSpPr>
      </xdr:nvSpPr>
      <xdr:spPr>
        <a:xfrm>
          <a:off x="13535025" y="32861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95250</xdr:colOff>
      <xdr:row>19</xdr:row>
      <xdr:rowOff>114300</xdr:rowOff>
    </xdr:from>
    <xdr:to>
      <xdr:col>12</xdr:col>
      <xdr:colOff>95250</xdr:colOff>
      <xdr:row>23</xdr:row>
      <xdr:rowOff>66675</xdr:rowOff>
    </xdr:to>
    <xdr:sp>
      <xdr:nvSpPr>
        <xdr:cNvPr id="29" name="Line 548"/>
        <xdr:cNvSpPr>
          <a:spLocks/>
        </xdr:cNvSpPr>
      </xdr:nvSpPr>
      <xdr:spPr>
        <a:xfrm>
          <a:off x="13658850" y="3190875"/>
          <a:ext cx="0" cy="60007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12</xdr:col>
      <xdr:colOff>190500</xdr:colOff>
      <xdr:row>17</xdr:row>
      <xdr:rowOff>47625</xdr:rowOff>
    </xdr:from>
    <xdr:ext cx="600075" cy="200025"/>
    <xdr:sp>
      <xdr:nvSpPr>
        <xdr:cNvPr id="30" name="TextBox 550"/>
        <xdr:cNvSpPr txBox="1">
          <a:spLocks noChangeArrowheads="1"/>
        </xdr:cNvSpPr>
      </xdr:nvSpPr>
      <xdr:spPr>
        <a:xfrm>
          <a:off x="13754100" y="2800350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1.17m/s</a:t>
          </a:r>
        </a:p>
      </xdr:txBody>
    </xdr:sp>
    <xdr:clientData/>
  </xdr:oneCellAnchor>
  <xdr:oneCellAnchor>
    <xdr:from>
      <xdr:col>12</xdr:col>
      <xdr:colOff>228600</xdr:colOff>
      <xdr:row>20</xdr:row>
      <xdr:rowOff>0</xdr:rowOff>
    </xdr:from>
    <xdr:ext cx="590550" cy="200025"/>
    <xdr:sp>
      <xdr:nvSpPr>
        <xdr:cNvPr id="31" name="TextBox 551"/>
        <xdr:cNvSpPr txBox="1">
          <a:spLocks noChangeArrowheads="1"/>
        </xdr:cNvSpPr>
      </xdr:nvSpPr>
      <xdr:spPr>
        <a:xfrm>
          <a:off x="13792200" y="3238500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.75 inch</a:t>
          </a:r>
        </a:p>
      </xdr:txBody>
    </xdr:sp>
    <xdr:clientData/>
  </xdr:oneCellAnchor>
  <xdr:oneCellAnchor>
    <xdr:from>
      <xdr:col>10</xdr:col>
      <xdr:colOff>428625</xdr:colOff>
      <xdr:row>21</xdr:row>
      <xdr:rowOff>38100</xdr:rowOff>
    </xdr:from>
    <xdr:ext cx="638175" cy="200025"/>
    <xdr:sp>
      <xdr:nvSpPr>
        <xdr:cNvPr id="32" name="TextBox 552"/>
        <xdr:cNvSpPr txBox="1">
          <a:spLocks noChangeArrowheads="1"/>
        </xdr:cNvSpPr>
      </xdr:nvSpPr>
      <xdr:spPr>
        <a:xfrm>
          <a:off x="12306300" y="3438525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1.44 m/s</a:t>
          </a:r>
        </a:p>
      </xdr:txBody>
    </xdr:sp>
    <xdr:clientData/>
  </xdr:oneCellAnchor>
  <xdr:oneCellAnchor>
    <xdr:from>
      <xdr:col>11</xdr:col>
      <xdr:colOff>695325</xdr:colOff>
      <xdr:row>14</xdr:row>
      <xdr:rowOff>123825</xdr:rowOff>
    </xdr:from>
    <xdr:ext cx="381000" cy="200025"/>
    <xdr:sp>
      <xdr:nvSpPr>
        <xdr:cNvPr id="33" name="TextBox 555"/>
        <xdr:cNvSpPr txBox="1">
          <a:spLocks noChangeArrowheads="1"/>
        </xdr:cNvSpPr>
      </xdr:nvSpPr>
      <xdr:spPr>
        <a:xfrm>
          <a:off x="13420725" y="23907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valve</a:t>
          </a:r>
        </a:p>
      </xdr:txBody>
    </xdr:sp>
    <xdr:clientData/>
  </xdr:oneCellAnchor>
  <xdr:twoCellAnchor>
    <xdr:from>
      <xdr:col>7</xdr:col>
      <xdr:colOff>990600</xdr:colOff>
      <xdr:row>24</xdr:row>
      <xdr:rowOff>123825</xdr:rowOff>
    </xdr:from>
    <xdr:to>
      <xdr:col>14</xdr:col>
      <xdr:colOff>180975</xdr:colOff>
      <xdr:row>24</xdr:row>
      <xdr:rowOff>123825</xdr:rowOff>
    </xdr:to>
    <xdr:sp>
      <xdr:nvSpPr>
        <xdr:cNvPr id="34" name="Line 557"/>
        <xdr:cNvSpPr>
          <a:spLocks/>
        </xdr:cNvSpPr>
      </xdr:nvSpPr>
      <xdr:spPr>
        <a:xfrm>
          <a:off x="9172575" y="4010025"/>
          <a:ext cx="6429375" cy="0"/>
        </a:xfrm>
        <a:prstGeom prst="line">
          <a:avLst/>
        </a:prstGeom>
        <a:noFill/>
        <a:ln w="2857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</xdr:col>
      <xdr:colOff>304800</xdr:colOff>
      <xdr:row>23</xdr:row>
      <xdr:rowOff>76200</xdr:rowOff>
    </xdr:from>
    <xdr:ext cx="942975" cy="200025"/>
    <xdr:sp>
      <xdr:nvSpPr>
        <xdr:cNvPr id="35" name="TextBox 558"/>
        <xdr:cNvSpPr txBox="1">
          <a:spLocks noChangeArrowheads="1"/>
        </xdr:cNvSpPr>
      </xdr:nvSpPr>
      <xdr:spPr>
        <a:xfrm>
          <a:off x="9906000" y="3800475"/>
          <a:ext cx="942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VV centerline</a:t>
          </a:r>
        </a:p>
      </xdr:txBody>
    </xdr:sp>
    <xdr:clientData/>
  </xdr:oneCellAnchor>
  <xdr:oneCellAnchor>
    <xdr:from>
      <xdr:col>6</xdr:col>
      <xdr:colOff>314325</xdr:colOff>
      <xdr:row>14</xdr:row>
      <xdr:rowOff>0</xdr:rowOff>
    </xdr:from>
    <xdr:ext cx="3200400" cy="361950"/>
    <xdr:sp>
      <xdr:nvSpPr>
        <xdr:cNvPr id="36" name="TextBox 559"/>
        <xdr:cNvSpPr txBox="1">
          <a:spLocks noChangeArrowheads="1"/>
        </xdr:cNvSpPr>
      </xdr:nvSpPr>
      <xdr:spPr>
        <a:xfrm>
          <a:off x="7362825" y="2266950"/>
          <a:ext cx="3200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Supply lines will be the same except there will be
no valve on the MC header.</a:t>
          </a:r>
        </a:p>
      </xdr:txBody>
    </xdr:sp>
    <xdr:clientData/>
  </xdr:oneCellAnchor>
  <xdr:twoCellAnchor>
    <xdr:from>
      <xdr:col>0</xdr:col>
      <xdr:colOff>28575</xdr:colOff>
      <xdr:row>70</xdr:row>
      <xdr:rowOff>152400</xdr:rowOff>
    </xdr:from>
    <xdr:to>
      <xdr:col>11</xdr:col>
      <xdr:colOff>19050</xdr:colOff>
      <xdr:row>70</xdr:row>
      <xdr:rowOff>152400</xdr:rowOff>
    </xdr:to>
    <xdr:sp>
      <xdr:nvSpPr>
        <xdr:cNvPr id="37" name="Line 561"/>
        <xdr:cNvSpPr>
          <a:spLocks/>
        </xdr:cNvSpPr>
      </xdr:nvSpPr>
      <xdr:spPr>
        <a:xfrm>
          <a:off x="28575" y="11487150"/>
          <a:ext cx="127158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4"/>
  <sheetViews>
    <sheetView tabSelected="1" workbookViewId="0" topLeftCell="G13">
      <selection activeCell="Q16" sqref="Q16"/>
    </sheetView>
  </sheetViews>
  <sheetFormatPr defaultColWidth="9.00390625" defaultRowHeight="12.75"/>
  <cols>
    <col min="1" max="1" width="18.00390625" style="0" customWidth="1"/>
    <col min="2" max="2" width="13.00390625" style="0" customWidth="1"/>
    <col min="3" max="3" width="16.875" style="0" customWidth="1"/>
    <col min="4" max="4" width="14.75390625" style="0" customWidth="1"/>
    <col min="5" max="5" width="16.125" style="0" customWidth="1"/>
    <col min="6" max="6" width="13.75390625" style="0" customWidth="1"/>
    <col min="7" max="7" width="14.875" style="0" customWidth="1"/>
    <col min="8" max="8" width="18.625" style="0" customWidth="1"/>
    <col min="9" max="9" width="20.625" style="0" customWidth="1"/>
    <col min="10" max="10" width="9.25390625" style="0" customWidth="1"/>
    <col min="11" max="11" width="11.125" style="0" customWidth="1"/>
    <col min="12" max="12" width="11.00390625" style="0" customWidth="1"/>
    <col min="13" max="13" width="11.25390625" style="0" customWidth="1"/>
    <col min="14" max="14" width="13.125" style="0" customWidth="1"/>
    <col min="15" max="15" width="10.875" style="0" customWidth="1"/>
    <col min="16" max="16" width="10.125" style="0" customWidth="1"/>
    <col min="17" max="17" width="12.25390625" style="0" customWidth="1"/>
    <col min="18" max="18" width="12.875" style="0" customWidth="1"/>
    <col min="19" max="19" width="15.00390625" style="0" customWidth="1"/>
    <col min="20" max="20" width="14.125" style="0" customWidth="1"/>
    <col min="21" max="21" width="10.25390625" style="0" customWidth="1"/>
    <col min="22" max="22" width="10.75390625" style="0" customWidth="1"/>
    <col min="23" max="23" width="10.375" style="0" customWidth="1"/>
    <col min="24" max="16384" width="11.375" style="0" customWidth="1"/>
  </cols>
  <sheetData>
    <row r="1" spans="1:8" ht="12.75">
      <c r="A1" s="14" t="s">
        <v>107</v>
      </c>
      <c r="B1" s="15"/>
      <c r="C1" s="8"/>
      <c r="F1" s="15" t="s">
        <v>38</v>
      </c>
      <c r="G1" s="10">
        <v>38118</v>
      </c>
      <c r="H1" s="10"/>
    </row>
    <row r="2" spans="1:13" ht="12.75">
      <c r="A2" s="25" t="s">
        <v>110</v>
      </c>
      <c r="C2" s="8"/>
      <c r="G2" s="10"/>
      <c r="H2" s="10"/>
      <c r="I2" s="21"/>
      <c r="J2" s="71"/>
      <c r="K2" s="13"/>
      <c r="L2" s="13"/>
      <c r="M2" s="13"/>
    </row>
    <row r="3" spans="1:11" ht="12.75">
      <c r="A3" s="24" t="s">
        <v>149</v>
      </c>
      <c r="B3" s="25"/>
      <c r="C3" s="25"/>
      <c r="D3" t="s">
        <v>2</v>
      </c>
      <c r="E3" s="8"/>
      <c r="G3" s="10"/>
      <c r="H3" s="10"/>
      <c r="K3" s="2"/>
    </row>
    <row r="4" spans="1:11" ht="12.75">
      <c r="A4" s="24" t="s">
        <v>108</v>
      </c>
      <c r="B4" s="24"/>
      <c r="C4" s="25"/>
      <c r="D4" t="s">
        <v>54</v>
      </c>
      <c r="G4" s="60"/>
      <c r="I4" s="2"/>
      <c r="K4" s="2"/>
    </row>
    <row r="5" spans="1:11" ht="12.75">
      <c r="A5" s="24" t="s">
        <v>116</v>
      </c>
      <c r="D5" s="2" t="s">
        <v>129</v>
      </c>
      <c r="G5" s="60"/>
      <c r="I5" s="2"/>
      <c r="K5" s="2"/>
    </row>
    <row r="6" spans="1:11" ht="12.75">
      <c r="A6" s="24" t="s">
        <v>117</v>
      </c>
      <c r="C6" s="21"/>
      <c r="D6" s="32"/>
      <c r="E6" s="13"/>
      <c r="F6" s="13"/>
      <c r="I6" s="2"/>
      <c r="K6" s="2"/>
    </row>
    <row r="7" spans="3:11" ht="12.75">
      <c r="C7" s="1" t="s">
        <v>6</v>
      </c>
      <c r="D7" s="3">
        <v>2.04</v>
      </c>
      <c r="E7" t="s">
        <v>16</v>
      </c>
      <c r="G7" s="2"/>
      <c r="H7" s="2"/>
      <c r="K7" s="2"/>
    </row>
    <row r="8" spans="1:15" ht="12.75">
      <c r="A8" s="24"/>
      <c r="C8" s="1" t="s">
        <v>8</v>
      </c>
      <c r="D8" s="3">
        <f>0.809</f>
        <v>0.809</v>
      </c>
      <c r="E8" t="s">
        <v>43</v>
      </c>
      <c r="G8" s="2"/>
      <c r="H8" s="2"/>
      <c r="L8" s="4"/>
      <c r="M8" s="4"/>
      <c r="N8" s="4"/>
      <c r="O8" s="4"/>
    </row>
    <row r="9" spans="3:18" ht="12.75">
      <c r="C9" s="1" t="s">
        <v>10</v>
      </c>
      <c r="D9" s="3">
        <v>0.00134</v>
      </c>
      <c r="E9" t="s">
        <v>13</v>
      </c>
      <c r="G9" s="1"/>
      <c r="H9" s="21"/>
      <c r="I9" s="208"/>
      <c r="J9" s="28"/>
      <c r="K9" s="28"/>
      <c r="L9" s="28"/>
      <c r="M9" s="28"/>
      <c r="N9" s="13"/>
      <c r="O9" s="13"/>
      <c r="P9" s="13"/>
      <c r="Q9" s="13"/>
      <c r="R9" s="13"/>
    </row>
    <row r="10" spans="3:19" ht="12.75">
      <c r="C10" s="1" t="s">
        <v>11</v>
      </c>
      <c r="D10" s="45">
        <f>0.00153</f>
        <v>0.00153</v>
      </c>
      <c r="E10" t="s">
        <v>17</v>
      </c>
      <c r="H10" s="209"/>
      <c r="I10" s="28"/>
      <c r="J10" s="71"/>
      <c r="K10" s="28"/>
      <c r="L10" s="28"/>
      <c r="M10" s="28"/>
      <c r="N10" s="13"/>
      <c r="O10" s="13"/>
      <c r="P10" s="13"/>
      <c r="Q10" s="13"/>
      <c r="R10" s="13"/>
      <c r="S10" s="13"/>
    </row>
    <row r="11" spans="2:19" ht="12.75">
      <c r="B11" s="1" t="s">
        <v>67</v>
      </c>
      <c r="C11" s="21" t="s">
        <v>12</v>
      </c>
      <c r="D11" s="49">
        <f>k/(p*Cp)</f>
        <v>0.0008119440606897889</v>
      </c>
      <c r="E11" s="13" t="s">
        <v>90</v>
      </c>
      <c r="F11" s="13"/>
      <c r="H11" s="13"/>
      <c r="I11" s="13"/>
      <c r="J11" s="13"/>
      <c r="K11" s="9"/>
      <c r="L11" s="9"/>
      <c r="M11" s="9"/>
      <c r="N11" s="9"/>
      <c r="O11" s="13"/>
      <c r="P11" s="13"/>
      <c r="Q11" s="13"/>
      <c r="R11" s="13"/>
      <c r="S11" s="13"/>
    </row>
    <row r="12" spans="3:19" ht="12.75">
      <c r="C12" s="1" t="s">
        <v>7</v>
      </c>
      <c r="D12" s="48">
        <f>v/a</f>
        <v>2.3292537313432833</v>
      </c>
      <c r="E12" t="s">
        <v>18</v>
      </c>
      <c r="H12" s="144"/>
      <c r="I12" s="13"/>
      <c r="J12" s="13"/>
      <c r="K12" s="9"/>
      <c r="L12" s="9"/>
      <c r="M12" s="9"/>
      <c r="N12" s="9"/>
      <c r="O12" s="13"/>
      <c r="P12" s="13"/>
      <c r="Q12" s="13"/>
      <c r="R12" s="13"/>
      <c r="S12" s="13"/>
    </row>
    <row r="13" spans="3:19" ht="12.75">
      <c r="C13" s="21" t="s">
        <v>9</v>
      </c>
      <c r="D13" s="49">
        <f>u/p</f>
        <v>0.0018912237330037081</v>
      </c>
      <c r="E13" s="13" t="s">
        <v>32</v>
      </c>
      <c r="F13" s="13"/>
      <c r="G13" s="1"/>
      <c r="H13" s="13"/>
      <c r="I13" s="111"/>
      <c r="J13" s="124"/>
      <c r="K13" s="13"/>
      <c r="L13" s="124"/>
      <c r="M13" s="124"/>
      <c r="N13" s="9"/>
      <c r="O13" s="13"/>
      <c r="P13" s="13"/>
      <c r="Q13" s="13"/>
      <c r="R13" s="13"/>
      <c r="S13" s="13"/>
    </row>
    <row r="14" spans="3:19" ht="12.75">
      <c r="C14" s="1" t="s">
        <v>0</v>
      </c>
      <c r="D14" s="3">
        <f>5</f>
        <v>5</v>
      </c>
      <c r="E14" t="s">
        <v>1</v>
      </c>
      <c r="G14" s="1"/>
      <c r="H14" s="9"/>
      <c r="I14" s="9"/>
      <c r="J14" s="124"/>
      <c r="K14" s="13"/>
      <c r="L14" s="124"/>
      <c r="M14" s="124"/>
      <c r="N14" s="9"/>
      <c r="O14" s="13"/>
      <c r="P14" s="13"/>
      <c r="Q14" s="13"/>
      <c r="R14" s="13"/>
      <c r="S14" s="13"/>
    </row>
    <row r="15" spans="3:19" ht="12.75">
      <c r="C15" s="21"/>
      <c r="D15" s="32"/>
      <c r="E15" s="108"/>
      <c r="F15" s="13"/>
      <c r="H15" s="9"/>
      <c r="I15" s="9"/>
      <c r="J15" s="124"/>
      <c r="K15" s="13"/>
      <c r="L15" s="124"/>
      <c r="M15" s="124"/>
      <c r="N15" s="9"/>
      <c r="O15" s="13"/>
      <c r="P15" s="13"/>
      <c r="Q15" s="13"/>
      <c r="R15" s="13"/>
      <c r="S15" s="13"/>
    </row>
    <row r="16" spans="3:19" ht="12.75">
      <c r="C16" s="21"/>
      <c r="D16" s="65"/>
      <c r="E16" s="26" t="s">
        <v>76</v>
      </c>
      <c r="F16" s="13"/>
      <c r="G16" s="13"/>
      <c r="H16" s="9"/>
      <c r="I16" s="9"/>
      <c r="J16" s="89"/>
      <c r="K16" s="13"/>
      <c r="L16" s="9"/>
      <c r="M16" s="89"/>
      <c r="N16" s="9"/>
      <c r="O16" s="13"/>
      <c r="P16" s="13"/>
      <c r="Q16" s="13"/>
      <c r="R16" s="13"/>
      <c r="S16" s="13"/>
    </row>
    <row r="17" spans="3:19" ht="12.75">
      <c r="C17" s="1" t="s">
        <v>3</v>
      </c>
      <c r="D17" s="44">
        <f>3.1416</f>
        <v>3.1416</v>
      </c>
      <c r="H17" s="13"/>
      <c r="I17" s="9"/>
      <c r="J17" s="89"/>
      <c r="K17" s="13"/>
      <c r="L17" s="9"/>
      <c r="M17" s="89"/>
      <c r="N17" s="9"/>
      <c r="O17" s="13"/>
      <c r="P17" s="13"/>
      <c r="Q17" s="13"/>
      <c r="R17" s="13"/>
      <c r="S17" s="13"/>
    </row>
    <row r="18" spans="2:19" ht="12.75">
      <c r="B18" s="1"/>
      <c r="C18" s="1" t="s">
        <v>4</v>
      </c>
      <c r="D18" s="3">
        <f>981</f>
        <v>981</v>
      </c>
      <c r="E18" t="s">
        <v>5</v>
      </c>
      <c r="H18" s="210"/>
      <c r="I18" s="116"/>
      <c r="J18" s="28"/>
      <c r="K18" s="21"/>
      <c r="L18" s="28"/>
      <c r="M18" s="211"/>
      <c r="N18" s="79"/>
      <c r="O18" s="13"/>
      <c r="P18" s="13"/>
      <c r="Q18" s="13"/>
      <c r="R18" s="13"/>
      <c r="S18" s="9"/>
    </row>
    <row r="19" spans="2:19" ht="12.75">
      <c r="B19" s="1"/>
      <c r="C19" s="1"/>
      <c r="D19" s="3"/>
      <c r="G19" s="4"/>
      <c r="H19" s="21"/>
      <c r="I19" s="212"/>
      <c r="J19" s="13"/>
      <c r="K19" s="21"/>
      <c r="L19" s="28"/>
      <c r="M19" s="43"/>
      <c r="N19" s="79"/>
      <c r="O19" s="13"/>
      <c r="P19" s="13"/>
      <c r="Q19" s="13"/>
      <c r="R19" s="13"/>
      <c r="S19" s="9"/>
    </row>
    <row r="20" spans="1:19" ht="12.75">
      <c r="A20" s="110" t="s">
        <v>77</v>
      </c>
      <c r="B20" s="1"/>
      <c r="C20" s="1"/>
      <c r="D20" s="3"/>
      <c r="H20" s="21"/>
      <c r="I20" s="212"/>
      <c r="J20" s="28"/>
      <c r="K20" s="28"/>
      <c r="L20" s="28"/>
      <c r="M20" s="28"/>
      <c r="N20" s="79"/>
      <c r="O20" s="13"/>
      <c r="P20" s="13"/>
      <c r="Q20" s="13"/>
      <c r="R20" s="13"/>
      <c r="S20" s="9"/>
    </row>
    <row r="21" spans="2:19" ht="12.75">
      <c r="B21" s="1"/>
      <c r="C21" s="1"/>
      <c r="D21" s="44"/>
      <c r="F21" s="70" t="s">
        <v>93</v>
      </c>
      <c r="H21" s="67"/>
      <c r="I21" s="105"/>
      <c r="J21" s="13"/>
      <c r="K21" s="13"/>
      <c r="L21" s="13"/>
      <c r="M21" s="13"/>
      <c r="N21" s="79"/>
      <c r="O21" s="13"/>
      <c r="P21" s="13"/>
      <c r="Q21" s="13"/>
      <c r="R21" s="13"/>
      <c r="S21" s="9"/>
    </row>
    <row r="22" spans="2:19" ht="12.75">
      <c r="B22" s="70" t="s">
        <v>79</v>
      </c>
      <c r="C22" s="70" t="s">
        <v>79</v>
      </c>
      <c r="D22" s="70" t="s">
        <v>82</v>
      </c>
      <c r="E22" s="70" t="s">
        <v>82</v>
      </c>
      <c r="F22" s="70" t="s">
        <v>86</v>
      </c>
      <c r="G22" s="17"/>
      <c r="H22" s="67"/>
      <c r="I22" s="28"/>
      <c r="J22" s="13"/>
      <c r="K22" s="13"/>
      <c r="L22" s="13"/>
      <c r="M22" s="13"/>
      <c r="N22" s="79"/>
      <c r="O22" s="13"/>
      <c r="P22" s="13"/>
      <c r="Q22" s="13"/>
      <c r="R22" s="13"/>
      <c r="S22" s="9"/>
    </row>
    <row r="23" spans="1:19" ht="12.75">
      <c r="A23" s="63"/>
      <c r="B23" s="5" t="s">
        <v>80</v>
      </c>
      <c r="C23" s="5" t="s">
        <v>81</v>
      </c>
      <c r="D23" s="5" t="s">
        <v>89</v>
      </c>
      <c r="E23" s="114" t="s">
        <v>83</v>
      </c>
      <c r="F23" s="114" t="s">
        <v>57</v>
      </c>
      <c r="G23" s="3"/>
      <c r="H23" s="67"/>
      <c r="I23" s="28"/>
      <c r="J23" s="13"/>
      <c r="K23" s="13"/>
      <c r="L23" s="13"/>
      <c r="M23" s="13"/>
      <c r="N23" s="79"/>
      <c r="O23" s="13"/>
      <c r="P23" s="13"/>
      <c r="Q23" s="13"/>
      <c r="R23" s="13"/>
      <c r="S23" s="9"/>
    </row>
    <row r="24" spans="1:19" ht="12.75">
      <c r="A24" s="15" t="s">
        <v>78</v>
      </c>
      <c r="B24" s="4">
        <f>0.25-0.07</f>
        <v>0.18</v>
      </c>
      <c r="C24" s="112">
        <f aca="true" t="shared" si="0" ref="C24:C31">B24*2.54</f>
        <v>0.4572</v>
      </c>
      <c r="D24" s="113">
        <v>4</v>
      </c>
      <c r="F24" s="40">
        <f>1.04</f>
        <v>1.04</v>
      </c>
      <c r="G24" s="3"/>
      <c r="H24" s="67"/>
      <c r="I24" s="28"/>
      <c r="J24" s="13"/>
      <c r="K24" s="111"/>
      <c r="L24" s="128"/>
      <c r="M24" s="13"/>
      <c r="N24" s="79"/>
      <c r="O24" s="13"/>
      <c r="P24" s="13"/>
      <c r="Q24" s="13"/>
      <c r="R24" s="13"/>
      <c r="S24" s="13"/>
    </row>
    <row r="25" spans="1:19" ht="12.75">
      <c r="A25" s="111" t="s">
        <v>68</v>
      </c>
      <c r="B25" s="33">
        <v>0.312</v>
      </c>
      <c r="C25" s="28">
        <f t="shared" si="0"/>
        <v>0.79248</v>
      </c>
      <c r="D25" s="116">
        <v>355</v>
      </c>
      <c r="E25" s="35">
        <f aca="true" t="shared" si="1" ref="E25:E32">D25*12/39.37</f>
        <v>108.20421640843283</v>
      </c>
      <c r="F25" s="93">
        <v>1.6</v>
      </c>
      <c r="G25" s="28"/>
      <c r="H25" s="67"/>
      <c r="I25" s="28"/>
      <c r="J25" s="13"/>
      <c r="K25" s="9"/>
      <c r="L25" s="13"/>
      <c r="M25" s="13"/>
      <c r="N25" s="79"/>
      <c r="O25" s="13"/>
      <c r="P25" s="13"/>
      <c r="Q25" s="13"/>
      <c r="R25" s="13"/>
      <c r="S25" s="13"/>
    </row>
    <row r="26" spans="1:23" ht="12.75">
      <c r="A26" s="15" t="s">
        <v>84</v>
      </c>
      <c r="B26" s="33">
        <v>0.354</v>
      </c>
      <c r="C26" s="28">
        <f t="shared" si="0"/>
        <v>0.89916</v>
      </c>
      <c r="D26" s="116">
        <f>G26</f>
        <v>0</v>
      </c>
      <c r="E26" s="35">
        <f t="shared" si="1"/>
        <v>0</v>
      </c>
      <c r="F26" s="93">
        <v>1.1</v>
      </c>
      <c r="G26" s="171"/>
      <c r="H26" s="26"/>
      <c r="I26" s="67"/>
      <c r="J26" s="28"/>
      <c r="K26" s="13"/>
      <c r="L26" s="9"/>
      <c r="M26" s="9"/>
      <c r="N26" s="78"/>
      <c r="O26" s="79"/>
      <c r="P26" s="13"/>
      <c r="Q26" s="13"/>
      <c r="R26" s="13"/>
      <c r="V26" s="13"/>
      <c r="W26" s="13"/>
    </row>
    <row r="27" spans="1:23" ht="12.75">
      <c r="A27" s="15" t="s">
        <v>112</v>
      </c>
      <c r="B27" s="33">
        <v>0.354</v>
      </c>
      <c r="C27" s="28">
        <f t="shared" si="0"/>
        <v>0.89916</v>
      </c>
      <c r="D27" s="116">
        <f>D26</f>
        <v>0</v>
      </c>
      <c r="E27" s="35">
        <f t="shared" si="1"/>
        <v>0</v>
      </c>
      <c r="F27" s="93">
        <v>1.1</v>
      </c>
      <c r="G27" s="28"/>
      <c r="H27" s="28"/>
      <c r="I27" s="67"/>
      <c r="J27" s="28"/>
      <c r="M27" s="9"/>
      <c r="N27" s="78"/>
      <c r="O27" s="79"/>
      <c r="P27" s="13"/>
      <c r="Q27" s="13"/>
      <c r="R27" s="13"/>
      <c r="V27" s="13"/>
      <c r="W27" s="13"/>
    </row>
    <row r="28" spans="1:23" ht="12.75">
      <c r="A28" s="15" t="s">
        <v>111</v>
      </c>
      <c r="B28" s="33">
        <v>0.354</v>
      </c>
      <c r="C28" s="28">
        <f t="shared" si="0"/>
        <v>0.89916</v>
      </c>
      <c r="D28" s="116">
        <f>D26</f>
        <v>0</v>
      </c>
      <c r="E28" s="35">
        <f t="shared" si="1"/>
        <v>0</v>
      </c>
      <c r="F28" s="93">
        <v>1.1</v>
      </c>
      <c r="G28" s="28"/>
      <c r="H28" s="28"/>
      <c r="I28" s="67"/>
      <c r="J28" s="28"/>
      <c r="K28" s="13"/>
      <c r="L28" s="9"/>
      <c r="M28" s="9"/>
      <c r="N28" s="78"/>
      <c r="O28" s="79"/>
      <c r="P28" s="13"/>
      <c r="Q28" s="13"/>
      <c r="R28" s="13"/>
      <c r="V28" s="13"/>
      <c r="W28" s="13"/>
    </row>
    <row r="29" spans="1:23" ht="12.75">
      <c r="A29" s="15" t="s">
        <v>85</v>
      </c>
      <c r="B29" s="33">
        <v>0.354</v>
      </c>
      <c r="C29" s="28">
        <f t="shared" si="0"/>
        <v>0.89916</v>
      </c>
      <c r="D29" s="116">
        <v>861</v>
      </c>
      <c r="E29" s="35">
        <f t="shared" si="1"/>
        <v>262.43332486664974</v>
      </c>
      <c r="F29" s="93">
        <v>1.1</v>
      </c>
      <c r="G29" s="28"/>
      <c r="H29" s="28"/>
      <c r="I29" s="67"/>
      <c r="J29" s="28"/>
      <c r="K29" s="13"/>
      <c r="L29" s="9"/>
      <c r="M29" s="9"/>
      <c r="N29" s="78"/>
      <c r="O29" s="79"/>
      <c r="P29" s="13"/>
      <c r="Q29" s="13"/>
      <c r="R29" s="13"/>
      <c r="V29" s="13"/>
      <c r="W29" s="13"/>
    </row>
    <row r="30" spans="1:23" ht="12.75">
      <c r="A30" s="15" t="s">
        <v>87</v>
      </c>
      <c r="B30" s="33">
        <v>0.354</v>
      </c>
      <c r="C30" s="28">
        <f t="shared" si="0"/>
        <v>0.89916</v>
      </c>
      <c r="D30" s="116">
        <v>1100</v>
      </c>
      <c r="E30" s="35">
        <f t="shared" si="1"/>
        <v>335.28067056134114</v>
      </c>
      <c r="F30" s="93">
        <v>1.1</v>
      </c>
      <c r="G30" s="28"/>
      <c r="H30" s="28"/>
      <c r="I30" s="67"/>
      <c r="J30" s="28"/>
      <c r="K30" s="13"/>
      <c r="L30" s="9"/>
      <c r="M30" s="9"/>
      <c r="N30" s="78"/>
      <c r="O30" s="79"/>
      <c r="P30" s="13"/>
      <c r="Q30" s="13"/>
      <c r="R30" s="13"/>
      <c r="V30" s="13"/>
      <c r="W30" s="13"/>
    </row>
    <row r="31" spans="1:23" ht="12.75">
      <c r="A31" s="15" t="s">
        <v>88</v>
      </c>
      <c r="B31" s="33">
        <v>0.354</v>
      </c>
      <c r="C31" s="28">
        <f t="shared" si="0"/>
        <v>0.89916</v>
      </c>
      <c r="D31" s="116">
        <v>786</v>
      </c>
      <c r="E31" s="35">
        <f t="shared" si="1"/>
        <v>239.57327914655832</v>
      </c>
      <c r="F31" s="93">
        <v>1.1</v>
      </c>
      <c r="G31" s="28"/>
      <c r="H31" s="28"/>
      <c r="I31" s="67"/>
      <c r="J31" s="28"/>
      <c r="K31" s="13"/>
      <c r="L31" s="9"/>
      <c r="M31" s="9"/>
      <c r="N31" s="215"/>
      <c r="O31" s="79"/>
      <c r="P31" s="13"/>
      <c r="Q31" s="13"/>
      <c r="R31" s="13"/>
      <c r="V31" s="13"/>
      <c r="W31" s="13"/>
    </row>
    <row r="32" spans="1:23" ht="12.75">
      <c r="A32" s="15" t="s">
        <v>115</v>
      </c>
      <c r="B32" s="33">
        <v>0.354</v>
      </c>
      <c r="C32" s="28">
        <v>0.9</v>
      </c>
      <c r="D32" s="116">
        <v>178</v>
      </c>
      <c r="E32" s="116">
        <f t="shared" si="1"/>
        <v>54.25450850901702</v>
      </c>
      <c r="F32" s="93">
        <v>1.1</v>
      </c>
      <c r="I32" s="67"/>
      <c r="J32" s="28"/>
      <c r="K32" s="13"/>
      <c r="L32" s="9"/>
      <c r="M32" s="124" t="s">
        <v>137</v>
      </c>
      <c r="O32" s="215" t="s">
        <v>136</v>
      </c>
      <c r="P32" s="79"/>
      <c r="Q32" s="13"/>
      <c r="R32" s="124" t="s">
        <v>136</v>
      </c>
      <c r="V32" s="13"/>
      <c r="W32" s="13"/>
    </row>
    <row r="33" spans="1:26" ht="12.75">
      <c r="A33" s="15" t="s">
        <v>105</v>
      </c>
      <c r="B33" s="197"/>
      <c r="C33" s="42"/>
      <c r="D33" s="28"/>
      <c r="E33" s="28"/>
      <c r="F33" s="93">
        <v>0.5</v>
      </c>
      <c r="G33" s="28"/>
      <c r="H33" s="28"/>
      <c r="I33" s="67"/>
      <c r="J33" s="28"/>
      <c r="K33" s="13"/>
      <c r="L33" s="9"/>
      <c r="M33" s="70" t="s">
        <v>132</v>
      </c>
      <c r="N33" s="8" t="s">
        <v>138</v>
      </c>
      <c r="O33" s="124" t="s">
        <v>135</v>
      </c>
      <c r="P33" s="215"/>
      <c r="Q33" s="216"/>
      <c r="R33" s="124" t="s">
        <v>134</v>
      </c>
      <c r="V33" s="13"/>
      <c r="W33" s="13"/>
      <c r="Z33" s="12"/>
    </row>
    <row r="34" spans="1:23" ht="12.75">
      <c r="A34" s="15"/>
      <c r="B34" s="33"/>
      <c r="C34" s="28"/>
      <c r="D34" s="28"/>
      <c r="E34" s="28"/>
      <c r="F34" s="28"/>
      <c r="G34" s="28">
        <f>F51/F47</f>
        <v>0.8688524590163935</v>
      </c>
      <c r="H34" s="28"/>
      <c r="I34" s="67"/>
      <c r="J34" s="28"/>
      <c r="K34" s="13"/>
      <c r="L34" s="9"/>
      <c r="M34" s="90" t="s">
        <v>133</v>
      </c>
      <c r="N34" s="90" t="s">
        <v>139</v>
      </c>
      <c r="O34" s="90" t="s">
        <v>55</v>
      </c>
      <c r="P34" s="90" t="s">
        <v>19</v>
      </c>
      <c r="Q34" s="206" t="s">
        <v>131</v>
      </c>
      <c r="R34" s="142" t="s">
        <v>27</v>
      </c>
      <c r="V34" s="13"/>
      <c r="W34" s="13"/>
    </row>
    <row r="35" spans="1:23" ht="12.75">
      <c r="A35" s="8" t="s">
        <v>61</v>
      </c>
      <c r="B35" s="4"/>
      <c r="C35" s="4"/>
      <c r="E35" s="18"/>
      <c r="F35" s="19"/>
      <c r="G35" s="6"/>
      <c r="H35" s="6"/>
      <c r="I35" s="67"/>
      <c r="J35" s="28"/>
      <c r="K35" s="13"/>
      <c r="L35" s="124" t="s">
        <v>114</v>
      </c>
      <c r="M35" s="127">
        <v>2.049</v>
      </c>
      <c r="N35" s="11">
        <f>(48*F43+2*F68)*231/60*2.54^3*0.001</f>
        <v>3.7203683151194555</v>
      </c>
      <c r="O35" s="28">
        <f>N35*1000/(PI()*0.25*(M35*2.54)^2)*0.01</f>
        <v>1.7488183661245733</v>
      </c>
      <c r="P35" s="213">
        <f>M35*2.54*O35*100/v</f>
        <v>481257.45647793496</v>
      </c>
      <c r="Q35" s="7">
        <f>0.316/P35^0.25</f>
        <v>0.011997554039568247</v>
      </c>
      <c r="R35" s="33">
        <f>0.968*Q35*100*p*(O35*100)^2*10^-3/(2*M35*2.54*g)</f>
        <v>0.0028140468710880625</v>
      </c>
      <c r="V35" s="13"/>
      <c r="W35" s="13"/>
    </row>
    <row r="36" spans="1:23" ht="12.75">
      <c r="A36" t="s">
        <v>72</v>
      </c>
      <c r="B36" s="4"/>
      <c r="C36" s="4"/>
      <c r="E36" s="18"/>
      <c r="F36" s="19"/>
      <c r="G36" s="6"/>
      <c r="H36" s="6"/>
      <c r="I36" s="35"/>
      <c r="L36" s="90" t="s">
        <v>95</v>
      </c>
      <c r="M36" s="123">
        <v>1.592</v>
      </c>
      <c r="N36" s="217">
        <f>0.5*N35</f>
        <v>1.8601841575597278</v>
      </c>
      <c r="O36" s="68">
        <f>N36*1000/(PI()*0.25*(M36*2.54)^2)*0.01</f>
        <v>1.4484799896853486</v>
      </c>
      <c r="P36" s="214">
        <f>M36*2.54*O36*100/v</f>
        <v>309703.6835186208</v>
      </c>
      <c r="Q36" s="84">
        <f>0.316/P36^0.25</f>
        <v>0.013395239714519022</v>
      </c>
      <c r="R36" s="84">
        <f>0.968*Q36*100*p*(O36*100)^2*10^-3/(2*M36*2.54*g)</f>
        <v>0.0027741094109021308</v>
      </c>
      <c r="V36" s="13"/>
      <c r="W36" s="13"/>
    </row>
    <row r="37" spans="1:23" ht="12.75">
      <c r="A37" t="s">
        <v>99</v>
      </c>
      <c r="C37" s="1"/>
      <c r="D37" s="39"/>
      <c r="E37" s="1"/>
      <c r="G37" s="3"/>
      <c r="J37" s="70" t="s">
        <v>20</v>
      </c>
      <c r="L37" s="15" t="s">
        <v>130</v>
      </c>
      <c r="M37" s="122">
        <v>2.049</v>
      </c>
      <c r="N37" s="11">
        <f>(6*F75+2*F88+14*F72)*231/60*2.54^3*0.001</f>
        <v>1.2291232062648</v>
      </c>
      <c r="O37" s="28">
        <f>N37*1000/(PI()*0.25*(M37*2.54)^2)*0.01</f>
        <v>0.577768934492387</v>
      </c>
      <c r="P37" s="213">
        <f>M37*2.54*O37*100/v</f>
        <v>158996.27613241</v>
      </c>
      <c r="Q37" s="7">
        <f>0.316/P37^0.25</f>
        <v>0.015824877047544594</v>
      </c>
      <c r="R37" s="78">
        <f>0.968*Q37*100*p*(O37*100)^2*10^-3/(2*M37*2.54*g)</f>
        <v>0.0004051332791579213</v>
      </c>
      <c r="V37" s="13"/>
      <c r="W37" s="13"/>
    </row>
    <row r="38" spans="2:23" ht="12.75">
      <c r="B38" s="8"/>
      <c r="C38" s="70"/>
      <c r="D38" s="70" t="s">
        <v>21</v>
      </c>
      <c r="G38" s="8"/>
      <c r="H38" s="70"/>
      <c r="I38" s="70" t="s">
        <v>23</v>
      </c>
      <c r="J38" s="70" t="s">
        <v>60</v>
      </c>
      <c r="K38" s="46"/>
      <c r="L38" s="70" t="s">
        <v>113</v>
      </c>
      <c r="M38" s="122">
        <v>1.592</v>
      </c>
      <c r="N38" s="11">
        <f>0.5*N37</f>
        <v>0.6145616031324</v>
      </c>
      <c r="O38" s="28">
        <f>N38*1000/(PI()*0.25*(M38*2.54)^2)*0.01</f>
        <v>0.4785441166932677</v>
      </c>
      <c r="P38" s="213">
        <f>M38*2.54*O38*100/v</f>
        <v>102318.89754877768</v>
      </c>
      <c r="Q38" s="7">
        <f>0.316/P38^0.25</f>
        <v>0.017668436483431603</v>
      </c>
      <c r="R38" s="78">
        <f>0.968*Q38*100*p*(O38*100)^2*10^-3/(2*M38*2.54*g)</f>
        <v>0.00039938355466946244</v>
      </c>
      <c r="V38" s="13"/>
      <c r="W38" s="13"/>
    </row>
    <row r="39" spans="2:23" ht="12.75">
      <c r="B39" s="70" t="s">
        <v>62</v>
      </c>
      <c r="C39" s="70" t="s">
        <v>56</v>
      </c>
      <c r="D39" s="70" t="s">
        <v>24</v>
      </c>
      <c r="E39" s="70" t="s">
        <v>22</v>
      </c>
      <c r="F39" s="70" t="s">
        <v>92</v>
      </c>
      <c r="G39" s="70"/>
      <c r="H39" s="70" t="s">
        <v>48</v>
      </c>
      <c r="I39" s="70" t="s">
        <v>26</v>
      </c>
      <c r="J39" s="70" t="s">
        <v>27</v>
      </c>
      <c r="K39" s="46"/>
      <c r="L39" s="4"/>
      <c r="M39" s="4"/>
      <c r="V39" s="13"/>
      <c r="W39" s="13"/>
    </row>
    <row r="40" spans="2:23" ht="12.75">
      <c r="B40" s="90" t="s">
        <v>63</v>
      </c>
      <c r="C40" s="90" t="s">
        <v>33</v>
      </c>
      <c r="D40" s="90" t="s">
        <v>28</v>
      </c>
      <c r="E40" s="90" t="s">
        <v>25</v>
      </c>
      <c r="F40" s="121" t="s">
        <v>58</v>
      </c>
      <c r="G40" s="90" t="s">
        <v>19</v>
      </c>
      <c r="H40" s="90" t="s">
        <v>29</v>
      </c>
      <c r="I40" s="90" t="s">
        <v>30</v>
      </c>
      <c r="J40" s="90" t="s">
        <v>31</v>
      </c>
      <c r="K40" s="88"/>
      <c r="L40" s="16"/>
      <c r="M40" s="16"/>
      <c r="V40" s="13"/>
      <c r="W40" s="13"/>
    </row>
    <row r="41" spans="1:22" ht="12.75">
      <c r="A41" s="15" t="s">
        <v>69</v>
      </c>
      <c r="B41" s="4"/>
      <c r="C41" s="9"/>
      <c r="D41" s="9"/>
      <c r="E41" s="9"/>
      <c r="G41" s="9"/>
      <c r="H41" s="9"/>
      <c r="I41" s="9"/>
      <c r="J41" s="9"/>
      <c r="K41" s="88"/>
      <c r="L41" s="16"/>
      <c r="M41" s="16"/>
      <c r="V41" s="13"/>
    </row>
    <row r="42" spans="3:22" ht="12.75">
      <c r="C42" s="40"/>
      <c r="D42" s="40"/>
      <c r="E42" s="100"/>
      <c r="F42" s="6"/>
      <c r="G42" s="36"/>
      <c r="H42" s="7"/>
      <c r="I42" s="97"/>
      <c r="J42" s="77"/>
      <c r="K42" s="85"/>
      <c r="V42" s="13"/>
    </row>
    <row r="43" spans="1:25" ht="12.75">
      <c r="A43" s="1" t="s">
        <v>66</v>
      </c>
      <c r="B43" s="92">
        <v>4</v>
      </c>
      <c r="C43" s="40">
        <f>C24</f>
        <v>0.4572</v>
      </c>
      <c r="D43" s="119">
        <f>E43/(p*PI()*0.25*C43^2*100)</f>
        <v>4.524174220227536</v>
      </c>
      <c r="E43" s="116">
        <f>F43/60*231*2.54^3*p</f>
        <v>60.08833457199372</v>
      </c>
      <c r="F43" s="6">
        <f>1.132*F24</f>
        <v>1.1772799999999999</v>
      </c>
      <c r="G43" s="36">
        <f>D43*C43*100/v</f>
        <v>109371.11339031479</v>
      </c>
      <c r="H43" s="7">
        <f>0.316/G43^0.25</f>
        <v>0.0173764647752507</v>
      </c>
      <c r="I43" s="97">
        <f>0.023*G43^0.8*Pr^0.4*k/C43</f>
        <v>1.0156293416247713</v>
      </c>
      <c r="J43" s="77">
        <f>0.968*H43*B43*100*p*(D43*100)^2*10^-3/(2*C43*g)</f>
        <v>1.2419917505217524</v>
      </c>
      <c r="K43" s="27" t="s">
        <v>74</v>
      </c>
      <c r="L43" s="71" t="s">
        <v>73</v>
      </c>
      <c r="V43" s="13"/>
      <c r="W43" s="13"/>
      <c r="Y43" s="13"/>
    </row>
    <row r="44" spans="1:23" ht="12.75">
      <c r="A44" s="67" t="s">
        <v>65</v>
      </c>
      <c r="B44" s="91">
        <v>6</v>
      </c>
      <c r="C44" s="91">
        <f>0.25*2.54</f>
        <v>0.635</v>
      </c>
      <c r="D44" s="95">
        <f>E44/(p*C44^2*PI()*0.25*100)</f>
        <v>2.3453319157659545</v>
      </c>
      <c r="E44" s="115">
        <f>E43</f>
        <v>60.08833457199372</v>
      </c>
      <c r="F44" s="68">
        <f>F43</f>
        <v>1.1772799999999999</v>
      </c>
      <c r="G44" s="83">
        <f>D44*C44*100/v</f>
        <v>78747.20164102662</v>
      </c>
      <c r="H44" s="84">
        <f>0.316/G44^0.25</f>
        <v>0.018863761644623687</v>
      </c>
      <c r="I44" s="98"/>
      <c r="J44" s="80">
        <f>3*0.968*H44*B44*100*p*(D44*100)^2*10^-3/(2*C44*g)</f>
        <v>1.1739796883913247</v>
      </c>
      <c r="K44" s="71" t="s">
        <v>59</v>
      </c>
      <c r="L44" s="71" t="s">
        <v>98</v>
      </c>
      <c r="V44" s="13"/>
      <c r="W44" s="13"/>
    </row>
    <row r="45" spans="2:23" ht="12.75">
      <c r="B45" s="92"/>
      <c r="I45" s="17"/>
      <c r="J45" s="146">
        <f>J44+J43</f>
        <v>2.4159714389130773</v>
      </c>
      <c r="K45" t="s">
        <v>1</v>
      </c>
      <c r="T45" s="21"/>
      <c r="V45" s="13"/>
      <c r="W45" s="13"/>
    </row>
    <row r="46" spans="1:23" ht="12.75">
      <c r="A46" s="8" t="s">
        <v>70</v>
      </c>
      <c r="B46" s="92"/>
      <c r="I46" s="99"/>
      <c r="V46" s="13"/>
      <c r="W46" s="13"/>
    </row>
    <row r="47" spans="1:23" ht="12.75">
      <c r="A47" s="1" t="s">
        <v>66</v>
      </c>
      <c r="B47" s="92">
        <v>4</v>
      </c>
      <c r="C47" s="40">
        <f>C24</f>
        <v>0.4572</v>
      </c>
      <c r="D47" s="119">
        <f>E47/(p*PI()*0.25*C47^2*100)</f>
        <v>4.875876809785861</v>
      </c>
      <c r="E47" s="116">
        <f>F47/60*231*2.54^3*p</f>
        <v>64.75951252458688</v>
      </c>
      <c r="F47" s="6">
        <f>1.22*F24</f>
        <v>1.2688</v>
      </c>
      <c r="G47" s="36">
        <f>D47*C47*100/v</f>
        <v>117873.46142772443</v>
      </c>
      <c r="H47" s="7">
        <f>0.316/G47^0.25</f>
        <v>0.01705426760405639</v>
      </c>
      <c r="I47" s="97">
        <f>0.023*G47^0.8*Pr^0.4*k/C47</f>
        <v>1.0783157838642092</v>
      </c>
      <c r="J47" s="77">
        <f>0.968*H47*B47*100*p*(D47*100)^2*10^-3/(2*C47*g)</f>
        <v>1.4158497481594134</v>
      </c>
      <c r="K47" t="s">
        <v>59</v>
      </c>
      <c r="L47" s="38"/>
      <c r="M47" s="38"/>
      <c r="V47" s="13"/>
      <c r="W47" s="13"/>
    </row>
    <row r="48" spans="1:23" ht="12.75">
      <c r="A48" s="67" t="s">
        <v>65</v>
      </c>
      <c r="B48" s="91">
        <v>4.5</v>
      </c>
      <c r="C48" s="91">
        <f>0.25*2.54</f>
        <v>0.635</v>
      </c>
      <c r="D48" s="95">
        <f>E48/(p*C48^2*PI()*0.25*100)</f>
        <v>2.5276545381929902</v>
      </c>
      <c r="E48" s="115">
        <f>E47</f>
        <v>64.75951252458688</v>
      </c>
      <c r="F48" s="68">
        <f>F47</f>
        <v>1.2688</v>
      </c>
      <c r="G48" s="83">
        <f>D48*C48*100/v</f>
        <v>84868.89222796158</v>
      </c>
      <c r="H48" s="84">
        <f>0.316/G48^0.25</f>
        <v>0.0185139867785279</v>
      </c>
      <c r="I48" s="98"/>
      <c r="J48" s="80">
        <f>3*0.968*H48*B48*100*p*(D48*100)^2*10^-3/(2*C48*g)</f>
        <v>1.003737854209692</v>
      </c>
      <c r="K48" s="71" t="s">
        <v>59</v>
      </c>
      <c r="L48" s="38"/>
      <c r="M48" s="38"/>
      <c r="W48" s="13"/>
    </row>
    <row r="49" spans="2:23" ht="12.75">
      <c r="B49" s="93"/>
      <c r="C49" s="4"/>
      <c r="D49" s="87"/>
      <c r="E49" s="57"/>
      <c r="G49" s="36"/>
      <c r="H49" s="7"/>
      <c r="I49" s="17"/>
      <c r="J49" s="147">
        <f>J48+J47</f>
        <v>2.4195876023691056</v>
      </c>
      <c r="K49" s="71" t="s">
        <v>1</v>
      </c>
      <c r="L49" s="75"/>
      <c r="M49" s="75"/>
      <c r="N49" t="s">
        <v>91</v>
      </c>
      <c r="W49" s="13"/>
    </row>
    <row r="50" spans="1:24" ht="12.75">
      <c r="A50" s="15" t="s">
        <v>71</v>
      </c>
      <c r="B50" s="24"/>
      <c r="D50" s="96"/>
      <c r="I50" s="99"/>
      <c r="M50" s="15" t="s">
        <v>118</v>
      </c>
      <c r="N50" s="13"/>
      <c r="O50" s="5"/>
      <c r="P50" s="12"/>
      <c r="Q50" s="12"/>
      <c r="R50" s="139"/>
      <c r="S50" s="73"/>
      <c r="T50" s="12"/>
      <c r="U50" s="12"/>
      <c r="V50" s="12"/>
      <c r="W50" s="12"/>
      <c r="X50" s="13"/>
    </row>
    <row r="51" spans="1:24" ht="12.75">
      <c r="A51" s="1" t="s">
        <v>64</v>
      </c>
      <c r="B51" s="92">
        <v>4</v>
      </c>
      <c r="C51" s="40">
        <f>C24</f>
        <v>0.4572</v>
      </c>
      <c r="D51" s="119">
        <f>E51/(p*PI()*0.25*C51^2*100)</f>
        <v>4.236417556043453</v>
      </c>
      <c r="E51" s="116">
        <f>F51/60*231*2.54^3*p</f>
        <v>56.26646170169025</v>
      </c>
      <c r="F51" s="112">
        <f>1.06*F24</f>
        <v>1.1024</v>
      </c>
      <c r="G51" s="36">
        <f>D51*C51*100/v</f>
        <v>102414.64681425237</v>
      </c>
      <c r="H51" s="7">
        <f>0.316/G51^0.25</f>
        <v>0.01766430540134093</v>
      </c>
      <c r="I51" s="97">
        <f>0.023*G51^0.8*Pr^0.4*k/C51</f>
        <v>0.9636133095983571</v>
      </c>
      <c r="J51" s="77">
        <f>0.968*H51*B51*100*p*(D51*100)^2*10^-3/(2*C51*g)</f>
        <v>1.1070640000339336</v>
      </c>
      <c r="K51" t="s">
        <v>59</v>
      </c>
      <c r="M51" s="15" t="s">
        <v>120</v>
      </c>
      <c r="O51" s="69"/>
      <c r="Q51" s="13"/>
      <c r="S51" s="207" t="s">
        <v>103</v>
      </c>
      <c r="T51" s="13"/>
      <c r="V51" s="8" t="s">
        <v>103</v>
      </c>
      <c r="X51" s="122"/>
    </row>
    <row r="52" spans="1:24" ht="12.75">
      <c r="A52" s="67" t="s">
        <v>65</v>
      </c>
      <c r="B52" s="91">
        <v>7.5</v>
      </c>
      <c r="C52" s="91">
        <f>0.25*2.54</f>
        <v>0.635</v>
      </c>
      <c r="D52" s="95">
        <f>E52/(p*C52^2*PI()*0.25*100)</f>
        <v>2.1961588610529263</v>
      </c>
      <c r="E52" s="115">
        <f>E51</f>
        <v>56.26646170169025</v>
      </c>
      <c r="F52" s="68">
        <f>F51</f>
        <v>1.1024</v>
      </c>
      <c r="G52" s="83">
        <f>D52*C52*100/v</f>
        <v>73738.5457062617</v>
      </c>
      <c r="H52" s="84">
        <f>0.316/G52^0.25</f>
        <v>0.019176239299453633</v>
      </c>
      <c r="I52" s="98"/>
      <c r="J52" s="80">
        <f>3*0.968*H52*B52*100*p*(D52*100)^2*10^-3/(2*C52*g)</f>
        <v>1.3080508075467383</v>
      </c>
      <c r="K52" s="71" t="s">
        <v>59</v>
      </c>
      <c r="O52" s="141" t="s">
        <v>104</v>
      </c>
      <c r="P52" s="142" t="s">
        <v>84</v>
      </c>
      <c r="Q52" s="150" t="s">
        <v>112</v>
      </c>
      <c r="R52" s="150" t="s">
        <v>111</v>
      </c>
      <c r="S52" s="141" t="s">
        <v>105</v>
      </c>
      <c r="T52" s="206" t="s">
        <v>85</v>
      </c>
      <c r="U52" s="90" t="s">
        <v>87</v>
      </c>
      <c r="V52" s="90" t="s">
        <v>88</v>
      </c>
      <c r="W52" s="90" t="s">
        <v>68</v>
      </c>
      <c r="X52" s="122" t="s">
        <v>106</v>
      </c>
    </row>
    <row r="53" spans="2:24" ht="12.75">
      <c r="B53" s="24"/>
      <c r="D53" s="96"/>
      <c r="I53" s="17"/>
      <c r="J53" s="147">
        <f>J52+J51</f>
        <v>2.4151148075806717</v>
      </c>
      <c r="K53" s="71" t="s">
        <v>1</v>
      </c>
      <c r="N53" s="70" t="s">
        <v>100</v>
      </c>
      <c r="O53" s="127">
        <v>48</v>
      </c>
      <c r="P53" s="35">
        <v>2</v>
      </c>
      <c r="Q53" s="9"/>
      <c r="R53" s="4"/>
      <c r="S53" s="122">
        <v>14</v>
      </c>
      <c r="T53" s="205">
        <v>2</v>
      </c>
      <c r="U53" s="4"/>
      <c r="V53" s="4"/>
      <c r="W53" s="4">
        <v>6</v>
      </c>
      <c r="X53" s="122">
        <f>SUM(O53:W53)</f>
        <v>72</v>
      </c>
    </row>
    <row r="54" spans="1:24" ht="12.75">
      <c r="A54" s="172" t="s">
        <v>84</v>
      </c>
      <c r="B54" s="173"/>
      <c r="C54" s="174"/>
      <c r="D54" s="175"/>
      <c r="E54" s="176"/>
      <c r="F54" s="177"/>
      <c r="G54" s="178"/>
      <c r="H54" s="179"/>
      <c r="I54" s="180"/>
      <c r="J54" s="181"/>
      <c r="N54" s="70" t="s">
        <v>101</v>
      </c>
      <c r="O54" s="122">
        <v>48</v>
      </c>
      <c r="P54" s="22"/>
      <c r="Q54" s="9">
        <v>2</v>
      </c>
      <c r="S54" s="122">
        <v>14</v>
      </c>
      <c r="T54" s="79"/>
      <c r="U54" s="4">
        <v>2</v>
      </c>
      <c r="V54" s="4"/>
      <c r="W54" s="4">
        <v>6</v>
      </c>
      <c r="X54" s="122">
        <f>SUM(O54:W54)</f>
        <v>72</v>
      </c>
    </row>
    <row r="55" spans="1:24" ht="12.75">
      <c r="A55" s="182" t="s">
        <v>66</v>
      </c>
      <c r="B55" s="183">
        <f>E26</f>
        <v>0</v>
      </c>
      <c r="C55" s="184">
        <f>C26</f>
        <v>0.89916</v>
      </c>
      <c r="D55" s="185">
        <f>E55/(p*PI()*0.25*C55^2*100)</f>
        <v>1.5016802140459748</v>
      </c>
      <c r="E55" s="186">
        <f>F55/60*231*2.54^3*p</f>
        <v>77.14180897671865</v>
      </c>
      <c r="F55" s="184">
        <f>1.1*1.374</f>
        <v>1.5114000000000003</v>
      </c>
      <c r="G55" s="178">
        <f>D55*C55*100/v</f>
        <v>71395.6132052691</v>
      </c>
      <c r="H55" s="179">
        <f>0.316/G55^0.25</f>
        <v>0.019331662329349956</v>
      </c>
      <c r="I55" s="187">
        <f>0.023*G55^0.8*Pr^0.4*k/C55</f>
        <v>0.3671297665317392</v>
      </c>
      <c r="J55" s="179">
        <f>0.968*H55*B55*100*p*(D55*100)^2*10^-3/(2*C55*g)</f>
        <v>0</v>
      </c>
      <c r="K55" t="s">
        <v>59</v>
      </c>
      <c r="N55" s="70" t="s">
        <v>102</v>
      </c>
      <c r="O55" s="123">
        <v>48</v>
      </c>
      <c r="P55" s="139"/>
      <c r="Q55" s="12"/>
      <c r="R55" s="5">
        <v>2</v>
      </c>
      <c r="S55" s="123">
        <v>14</v>
      </c>
      <c r="T55" s="73"/>
      <c r="U55" s="5"/>
      <c r="V55" s="5">
        <v>2</v>
      </c>
      <c r="W55" s="140">
        <v>6</v>
      </c>
      <c r="X55" s="122">
        <f>SUM(O55:W55)</f>
        <v>72</v>
      </c>
    </row>
    <row r="56" spans="1:23" ht="12.75">
      <c r="A56" s="182" t="s">
        <v>65</v>
      </c>
      <c r="B56" s="188">
        <v>8</v>
      </c>
      <c r="C56" s="189">
        <f>0.25*2.54</f>
        <v>0.635</v>
      </c>
      <c r="D56" s="190">
        <f>E56/(p*C56^2*PI()*0.25*100)</f>
        <v>3.010952923254166</v>
      </c>
      <c r="E56" s="191">
        <f>E55</f>
        <v>77.14180897671865</v>
      </c>
      <c r="F56" s="192"/>
      <c r="G56" s="193">
        <f>D56*C56*100/v</f>
        <v>101096.18829866106</v>
      </c>
      <c r="H56" s="194">
        <f>0.316/G56^0.25</f>
        <v>0.017721618670248192</v>
      </c>
      <c r="I56" s="192"/>
      <c r="J56" s="194">
        <f>3*0.968*H56*B56*100*p*(D56*100)^2*10^-3/(2*C56*g)</f>
        <v>2.4236712442046153</v>
      </c>
      <c r="K56" s="71" t="s">
        <v>59</v>
      </c>
      <c r="O56" s="4"/>
      <c r="R56" s="22"/>
      <c r="S56" s="23"/>
      <c r="W56" s="13"/>
    </row>
    <row r="57" spans="1:23" ht="12.75">
      <c r="A57" s="177"/>
      <c r="B57" s="195"/>
      <c r="C57" s="174"/>
      <c r="D57" s="175"/>
      <c r="E57" s="176"/>
      <c r="F57" s="177"/>
      <c r="G57" s="178"/>
      <c r="H57" s="179"/>
      <c r="I57" s="180"/>
      <c r="J57" s="196">
        <f>J56+J55</f>
        <v>2.4236712442046153</v>
      </c>
      <c r="K57" s="71" t="s">
        <v>1</v>
      </c>
      <c r="O57" s="4"/>
      <c r="R57" s="22"/>
      <c r="S57" s="23"/>
      <c r="W57" s="13"/>
    </row>
    <row r="58" spans="1:23" ht="12.75">
      <c r="A58" s="172" t="s">
        <v>112</v>
      </c>
      <c r="B58" s="173"/>
      <c r="C58" s="174"/>
      <c r="D58" s="175"/>
      <c r="E58" s="176"/>
      <c r="F58" s="177"/>
      <c r="G58" s="178"/>
      <c r="H58" s="179"/>
      <c r="I58" s="180"/>
      <c r="J58" s="181"/>
      <c r="K58" s="71"/>
      <c r="M58" s="15" t="s">
        <v>119</v>
      </c>
      <c r="O58" s="5"/>
      <c r="P58" s="12"/>
      <c r="Q58" s="12"/>
      <c r="R58" s="139"/>
      <c r="S58" s="73"/>
      <c r="T58" s="12"/>
      <c r="U58" s="12"/>
      <c r="V58" s="13"/>
      <c r="W58" s="13"/>
    </row>
    <row r="59" spans="1:22" ht="12.75">
      <c r="A59" s="182" t="s">
        <v>66</v>
      </c>
      <c r="B59" s="183">
        <f>E27</f>
        <v>0</v>
      </c>
      <c r="C59" s="184">
        <f>C27</f>
        <v>0.89916</v>
      </c>
      <c r="D59" s="185">
        <f>E59/(p*PI()*0.25*C59^2*100)</f>
        <v>1.5016802140459748</v>
      </c>
      <c r="E59" s="186">
        <f>F59/60*231*2.54^3*p</f>
        <v>77.14180897671865</v>
      </c>
      <c r="F59" s="199">
        <f>F55</f>
        <v>1.5114000000000003</v>
      </c>
      <c r="G59" s="178">
        <f>D59*C59*100/v</f>
        <v>71395.6132052691</v>
      </c>
      <c r="H59" s="179">
        <f>0.316/G59^0.25</f>
        <v>0.019331662329349956</v>
      </c>
      <c r="I59" s="187">
        <f>0.023*G59^0.8*Pr^0.4*k/C59</f>
        <v>0.3671297665317392</v>
      </c>
      <c r="J59" s="179">
        <f>0.968*H59*B59*100*p*(D59*100)^2*10^-3/(2*C59*g)</f>
        <v>0</v>
      </c>
      <c r="K59" t="s">
        <v>59</v>
      </c>
      <c r="M59" s="15" t="s">
        <v>120</v>
      </c>
      <c r="O59" s="69"/>
      <c r="Q59" s="207" t="s">
        <v>103</v>
      </c>
      <c r="R59" s="13"/>
      <c r="T59" s="70" t="s">
        <v>103</v>
      </c>
      <c r="V59" s="122"/>
    </row>
    <row r="60" spans="1:22" ht="12.75">
      <c r="A60" s="182" t="s">
        <v>65</v>
      </c>
      <c r="B60" s="188">
        <v>8</v>
      </c>
      <c r="C60" s="189">
        <f>0.25*2.54</f>
        <v>0.635</v>
      </c>
      <c r="D60" s="190">
        <f>E60/(p*C60^2*PI()*0.25*100)</f>
        <v>3.010952923254166</v>
      </c>
      <c r="E60" s="191">
        <f>E59</f>
        <v>77.14180897671865</v>
      </c>
      <c r="F60" s="198"/>
      <c r="G60" s="193">
        <f>D60*C60*100/v</f>
        <v>101096.18829866106</v>
      </c>
      <c r="H60" s="194">
        <f>0.316/G60^0.25</f>
        <v>0.017721618670248192</v>
      </c>
      <c r="I60" s="192"/>
      <c r="J60" s="194">
        <f>3*0.968*H60*B60*100*p*(D60*100)^2*10^-3/(2*C60*g)</f>
        <v>2.4236712442046153</v>
      </c>
      <c r="K60" s="71" t="s">
        <v>59</v>
      </c>
      <c r="O60" s="141" t="s">
        <v>104</v>
      </c>
      <c r="P60" s="142" t="s">
        <v>115</v>
      </c>
      <c r="Q60" s="141" t="s">
        <v>105</v>
      </c>
      <c r="R60" s="206" t="s">
        <v>85</v>
      </c>
      <c r="S60" s="90" t="s">
        <v>87</v>
      </c>
      <c r="T60" s="90" t="s">
        <v>88</v>
      </c>
      <c r="U60" s="90" t="s">
        <v>68</v>
      </c>
      <c r="V60" s="122" t="s">
        <v>106</v>
      </c>
    </row>
    <row r="61" spans="1:22" ht="12.75">
      <c r="A61" s="177"/>
      <c r="B61" s="195"/>
      <c r="C61" s="174"/>
      <c r="D61" s="175"/>
      <c r="E61" s="176"/>
      <c r="F61" s="177"/>
      <c r="G61" s="178"/>
      <c r="H61" s="179"/>
      <c r="I61" s="180"/>
      <c r="J61" s="196">
        <f>J60+J59</f>
        <v>2.4236712442046153</v>
      </c>
      <c r="K61" s="71" t="s">
        <v>1</v>
      </c>
      <c r="N61" s="70" t="s">
        <v>100</v>
      </c>
      <c r="O61" s="127">
        <v>48</v>
      </c>
      <c r="P61" s="35">
        <v>2</v>
      </c>
      <c r="Q61" s="122">
        <v>0</v>
      </c>
      <c r="R61" s="205">
        <v>2</v>
      </c>
      <c r="S61" s="4"/>
      <c r="T61" s="4"/>
      <c r="U61" s="4">
        <v>6</v>
      </c>
      <c r="V61" s="122">
        <f>SUM(O61:U61)</f>
        <v>58</v>
      </c>
    </row>
    <row r="62" spans="1:22" ht="12.75">
      <c r="A62" s="172" t="s">
        <v>111</v>
      </c>
      <c r="B62" s="173"/>
      <c r="C62" s="174"/>
      <c r="D62" s="175"/>
      <c r="E62" s="176"/>
      <c r="F62" s="177"/>
      <c r="G62" s="178"/>
      <c r="H62" s="179"/>
      <c r="I62" s="180"/>
      <c r="J62" s="181"/>
      <c r="K62" s="71"/>
      <c r="N62" s="70" t="s">
        <v>101</v>
      </c>
      <c r="O62" s="122">
        <v>48</v>
      </c>
      <c r="P62" s="22"/>
      <c r="Q62" s="122">
        <v>0</v>
      </c>
      <c r="R62" s="79"/>
      <c r="S62" s="4">
        <v>2</v>
      </c>
      <c r="T62" s="4"/>
      <c r="U62" s="4">
        <v>6</v>
      </c>
      <c r="V62" s="122">
        <f>SUM(O62:U62)</f>
        <v>56</v>
      </c>
    </row>
    <row r="63" spans="1:22" ht="12.75">
      <c r="A63" s="182" t="s">
        <v>66</v>
      </c>
      <c r="B63" s="183">
        <f>E28</f>
        <v>0</v>
      </c>
      <c r="C63" s="184">
        <f>C28</f>
        <v>0.89916</v>
      </c>
      <c r="D63" s="185">
        <f>E63/(p*PI()*0.25*C63^2*100)</f>
        <v>1.5016802140459748</v>
      </c>
      <c r="E63" s="186">
        <f>F63/60*231*2.54^3*p</f>
        <v>77.14180897671865</v>
      </c>
      <c r="F63" s="199">
        <f>F55</f>
        <v>1.5114000000000003</v>
      </c>
      <c r="G63" s="178">
        <f>D63*C63*100/v</f>
        <v>71395.6132052691</v>
      </c>
      <c r="H63" s="179">
        <f>0.316/G63^0.25</f>
        <v>0.019331662329349956</v>
      </c>
      <c r="I63" s="187">
        <f>0.023*G63^0.8*Pr^0.4*k/C63</f>
        <v>0.3671297665317392</v>
      </c>
      <c r="J63" s="179">
        <f>0.968*H63*B63*100*p*(D63*100)^2*10^-3/(2*C63*g)</f>
        <v>0</v>
      </c>
      <c r="K63" t="s">
        <v>59</v>
      </c>
      <c r="N63" s="70" t="s">
        <v>102</v>
      </c>
      <c r="O63" s="123">
        <v>48</v>
      </c>
      <c r="P63" s="139"/>
      <c r="Q63" s="123">
        <v>0</v>
      </c>
      <c r="R63" s="73"/>
      <c r="S63" s="5"/>
      <c r="T63" s="5">
        <v>2</v>
      </c>
      <c r="U63" s="140">
        <v>6</v>
      </c>
      <c r="V63" s="122">
        <f>SUM(O63:U63)</f>
        <v>56</v>
      </c>
    </row>
    <row r="64" spans="1:23" ht="12.75">
      <c r="A64" s="182" t="s">
        <v>65</v>
      </c>
      <c r="B64" s="188">
        <v>8</v>
      </c>
      <c r="C64" s="189">
        <f>0.25*2.54</f>
        <v>0.635</v>
      </c>
      <c r="D64" s="190">
        <f>E64/(p*C64^2*PI()*0.25*100)</f>
        <v>3.010952923254166</v>
      </c>
      <c r="E64" s="191">
        <f>E63</f>
        <v>77.14180897671865</v>
      </c>
      <c r="F64" s="192"/>
      <c r="G64" s="193">
        <f>D64*C64*100/v</f>
        <v>101096.18829866106</v>
      </c>
      <c r="H64" s="194">
        <f>0.316/G64^0.25</f>
        <v>0.017721618670248192</v>
      </c>
      <c r="I64" s="192"/>
      <c r="J64" s="194">
        <f>3*0.968*H64*B64*100*p*(D64*100)^2*10^-3/(2*C64*g)</f>
        <v>2.4236712442046153</v>
      </c>
      <c r="K64" s="71" t="s">
        <v>59</v>
      </c>
      <c r="O64" s="4"/>
      <c r="R64" s="22"/>
      <c r="S64" s="23"/>
      <c r="W64" s="13"/>
    </row>
    <row r="65" spans="2:23" ht="12.75">
      <c r="B65" s="116"/>
      <c r="C65" s="4"/>
      <c r="D65" s="6"/>
      <c r="E65" s="57"/>
      <c r="G65" s="36"/>
      <c r="H65" s="7"/>
      <c r="I65" s="1"/>
      <c r="J65" s="148">
        <f>J64+J63</f>
        <v>2.4236712442046153</v>
      </c>
      <c r="K65" s="71" t="s">
        <v>1</v>
      </c>
      <c r="O65" s="4"/>
      <c r="R65" s="22"/>
      <c r="S65" s="23"/>
      <c r="W65" s="13"/>
    </row>
    <row r="66" spans="15:23" ht="12.75">
      <c r="O66" s="4"/>
      <c r="R66" s="22"/>
      <c r="S66" s="23"/>
      <c r="W66" s="13"/>
    </row>
    <row r="67" spans="1:23" ht="12.75">
      <c r="A67" s="151" t="s">
        <v>115</v>
      </c>
      <c r="B67" s="152"/>
      <c r="C67" s="152"/>
      <c r="D67" s="153"/>
      <c r="E67" s="153"/>
      <c r="F67" s="153"/>
      <c r="G67" s="153"/>
      <c r="H67" s="153"/>
      <c r="I67" s="153"/>
      <c r="J67" s="153"/>
      <c r="K67" s="135"/>
      <c r="O67" s="4"/>
      <c r="R67" s="22"/>
      <c r="S67" s="23"/>
      <c r="W67" s="13"/>
    </row>
    <row r="68" spans="1:23" ht="12.75">
      <c r="A68" s="154" t="s">
        <v>66</v>
      </c>
      <c r="B68" s="155">
        <f>E32</f>
        <v>54.25450850901702</v>
      </c>
      <c r="C68" s="156">
        <f>C32</f>
        <v>0.9</v>
      </c>
      <c r="D68" s="157">
        <f>E68/(p*PI()*0.25*C68^2*100)</f>
        <v>1.2196113794020362</v>
      </c>
      <c r="E68" s="158">
        <f>F68/60*231*2.54^3*p</f>
        <v>62.76895373797049</v>
      </c>
      <c r="F68" s="159">
        <f>1.118*F32</f>
        <v>1.2298000000000002</v>
      </c>
      <c r="G68" s="160">
        <f>D68*C68*100/v</f>
        <v>58039.15329036749</v>
      </c>
      <c r="H68" s="161">
        <f>0.316/G68^0.25</f>
        <v>0.020359017496464748</v>
      </c>
      <c r="I68" s="162">
        <f>0.023*G68^0.8*Pr^0.4*k/C68</f>
        <v>0.3107804558327691</v>
      </c>
      <c r="J68" s="161">
        <f>0.968*H68*B68*100*p*(D68*100)^2*10^-3/(2*C68*g)</f>
        <v>0.7286482920770339</v>
      </c>
      <c r="K68" t="s">
        <v>59</v>
      </c>
      <c r="O68" s="4"/>
      <c r="R68" s="22"/>
      <c r="S68" s="23"/>
      <c r="W68" s="13"/>
    </row>
    <row r="69" spans="1:23" ht="12.75">
      <c r="A69" s="154" t="s">
        <v>65</v>
      </c>
      <c r="B69" s="170">
        <v>8</v>
      </c>
      <c r="C69" s="163">
        <f>0.25*2.54</f>
        <v>0.635</v>
      </c>
      <c r="D69" s="164">
        <f>E69/(p*C69^2*PI()*0.25*100)</f>
        <v>2.449960238863288</v>
      </c>
      <c r="E69" s="165">
        <f>E68</f>
        <v>62.76895373797049</v>
      </c>
      <c r="F69" s="166">
        <f>F68</f>
        <v>1.2298000000000002</v>
      </c>
      <c r="G69" s="167">
        <f>D69*C69*100/v</f>
        <v>82260.21726193817</v>
      </c>
      <c r="H69" s="168">
        <f>0.316/G69^0.25</f>
        <v>0.01865905391406821</v>
      </c>
      <c r="I69" s="169"/>
      <c r="J69" s="168">
        <f>3*0.968*H69*B69*100*p*(D69*100)^2*10^-3/(2*C69*g)</f>
        <v>1.6895462475548513</v>
      </c>
      <c r="K69" s="71" t="s">
        <v>59</v>
      </c>
      <c r="O69" s="4"/>
      <c r="R69" s="22"/>
      <c r="S69" s="23"/>
      <c r="W69" s="13"/>
    </row>
    <row r="70" spans="10:23" ht="12.75">
      <c r="J70" s="204">
        <f>J69+J68</f>
        <v>2.418194539631885</v>
      </c>
      <c r="K70" t="s">
        <v>1</v>
      </c>
      <c r="O70" s="4"/>
      <c r="R70" s="22"/>
      <c r="S70" s="23"/>
      <c r="W70" s="13"/>
    </row>
    <row r="71" spans="15:23" ht="12.75">
      <c r="O71" s="4"/>
      <c r="R71" s="22"/>
      <c r="S71" s="23"/>
      <c r="W71" s="13"/>
    </row>
    <row r="72" spans="1:23" ht="12.75">
      <c r="A72" s="15" t="s">
        <v>96</v>
      </c>
      <c r="B72" s="5" t="s">
        <v>97</v>
      </c>
      <c r="C72" s="5" t="s">
        <v>97</v>
      </c>
      <c r="D72" s="5" t="s">
        <v>97</v>
      </c>
      <c r="E72" s="115">
        <f>p*F72/60*231*2.54^3</f>
        <v>25.519984443800002</v>
      </c>
      <c r="F72" s="132">
        <f>F33</f>
        <v>0.5</v>
      </c>
      <c r="G72" s="5" t="s">
        <v>97</v>
      </c>
      <c r="H72" s="5" t="s">
        <v>97</v>
      </c>
      <c r="I72" s="5" t="s">
        <v>97</v>
      </c>
      <c r="J72" s="138">
        <f>J77</f>
        <v>4.507544997558941</v>
      </c>
      <c r="K72" s="149" t="s">
        <v>1</v>
      </c>
      <c r="O72" s="4"/>
      <c r="R72" s="22"/>
      <c r="S72" s="23"/>
      <c r="W72" s="13"/>
    </row>
    <row r="73" spans="2:23" ht="12.75">
      <c r="B73" s="134" t="s">
        <v>128</v>
      </c>
      <c r="C73" s="135"/>
      <c r="D73" s="136"/>
      <c r="E73" s="135"/>
      <c r="F73" s="135"/>
      <c r="G73" s="135"/>
      <c r="H73" s="135"/>
      <c r="I73" s="137"/>
      <c r="O73" s="4"/>
      <c r="R73" s="22"/>
      <c r="S73" s="23"/>
      <c r="W73" s="13"/>
    </row>
    <row r="74" spans="1:23" ht="12.75">
      <c r="A74" s="15" t="s">
        <v>68</v>
      </c>
      <c r="B74" s="94"/>
      <c r="C74" s="4"/>
      <c r="D74" s="87"/>
      <c r="E74" s="57"/>
      <c r="G74" s="36"/>
      <c r="H74" s="7"/>
      <c r="I74" s="99"/>
      <c r="K74" s="71"/>
      <c r="O74" s="4"/>
      <c r="R74" s="22"/>
      <c r="S74" s="23"/>
      <c r="W74" s="13"/>
    </row>
    <row r="75" spans="1:23" ht="12.75">
      <c r="A75" s="1" t="s">
        <v>66</v>
      </c>
      <c r="B75" s="118">
        <f>E25</f>
        <v>108.20421640843283</v>
      </c>
      <c r="C75" s="40">
        <f>C25</f>
        <v>0.79248</v>
      </c>
      <c r="D75" s="87">
        <f>E75/(p*PI()*0.25*C75^2*100)</f>
        <v>2.046517013143517</v>
      </c>
      <c r="E75" s="85">
        <f>F75/60*231*2.54^3*p</f>
        <v>81.66395022016</v>
      </c>
      <c r="F75" s="40">
        <f>F25</f>
        <v>1.6</v>
      </c>
      <c r="G75" s="36">
        <f>D75*C75*100/v</f>
        <v>85755.25858065119</v>
      </c>
      <c r="H75" s="7">
        <f>0.316/G75^0.25</f>
        <v>0.018465960082286192</v>
      </c>
      <c r="I75" s="97">
        <f>0.023*G75^0.8*Pr^0.4*k/C75</f>
        <v>0.48232486603181624</v>
      </c>
      <c r="J75" s="120">
        <f>0.968*H75*B75*100*p*(D75*100)^2*10^-3/(2*C75*g)</f>
        <v>4.214862008679734</v>
      </c>
      <c r="K75" s="71" t="s">
        <v>59</v>
      </c>
      <c r="O75" s="4"/>
      <c r="R75" s="22"/>
      <c r="S75" s="23"/>
      <c r="W75" s="13"/>
    </row>
    <row r="76" spans="1:23" ht="12.75">
      <c r="A76" s="67" t="s">
        <v>65</v>
      </c>
      <c r="B76" s="117">
        <v>6</v>
      </c>
      <c r="C76" s="133">
        <f>0.375*2.54</f>
        <v>0.9525</v>
      </c>
      <c r="D76" s="95">
        <f>E76/(p*C76^2*PI()*0.25*100)</f>
        <v>1.4166481929062578</v>
      </c>
      <c r="E76" s="82">
        <f>E75</f>
        <v>81.66395022016</v>
      </c>
      <c r="F76" s="12"/>
      <c r="G76" s="83">
        <f>D76*C76*100/v</f>
        <v>71348.37513910179</v>
      </c>
      <c r="H76" s="84">
        <f>0.316/G76^0.25</f>
        <v>0.019334861293952732</v>
      </c>
      <c r="I76" s="12"/>
      <c r="J76" s="80">
        <f>3*0.968*H76*B76*100*p*(D76*100)^2*10^-3/(2*C76*g)</f>
        <v>0.292682988879206</v>
      </c>
      <c r="K76" s="71" t="s">
        <v>75</v>
      </c>
      <c r="O76" s="4"/>
      <c r="R76" s="22"/>
      <c r="S76" s="23"/>
      <c r="W76" s="13"/>
    </row>
    <row r="77" spans="1:23" ht="12.75">
      <c r="A77" s="15"/>
      <c r="B77" s="67"/>
      <c r="C77" s="4"/>
      <c r="D77" s="6"/>
      <c r="E77" s="57"/>
      <c r="G77" s="36"/>
      <c r="H77" s="7"/>
      <c r="I77" s="1"/>
      <c r="J77" s="125">
        <f>J76+J75</f>
        <v>4.507544997558941</v>
      </c>
      <c r="K77" t="s">
        <v>1</v>
      </c>
      <c r="L77" s="58">
        <f>J77-J45</f>
        <v>2.0915735586458633</v>
      </c>
      <c r="M77" t="s">
        <v>109</v>
      </c>
      <c r="O77" s="4"/>
      <c r="R77" s="22"/>
      <c r="S77" s="23"/>
      <c r="W77" s="13"/>
    </row>
    <row r="78" spans="15:23" ht="12.75">
      <c r="O78" s="4"/>
      <c r="R78" s="22"/>
      <c r="S78" s="23"/>
      <c r="W78" s="13"/>
    </row>
    <row r="79" spans="1:23" ht="12.75">
      <c r="A79" s="15" t="s">
        <v>85</v>
      </c>
      <c r="B79" s="116"/>
      <c r="C79" s="4"/>
      <c r="D79" s="6"/>
      <c r="E79" s="57"/>
      <c r="G79" s="36"/>
      <c r="H79" s="7"/>
      <c r="I79" s="1"/>
      <c r="J79" s="81"/>
      <c r="K79" s="71"/>
      <c r="O79" s="4"/>
      <c r="R79" s="22"/>
      <c r="S79" s="23"/>
      <c r="W79" s="13"/>
    </row>
    <row r="80" spans="1:23" ht="12.75">
      <c r="A80" s="17" t="s">
        <v>66</v>
      </c>
      <c r="B80" s="118">
        <f>E29</f>
        <v>262.43332486664974</v>
      </c>
      <c r="C80" s="93">
        <f>C29</f>
        <v>0.89916</v>
      </c>
      <c r="D80" s="119">
        <f>E80/(p*PI()*0.25*C80^2*100)</f>
        <v>1.3497635111694173</v>
      </c>
      <c r="E80" s="116">
        <f>F80/60*231*2.54^3*p</f>
        <v>69.33779773380462</v>
      </c>
      <c r="F80" s="6">
        <f>1.235*F29</f>
        <v>1.3585000000000003</v>
      </c>
      <c r="G80" s="36">
        <f>D80*C80*100/v</f>
        <v>64172.91288828774</v>
      </c>
      <c r="H80" s="7">
        <f>0.316/G80^0.25</f>
        <v>0.019854051514544144</v>
      </c>
      <c r="I80" s="97">
        <f>0.023*G80^0.8*Pr^0.4*k/C80</f>
        <v>0.33710390081603386</v>
      </c>
      <c r="J80" s="120">
        <f>0.968*H80*B80*100*p*(D80*100)^2*10^-3/(2*C80*g)</f>
        <v>4.213775476312011</v>
      </c>
      <c r="K80" t="s">
        <v>59</v>
      </c>
      <c r="O80" s="4"/>
      <c r="R80" s="22"/>
      <c r="S80" s="23"/>
      <c r="W80" s="13"/>
    </row>
    <row r="81" spans="1:23" ht="12.75">
      <c r="A81" s="17" t="s">
        <v>65</v>
      </c>
      <c r="B81" s="117">
        <v>8</v>
      </c>
      <c r="C81" s="133">
        <f>0.375*2.54</f>
        <v>0.9525</v>
      </c>
      <c r="D81" s="95">
        <f>E81/(p*C81^2*PI()*0.25*100)</f>
        <v>1.2028228562894698</v>
      </c>
      <c r="E81" s="82">
        <f>E80</f>
        <v>69.33779773380462</v>
      </c>
      <c r="F81" s="12"/>
      <c r="G81" s="83">
        <f>D81*C81*100/v</f>
        <v>60579.22976654363</v>
      </c>
      <c r="H81" s="84">
        <f>0.316/G81^0.25</f>
        <v>0.020142164839089448</v>
      </c>
      <c r="I81" s="20"/>
      <c r="J81" s="80">
        <f>3*0.968*H81*B81*100*p*(D81*100)^2*10^-3/(2*C81*g)</f>
        <v>0.29307624811561434</v>
      </c>
      <c r="K81" s="71" t="s">
        <v>59</v>
      </c>
      <c r="O81" s="4"/>
      <c r="R81" s="22"/>
      <c r="S81" s="23"/>
      <c r="W81" s="13"/>
    </row>
    <row r="82" spans="2:23" ht="12.75">
      <c r="B82" s="116"/>
      <c r="C82" s="4"/>
      <c r="D82" s="6"/>
      <c r="E82" s="57"/>
      <c r="G82" s="36"/>
      <c r="H82" s="7"/>
      <c r="I82" s="1"/>
      <c r="J82" s="125">
        <f>J81+J80</f>
        <v>4.506851724427626</v>
      </c>
      <c r="K82" s="71" t="s">
        <v>1</v>
      </c>
      <c r="O82" s="4"/>
      <c r="R82" s="22"/>
      <c r="S82" s="23"/>
      <c r="W82" s="13"/>
    </row>
    <row r="83" spans="1:23" ht="12.75">
      <c r="A83" s="15" t="s">
        <v>87</v>
      </c>
      <c r="B83" s="116"/>
      <c r="C83" s="4"/>
      <c r="D83" s="6"/>
      <c r="E83" s="57"/>
      <c r="G83" s="36"/>
      <c r="H83" s="7"/>
      <c r="I83" s="1"/>
      <c r="J83" s="81"/>
      <c r="K83" s="71"/>
      <c r="O83" s="4"/>
      <c r="R83" s="22"/>
      <c r="S83" s="23"/>
      <c r="W83" s="13"/>
    </row>
    <row r="84" spans="1:23" ht="12.75">
      <c r="A84" s="17" t="s">
        <v>66</v>
      </c>
      <c r="B84" s="118">
        <f>E30</f>
        <v>335.28067056134114</v>
      </c>
      <c r="C84" s="93">
        <f>C30</f>
        <v>0.89916</v>
      </c>
      <c r="D84" s="119">
        <f>E84/(p*PI()*0.25*C84^2*100)</f>
        <v>1.1880104750130818</v>
      </c>
      <c r="E84" s="116">
        <f>F84/60*231*2.54^3*p</f>
        <v>61.02849079890331</v>
      </c>
      <c r="F84" s="6">
        <f>1.087*F30</f>
        <v>1.1957</v>
      </c>
      <c r="G84" s="36">
        <f>D84*C84*100/v</f>
        <v>56482.555716250004</v>
      </c>
      <c r="H84" s="7">
        <f>0.316/G84^0.25</f>
        <v>0.020497858828880375</v>
      </c>
      <c r="I84" s="97">
        <f>0.023*G84^0.8*Pr^0.4*k/C84</f>
        <v>0.30437841220640144</v>
      </c>
      <c r="J84" s="120">
        <f>0.968*H84*B84*100*p*(D84*100)^2*10^-3/(2*C84*g)</f>
        <v>4.3057166984743604</v>
      </c>
      <c r="K84" t="s">
        <v>59</v>
      </c>
      <c r="W84" s="13"/>
    </row>
    <row r="85" spans="1:23" ht="12.75">
      <c r="A85" s="17" t="s">
        <v>65</v>
      </c>
      <c r="B85" s="117">
        <v>7</v>
      </c>
      <c r="C85" s="133">
        <f>0.375*2.54</f>
        <v>0.9525</v>
      </c>
      <c r="D85" s="95">
        <f>E85/(p*C85^2*PI()*0.25*100)</f>
        <v>1.0586789026612575</v>
      </c>
      <c r="E85" s="82">
        <f>E84</f>
        <v>61.02849079890331</v>
      </c>
      <c r="F85" s="12"/>
      <c r="G85" s="83">
        <f>D85*C85*100/v</f>
        <v>53319.532596139994</v>
      </c>
      <c r="H85" s="84">
        <f>0.316/G85^0.25</f>
        <v>0.020795314803995716</v>
      </c>
      <c r="I85" s="20"/>
      <c r="J85" s="80">
        <f>3*0.968*H85*B85*100*p*(D85*100)^2*10^-3/(2*C85*g)</f>
        <v>0.20510356190819912</v>
      </c>
      <c r="K85" s="71" t="s">
        <v>59</v>
      </c>
      <c r="W85" s="13"/>
    </row>
    <row r="86" spans="2:23" ht="12.75">
      <c r="B86" s="28"/>
      <c r="C86" s="4"/>
      <c r="D86" s="6"/>
      <c r="E86" s="57"/>
      <c r="G86" s="36"/>
      <c r="H86" s="7"/>
      <c r="I86" s="1"/>
      <c r="J86" s="125">
        <f>J85+J84</f>
        <v>4.51082026038256</v>
      </c>
      <c r="K86" s="71" t="s">
        <v>1</v>
      </c>
      <c r="W86" s="13"/>
    </row>
    <row r="87" spans="1:23" ht="12.75">
      <c r="A87" s="15" t="s">
        <v>88</v>
      </c>
      <c r="B87" s="28"/>
      <c r="C87" s="4"/>
      <c r="D87" s="6"/>
      <c r="E87" s="57"/>
      <c r="G87" s="36"/>
      <c r="H87" s="7"/>
      <c r="I87" s="1"/>
      <c r="J87" s="81"/>
      <c r="K87" s="71"/>
      <c r="W87" s="13"/>
    </row>
    <row r="88" spans="1:23" ht="12.75">
      <c r="A88" s="17" t="s">
        <v>66</v>
      </c>
      <c r="B88" s="118">
        <f>E31</f>
        <v>239.57327914655832</v>
      </c>
      <c r="C88" s="93">
        <f>C31</f>
        <v>0.89916</v>
      </c>
      <c r="D88" s="119">
        <f>E88/(p*PI()*0.25*C88^2*100)</f>
        <v>1.43173295516756</v>
      </c>
      <c r="E88" s="116">
        <f>F88/60*231*2.54^3*p</f>
        <v>73.54859516703162</v>
      </c>
      <c r="F88" s="6">
        <f>1.31*F31</f>
        <v>1.4410000000000003</v>
      </c>
      <c r="G88" s="36">
        <f>D88*C88*100/v</f>
        <v>68070.05334709064</v>
      </c>
      <c r="H88" s="7">
        <f>0.316/G88^0.25</f>
        <v>0.019563567804164933</v>
      </c>
      <c r="I88" s="97">
        <f>0.023*G88^0.8*Pr^0.4*k/C88</f>
        <v>0.3533842979676567</v>
      </c>
      <c r="J88" s="120">
        <f>0.968*H88*B88*100*p*(D88*100)^2*10^-3/(2*C88*g)</f>
        <v>4.264797131927294</v>
      </c>
      <c r="K88" t="s">
        <v>59</v>
      </c>
      <c r="L88" s="75"/>
      <c r="M88" s="75"/>
      <c r="W88" s="13"/>
    </row>
    <row r="89" spans="1:23" ht="12.75">
      <c r="A89" s="17" t="s">
        <v>65</v>
      </c>
      <c r="B89" s="91">
        <v>6</v>
      </c>
      <c r="C89" s="133">
        <f>0.375*2.54</f>
        <v>0.9525</v>
      </c>
      <c r="D89" s="95">
        <f>E89/(p*C89^2*PI()*0.25*100)</f>
        <v>1.2758687787361986</v>
      </c>
      <c r="E89" s="82">
        <f>E88</f>
        <v>73.54859516703162</v>
      </c>
      <c r="F89" s="12"/>
      <c r="G89" s="83">
        <f>D89*C89*100/v</f>
        <v>64258.13035965356</v>
      </c>
      <c r="H89" s="84">
        <f>0.316/G89^0.25</f>
        <v>0.019847465755970708</v>
      </c>
      <c r="I89" s="12"/>
      <c r="J89" s="80">
        <f>3*0.968*H89*B89*100*p*(D89*100)^2*10^-3/(2*C89*g)</f>
        <v>0.24369660456105544</v>
      </c>
      <c r="K89" s="71" t="s">
        <v>59</v>
      </c>
      <c r="L89" s="75"/>
      <c r="M89" s="75"/>
      <c r="W89" s="13"/>
    </row>
    <row r="90" spans="1:23" ht="12.75">
      <c r="A90" s="17"/>
      <c r="F90" s="6"/>
      <c r="J90" s="125">
        <f>J89+J88</f>
        <v>4.508493736488349</v>
      </c>
      <c r="K90" s="71" t="s">
        <v>1</v>
      </c>
      <c r="L90" s="75"/>
      <c r="M90" s="75"/>
      <c r="W90" s="13"/>
    </row>
    <row r="91" spans="1:23" ht="12.75">
      <c r="A91" s="17"/>
      <c r="C91" s="8"/>
      <c r="D91" s="15" t="s">
        <v>94</v>
      </c>
      <c r="E91" s="145">
        <f>2*F88+2*F84+2*F80+2*F55+2*F59+2*F63+18*F75+F43*48*3+14*3*F72</f>
        <v>236.38712</v>
      </c>
      <c r="F91" s="6"/>
      <c r="J91" s="125"/>
      <c r="L91" s="75"/>
      <c r="M91" s="75"/>
      <c r="W91" s="13"/>
    </row>
    <row r="92" spans="3:23" ht="12.75">
      <c r="C92" s="15" t="s">
        <v>121</v>
      </c>
      <c r="J92" s="4"/>
      <c r="M92" s="22"/>
      <c r="N92" s="23"/>
      <c r="W92" s="13"/>
    </row>
    <row r="93" spans="1:23" ht="12.75">
      <c r="A93" s="17"/>
      <c r="F93" s="6"/>
      <c r="J93" s="70"/>
      <c r="K93" s="8"/>
      <c r="L93" s="70" t="s">
        <v>126</v>
      </c>
      <c r="M93" s="70" t="s">
        <v>126</v>
      </c>
      <c r="N93" s="70" t="s">
        <v>122</v>
      </c>
      <c r="P93" s="70" t="s">
        <v>124</v>
      </c>
      <c r="W93" s="13"/>
    </row>
    <row r="94" spans="1:23" ht="12.75">
      <c r="A94" s="17"/>
      <c r="F94" s="6"/>
      <c r="J94" s="70"/>
      <c r="K94" s="70" t="s">
        <v>79</v>
      </c>
      <c r="L94" s="200" t="s">
        <v>66</v>
      </c>
      <c r="M94" s="70" t="s">
        <v>127</v>
      </c>
      <c r="N94" s="70" t="s">
        <v>125</v>
      </c>
      <c r="O94" s="70" t="s">
        <v>123</v>
      </c>
      <c r="P94" s="70" t="s">
        <v>60</v>
      </c>
      <c r="W94" s="13"/>
    </row>
    <row r="95" spans="1:23" ht="12.75">
      <c r="A95" s="17"/>
      <c r="J95" s="70"/>
      <c r="K95" s="90" t="s">
        <v>80</v>
      </c>
      <c r="L95" s="142" t="s">
        <v>89</v>
      </c>
      <c r="M95" s="90" t="s">
        <v>89</v>
      </c>
      <c r="N95" s="90" t="s">
        <v>57</v>
      </c>
      <c r="O95" s="121" t="s">
        <v>57</v>
      </c>
      <c r="P95" s="121" t="s">
        <v>27</v>
      </c>
      <c r="W95" s="13"/>
    </row>
    <row r="96" spans="1:23" ht="12.75">
      <c r="A96" s="17"/>
      <c r="J96" s="15" t="s">
        <v>78</v>
      </c>
      <c r="K96" s="127">
        <v>0.18</v>
      </c>
      <c r="L96" s="35">
        <v>4</v>
      </c>
      <c r="M96" s="4">
        <v>18</v>
      </c>
      <c r="N96" s="4">
        <v>1.04</v>
      </c>
      <c r="O96" s="202">
        <v>1.18</v>
      </c>
      <c r="P96" s="201">
        <v>2.42</v>
      </c>
      <c r="W96" s="13"/>
    </row>
    <row r="97" spans="1:23" ht="12.75">
      <c r="A97" s="86"/>
      <c r="D97" s="218" t="s">
        <v>140</v>
      </c>
      <c r="E97" s="6"/>
      <c r="J97" s="15" t="s">
        <v>84</v>
      </c>
      <c r="K97" s="122">
        <v>0.354</v>
      </c>
      <c r="L97" s="35">
        <v>304.0433370144202</v>
      </c>
      <c r="M97" s="4">
        <v>24</v>
      </c>
      <c r="N97" s="4">
        <v>1.1</v>
      </c>
      <c r="O97" s="202">
        <v>1.1</v>
      </c>
      <c r="P97" s="201">
        <v>2.42</v>
      </c>
      <c r="W97" s="13"/>
    </row>
    <row r="98" spans="1:23" ht="12.75">
      <c r="A98" s="76"/>
      <c r="B98" s="90" t="s">
        <v>19</v>
      </c>
      <c r="C98" s="220" t="s">
        <v>141</v>
      </c>
      <c r="D98" s="90" t="s">
        <v>143</v>
      </c>
      <c r="E98" s="6"/>
      <c r="J98" s="15" t="s">
        <v>112</v>
      </c>
      <c r="K98" s="122">
        <v>0.354</v>
      </c>
      <c r="L98" s="35">
        <v>304.0433370144202</v>
      </c>
      <c r="M98" s="4">
        <v>24</v>
      </c>
      <c r="N98" s="4">
        <v>1.1</v>
      </c>
      <c r="O98" s="202">
        <v>1.1</v>
      </c>
      <c r="P98" s="201">
        <v>2.42</v>
      </c>
      <c r="W98" s="13"/>
    </row>
    <row r="99" spans="1:23" ht="12.75">
      <c r="A99" s="15" t="s">
        <v>142</v>
      </c>
      <c r="B99" s="221">
        <v>109371.11339031479</v>
      </c>
      <c r="C99" s="7">
        <v>0.0173764647752507</v>
      </c>
      <c r="D99" s="6">
        <v>1.0156293416247713</v>
      </c>
      <c r="F99" s="66"/>
      <c r="G99" s="37"/>
      <c r="H99" s="72"/>
      <c r="I99" s="74"/>
      <c r="J99" s="15" t="s">
        <v>111</v>
      </c>
      <c r="K99" s="122">
        <v>0.354</v>
      </c>
      <c r="L99" s="35">
        <v>304.0433370144202</v>
      </c>
      <c r="M99" s="4">
        <v>24</v>
      </c>
      <c r="N99" s="4">
        <v>1.1</v>
      </c>
      <c r="O99" s="202">
        <v>1.1</v>
      </c>
      <c r="P99" s="201">
        <v>2.42</v>
      </c>
      <c r="W99" s="13"/>
    </row>
    <row r="100" spans="1:23" ht="12.75">
      <c r="A100" s="15" t="s">
        <v>144</v>
      </c>
      <c r="B100" s="222">
        <v>58039.15329036749</v>
      </c>
      <c r="C100" s="97">
        <v>0.020359017496464748</v>
      </c>
      <c r="D100" s="6">
        <v>0.3107804558327691</v>
      </c>
      <c r="E100" s="48"/>
      <c r="F100" s="66"/>
      <c r="G100" s="126"/>
      <c r="H100" s="72"/>
      <c r="I100" s="74"/>
      <c r="J100" s="203" t="s">
        <v>115</v>
      </c>
      <c r="K100" s="123">
        <v>0.354</v>
      </c>
      <c r="L100" s="115">
        <v>178</v>
      </c>
      <c r="M100" s="5">
        <v>24</v>
      </c>
      <c r="N100" s="5">
        <v>1.1</v>
      </c>
      <c r="O100" s="114">
        <v>1.23</v>
      </c>
      <c r="P100" s="121">
        <v>2.42</v>
      </c>
      <c r="W100" s="13"/>
    </row>
    <row r="101" spans="1:23" ht="12.75">
      <c r="A101" s="15" t="s">
        <v>145</v>
      </c>
      <c r="B101" s="222">
        <v>64172.91288828774</v>
      </c>
      <c r="C101" s="7">
        <v>0.019854051514544144</v>
      </c>
      <c r="D101" s="6">
        <v>0.33710390081603386</v>
      </c>
      <c r="E101" s="27"/>
      <c r="F101" s="66"/>
      <c r="G101" s="37"/>
      <c r="H101" s="72"/>
      <c r="I101" s="74"/>
      <c r="J101" s="111" t="s">
        <v>105</v>
      </c>
      <c r="K101" s="13"/>
      <c r="L101" s="78"/>
      <c r="M101" s="13"/>
      <c r="N101" s="9">
        <v>0.5</v>
      </c>
      <c r="O101" s="202">
        <v>0.5</v>
      </c>
      <c r="P101" s="201">
        <v>4.51</v>
      </c>
      <c r="W101" s="13"/>
    </row>
    <row r="102" spans="1:23" ht="12.75">
      <c r="A102" s="15" t="s">
        <v>146</v>
      </c>
      <c r="B102" s="222">
        <v>56482.555716250004</v>
      </c>
      <c r="C102" s="7">
        <v>0.020497858828880375</v>
      </c>
      <c r="D102" s="6">
        <v>0.30437841220640144</v>
      </c>
      <c r="F102" s="66"/>
      <c r="G102" s="37"/>
      <c r="H102" s="72"/>
      <c r="I102" s="74"/>
      <c r="J102" s="15" t="s">
        <v>85</v>
      </c>
      <c r="K102" s="122">
        <v>0.354</v>
      </c>
      <c r="L102" s="35">
        <v>861</v>
      </c>
      <c r="M102" s="4">
        <v>21</v>
      </c>
      <c r="N102" s="4">
        <v>1.1</v>
      </c>
      <c r="O102" s="202">
        <v>1.36</v>
      </c>
      <c r="P102" s="201">
        <v>4.51</v>
      </c>
      <c r="R102" s="22"/>
      <c r="S102" s="23"/>
      <c r="W102" s="13"/>
    </row>
    <row r="103" spans="1:23" ht="12.75">
      <c r="A103" s="15" t="s">
        <v>147</v>
      </c>
      <c r="B103" s="223">
        <v>56482.555716250004</v>
      </c>
      <c r="C103" s="97">
        <v>0.020497858828880375</v>
      </c>
      <c r="D103" s="219">
        <v>0.30437841220640144</v>
      </c>
      <c r="E103" s="8"/>
      <c r="F103" s="66"/>
      <c r="G103" s="37"/>
      <c r="H103" s="72"/>
      <c r="I103" s="74"/>
      <c r="J103" s="15" t="s">
        <v>87</v>
      </c>
      <c r="K103" s="122">
        <v>0.354</v>
      </c>
      <c r="L103" s="35">
        <v>1100</v>
      </c>
      <c r="M103" s="4">
        <v>21</v>
      </c>
      <c r="N103" s="4">
        <v>1.1</v>
      </c>
      <c r="O103" s="202">
        <v>1.2</v>
      </c>
      <c r="P103" s="201">
        <v>4.51</v>
      </c>
      <c r="R103" s="22"/>
      <c r="S103" s="23"/>
      <c r="W103" s="13"/>
    </row>
    <row r="104" spans="1:23" ht="12.75">
      <c r="A104" s="15" t="s">
        <v>148</v>
      </c>
      <c r="B104" s="223">
        <v>85755.25858065119</v>
      </c>
      <c r="C104" s="97">
        <v>0.018465960082286192</v>
      </c>
      <c r="D104" s="219">
        <v>0.48232486603181624</v>
      </c>
      <c r="E104" s="109"/>
      <c r="F104" s="66"/>
      <c r="G104" s="37"/>
      <c r="H104" s="72"/>
      <c r="I104" s="74"/>
      <c r="J104" s="15" t="s">
        <v>88</v>
      </c>
      <c r="K104" s="122">
        <v>0.354</v>
      </c>
      <c r="L104" s="35">
        <v>786</v>
      </c>
      <c r="M104" s="4">
        <v>18</v>
      </c>
      <c r="N104" s="4">
        <v>1.1</v>
      </c>
      <c r="O104" s="202">
        <v>1.44</v>
      </c>
      <c r="P104" s="201">
        <v>4.51</v>
      </c>
      <c r="R104" s="22"/>
      <c r="S104" s="23"/>
      <c r="W104" s="13"/>
    </row>
    <row r="105" spans="1:23" ht="12.75">
      <c r="A105" s="1"/>
      <c r="B105" s="128"/>
      <c r="C105" s="28"/>
      <c r="D105" s="28"/>
      <c r="E105" s="28"/>
      <c r="F105" s="28"/>
      <c r="G105" s="28"/>
      <c r="J105" s="15" t="s">
        <v>68</v>
      </c>
      <c r="K105" s="122">
        <v>0.312</v>
      </c>
      <c r="L105" s="35">
        <v>355</v>
      </c>
      <c r="M105" s="4">
        <v>18</v>
      </c>
      <c r="N105" s="4">
        <v>1.6</v>
      </c>
      <c r="O105" s="202">
        <v>1.6</v>
      </c>
      <c r="P105" s="201">
        <v>4.21</v>
      </c>
      <c r="Q105" s="28"/>
      <c r="S105" s="60"/>
      <c r="W105" s="13"/>
    </row>
    <row r="106" spans="1:23" ht="12.75">
      <c r="A106" s="17"/>
      <c r="B106" s="52"/>
      <c r="C106" s="129"/>
      <c r="D106" s="130"/>
      <c r="E106" s="131"/>
      <c r="F106" s="11"/>
      <c r="Q106" s="13"/>
      <c r="R106" s="13"/>
      <c r="S106" s="13"/>
      <c r="T106" s="13"/>
      <c r="U106" s="13"/>
      <c r="V106" s="13"/>
      <c r="W106" s="13"/>
    </row>
    <row r="107" spans="1:27" ht="12.75">
      <c r="A107" s="13"/>
      <c r="B107" s="13"/>
      <c r="C107" s="13"/>
      <c r="D107" s="13"/>
      <c r="E107" s="13"/>
      <c r="F107" s="13"/>
      <c r="G107" s="13"/>
      <c r="H107" s="13"/>
      <c r="I107" s="26"/>
      <c r="J107" s="4"/>
      <c r="M107" s="22"/>
      <c r="N107" s="2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</row>
    <row r="108" spans="1:27" ht="12.75">
      <c r="A108" s="143"/>
      <c r="B108" s="13"/>
      <c r="C108" s="13"/>
      <c r="D108" s="13"/>
      <c r="E108" s="13"/>
      <c r="F108" s="13"/>
      <c r="G108" s="13"/>
      <c r="H108" s="13"/>
      <c r="I108" s="26"/>
      <c r="J108" s="4"/>
      <c r="M108" s="22"/>
      <c r="N108" s="2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</row>
    <row r="109" spans="1:27" ht="12.75">
      <c r="A109" s="144"/>
      <c r="B109" s="13"/>
      <c r="C109" s="13"/>
      <c r="D109" s="13"/>
      <c r="E109" s="13"/>
      <c r="F109" s="13"/>
      <c r="G109" s="13"/>
      <c r="H109" s="13"/>
      <c r="I109" s="13"/>
      <c r="J109" s="4"/>
      <c r="M109" s="22"/>
      <c r="N109" s="2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</row>
    <row r="110" spans="1:27" ht="12.75">
      <c r="A110" s="13"/>
      <c r="B110" s="13"/>
      <c r="C110" s="13"/>
      <c r="D110" s="21"/>
      <c r="E110" s="101"/>
      <c r="F110" s="13"/>
      <c r="G110" s="13"/>
      <c r="H110" s="13"/>
      <c r="I110" s="13"/>
      <c r="J110" s="13"/>
      <c r="K110" s="13"/>
      <c r="L110" s="13"/>
      <c r="M110" s="13"/>
      <c r="N110" s="102"/>
      <c r="O110" s="21"/>
      <c r="P110" s="71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</row>
    <row r="111" spans="1:27" ht="12.75">
      <c r="A111" s="21"/>
      <c r="B111" s="26"/>
      <c r="C111" s="13"/>
      <c r="D111" s="21"/>
      <c r="E111" s="26"/>
      <c r="F111" s="13"/>
      <c r="G111" s="13"/>
      <c r="H111" s="13"/>
      <c r="I111" s="13"/>
      <c r="J111" s="13"/>
      <c r="K111" s="13"/>
      <c r="L111" s="13"/>
      <c r="M111" s="13"/>
      <c r="N111" s="26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</row>
    <row r="112" spans="1:27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9"/>
      <c r="W112" s="13"/>
      <c r="X112" s="13"/>
      <c r="Y112" s="13"/>
      <c r="Z112" s="13"/>
      <c r="AA112" s="13"/>
    </row>
    <row r="113" spans="1:27" ht="12.75">
      <c r="A113" s="13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13"/>
      <c r="X113" s="13"/>
      <c r="Y113" s="13"/>
      <c r="Z113" s="13"/>
      <c r="AA113" s="13"/>
    </row>
    <row r="114" spans="1:27" ht="12.75">
      <c r="A114" s="13"/>
      <c r="B114" s="33"/>
      <c r="C114" s="33"/>
      <c r="D114" s="33"/>
      <c r="E114" s="33"/>
      <c r="F114" s="33"/>
      <c r="G114" s="33"/>
      <c r="H114" s="33"/>
      <c r="I114" s="33"/>
      <c r="J114" s="103"/>
      <c r="K114" s="104"/>
      <c r="L114" s="104"/>
      <c r="M114" s="104"/>
      <c r="N114" s="43"/>
      <c r="O114" s="43"/>
      <c r="P114" s="43"/>
      <c r="Q114" s="43"/>
      <c r="R114" s="43"/>
      <c r="S114" s="43"/>
      <c r="T114" s="43"/>
      <c r="U114" s="43"/>
      <c r="V114" s="43"/>
      <c r="W114" s="13"/>
      <c r="X114" s="13"/>
      <c r="Y114" s="13"/>
      <c r="Z114" s="13"/>
      <c r="AA114" s="13"/>
    </row>
    <row r="115" spans="1:27" ht="12.75">
      <c r="A115" s="13"/>
      <c r="B115" s="13"/>
      <c r="C115" s="33"/>
      <c r="D115" s="33"/>
      <c r="E115" s="33"/>
      <c r="F115" s="33"/>
      <c r="G115" s="33"/>
      <c r="H115" s="33"/>
      <c r="I115" s="33"/>
      <c r="J115" s="103"/>
      <c r="K115" s="104"/>
      <c r="L115" s="104"/>
      <c r="M115" s="104"/>
      <c r="N115" s="43"/>
      <c r="O115" s="43"/>
      <c r="P115" s="43"/>
      <c r="Q115" s="43"/>
      <c r="R115" s="43"/>
      <c r="S115" s="43"/>
      <c r="T115" s="43"/>
      <c r="U115" s="43"/>
      <c r="V115" s="43"/>
      <c r="W115" s="13"/>
      <c r="X115" s="13"/>
      <c r="Y115" s="13"/>
      <c r="Z115" s="13"/>
      <c r="AA115" s="13"/>
    </row>
    <row r="116" spans="1:27" ht="12.75">
      <c r="A116" s="13"/>
      <c r="B116" s="13"/>
      <c r="C116" s="33"/>
      <c r="D116" s="33"/>
      <c r="E116" s="33"/>
      <c r="F116" s="33"/>
      <c r="G116" s="33"/>
      <c r="H116" s="33"/>
      <c r="I116" s="33"/>
      <c r="J116" s="103"/>
      <c r="K116" s="104"/>
      <c r="L116" s="104"/>
      <c r="M116" s="104"/>
      <c r="N116" s="33"/>
      <c r="O116" s="33"/>
      <c r="P116" s="33"/>
      <c r="Q116" s="33"/>
      <c r="R116" s="33"/>
      <c r="S116" s="33"/>
      <c r="T116" s="33"/>
      <c r="U116" s="33"/>
      <c r="V116" s="33"/>
      <c r="W116" s="13"/>
      <c r="X116" s="13"/>
      <c r="Y116" s="13"/>
      <c r="Z116" s="13"/>
      <c r="AA116" s="13"/>
    </row>
    <row r="117" spans="1:27" ht="12.75">
      <c r="A117" s="13"/>
      <c r="B117" s="13"/>
      <c r="C117" s="43"/>
      <c r="D117" s="33"/>
      <c r="E117" s="33"/>
      <c r="F117" s="33"/>
      <c r="G117" s="33"/>
      <c r="H117" s="33"/>
      <c r="I117" s="33"/>
      <c r="J117" s="103"/>
      <c r="K117" s="104"/>
      <c r="L117" s="104"/>
      <c r="M117" s="104"/>
      <c r="N117" s="33"/>
      <c r="O117" s="33"/>
      <c r="P117" s="33"/>
      <c r="Q117" s="33"/>
      <c r="R117" s="33"/>
      <c r="S117" s="33"/>
      <c r="T117" s="33"/>
      <c r="U117" s="33"/>
      <c r="V117" s="33"/>
      <c r="W117" s="13"/>
      <c r="X117" s="13"/>
      <c r="Y117" s="13"/>
      <c r="Z117" s="13"/>
      <c r="AA117" s="13"/>
    </row>
    <row r="118" spans="1:27" ht="12.75">
      <c r="A118" s="13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13"/>
      <c r="Q118" s="9"/>
      <c r="R118" s="9"/>
      <c r="S118" s="9"/>
      <c r="T118" s="9"/>
      <c r="U118" s="13"/>
      <c r="V118" s="13"/>
      <c r="W118" s="13"/>
      <c r="X118" s="13"/>
      <c r="Y118" s="13"/>
      <c r="Z118" s="13"/>
      <c r="AA118" s="13"/>
    </row>
    <row r="119" spans="1:27" ht="12.75">
      <c r="A119" s="13"/>
      <c r="B119" s="105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13"/>
      <c r="Q119" s="43"/>
      <c r="R119" s="43"/>
      <c r="S119" s="43"/>
      <c r="T119" s="43"/>
      <c r="U119" s="13"/>
      <c r="V119" s="13"/>
      <c r="W119" s="13"/>
      <c r="X119" s="13"/>
      <c r="Y119" s="13"/>
      <c r="Z119" s="13"/>
      <c r="AA119" s="13"/>
    </row>
    <row r="120" spans="1:27" ht="12.75">
      <c r="A120" s="13"/>
      <c r="B120" s="9"/>
      <c r="C120" s="43"/>
      <c r="D120" s="43"/>
      <c r="E120" s="43"/>
      <c r="F120" s="43"/>
      <c r="G120" s="43"/>
      <c r="H120" s="29"/>
      <c r="I120" s="29"/>
      <c r="J120" s="13"/>
      <c r="K120" s="13"/>
      <c r="L120" s="13"/>
      <c r="M120" s="13"/>
      <c r="N120" s="13"/>
      <c r="O120" s="13"/>
      <c r="P120" s="13"/>
      <c r="Q120" s="28"/>
      <c r="R120" s="28"/>
      <c r="S120" s="28"/>
      <c r="T120" s="28"/>
      <c r="U120" s="28"/>
      <c r="V120" s="13"/>
      <c r="W120" s="13"/>
      <c r="X120" s="13"/>
      <c r="Y120" s="13"/>
      <c r="Z120" s="13"/>
      <c r="AA120" s="13"/>
    </row>
    <row r="121" spans="1:27" ht="12.75">
      <c r="A121" s="13"/>
      <c r="B121" s="28"/>
      <c r="C121" s="43"/>
      <c r="D121" s="33"/>
      <c r="E121" s="33"/>
      <c r="F121" s="33"/>
      <c r="G121" s="33"/>
      <c r="H121" s="106"/>
      <c r="I121" s="28"/>
      <c r="J121" s="29"/>
      <c r="K121" s="28"/>
      <c r="L121" s="33"/>
      <c r="M121" s="33"/>
      <c r="N121" s="33"/>
      <c r="O121" s="33"/>
      <c r="P121" s="13"/>
      <c r="Q121" s="33"/>
      <c r="R121" s="33"/>
      <c r="S121" s="33"/>
      <c r="T121" s="33"/>
      <c r="U121" s="33"/>
      <c r="V121" s="33"/>
      <c r="W121" s="13"/>
      <c r="X121" s="13"/>
      <c r="Y121" s="13"/>
      <c r="Z121" s="13"/>
      <c r="AA121" s="13"/>
    </row>
    <row r="122" spans="1:27" ht="12.75">
      <c r="A122" s="13"/>
      <c r="B122" s="42"/>
      <c r="C122" s="43"/>
      <c r="D122" s="28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</row>
    <row r="123" spans="1:27" ht="12.75">
      <c r="A123" s="13"/>
      <c r="B123" s="9"/>
      <c r="C123" s="28"/>
      <c r="D123" s="4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</row>
    <row r="124" spans="1:27" ht="12.75">
      <c r="A124" s="13"/>
      <c r="B124" s="9"/>
      <c r="C124" s="28"/>
      <c r="D124" s="43"/>
      <c r="E124" s="13"/>
      <c r="F124" s="13"/>
      <c r="G124" s="13"/>
      <c r="H124" s="13"/>
      <c r="I124" s="13"/>
      <c r="J124" s="13"/>
      <c r="K124" s="107"/>
      <c r="L124" s="107"/>
      <c r="M124" s="107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</row>
    <row r="125" spans="1:27" ht="12.75">
      <c r="A125" s="13"/>
      <c r="B125" s="9"/>
      <c r="C125" s="28"/>
      <c r="D125" s="4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1:27" ht="12.75">
      <c r="A126" s="13"/>
      <c r="B126" s="9"/>
      <c r="C126" s="28"/>
      <c r="D126" s="43"/>
      <c r="E126" s="13"/>
      <c r="F126" s="13"/>
      <c r="G126" s="13"/>
      <c r="H126" s="13"/>
      <c r="I126" s="13"/>
      <c r="J126" s="13"/>
      <c r="K126" s="13"/>
      <c r="L126" s="28"/>
      <c r="M126" s="28"/>
      <c r="N126" s="13"/>
      <c r="O126" s="13"/>
      <c r="P126" s="13"/>
      <c r="Q126" s="13"/>
      <c r="R126" s="13"/>
      <c r="S126" s="13"/>
      <c r="T126" s="21"/>
      <c r="U126" s="21"/>
      <c r="V126" s="13"/>
      <c r="W126" s="13"/>
      <c r="X126" s="13"/>
      <c r="Y126" s="13"/>
      <c r="Z126" s="13"/>
      <c r="AA126" s="13"/>
    </row>
    <row r="127" spans="2:13" ht="12.75">
      <c r="B127" s="4"/>
      <c r="C127" s="6"/>
      <c r="D127" s="11"/>
      <c r="L127" s="6"/>
      <c r="M127" s="6"/>
    </row>
    <row r="128" spans="2:4" ht="12.75">
      <c r="B128" s="4"/>
      <c r="C128" s="6"/>
      <c r="D128" s="11"/>
    </row>
    <row r="129" spans="2:13" ht="12.75">
      <c r="B129" s="4"/>
      <c r="C129" s="6"/>
      <c r="D129" s="11"/>
      <c r="L129" s="6"/>
      <c r="M129" s="6"/>
    </row>
    <row r="130" spans="2:11" ht="12.75">
      <c r="B130" s="4"/>
      <c r="C130" s="6"/>
      <c r="D130" s="11"/>
      <c r="K130" s="62"/>
    </row>
    <row r="131" spans="2:4" ht="12.75">
      <c r="B131" s="4"/>
      <c r="C131" s="6"/>
      <c r="D131" s="6"/>
    </row>
    <row r="132" spans="2:11" ht="12.75">
      <c r="B132" s="4"/>
      <c r="C132" s="6"/>
      <c r="D132" s="6"/>
      <c r="K132" s="61"/>
    </row>
    <row r="133" spans="2:4" ht="12.75">
      <c r="B133" s="4"/>
      <c r="C133" s="6"/>
      <c r="D133" s="6"/>
    </row>
    <row r="134" spans="2:4" ht="12.75">
      <c r="B134" s="4"/>
      <c r="C134" s="6"/>
      <c r="D134" s="6"/>
    </row>
    <row r="135" spans="2:4" ht="12.75">
      <c r="B135" s="4"/>
      <c r="C135" s="6"/>
      <c r="D135" s="6"/>
    </row>
    <row r="136" spans="2:4" ht="12.75">
      <c r="B136" s="9"/>
      <c r="C136" s="28"/>
      <c r="D136" s="28"/>
    </row>
    <row r="137" spans="2:4" ht="12.75">
      <c r="B137" s="4"/>
      <c r="C137" s="11"/>
      <c r="D137" s="6"/>
    </row>
    <row r="138" spans="2:13" ht="12.75">
      <c r="B138" s="4"/>
      <c r="C138" s="11"/>
      <c r="L138" s="64"/>
      <c r="M138" s="64"/>
    </row>
    <row r="139" spans="2:3" ht="12.75">
      <c r="B139" s="4"/>
      <c r="C139" s="11"/>
    </row>
    <row r="140" spans="2:3" ht="12.75">
      <c r="B140" s="4"/>
      <c r="C140" s="11"/>
    </row>
    <row r="141" spans="2:3" ht="12.75">
      <c r="B141" s="4"/>
      <c r="C141" s="11"/>
    </row>
    <row r="151" ht="12.75">
      <c r="A151" s="34"/>
    </row>
    <row r="154" spans="12:13" ht="12.75">
      <c r="L154" s="60"/>
      <c r="M154" s="60"/>
    </row>
    <row r="156" ht="12.75">
      <c r="H156" s="4"/>
    </row>
    <row r="157" spans="2:9" ht="12.75">
      <c r="B157" s="1"/>
      <c r="C157" s="47"/>
      <c r="G157" s="59"/>
      <c r="H157" s="2"/>
      <c r="I157" s="61"/>
    </row>
    <row r="158" spans="2:3" ht="12.75">
      <c r="B158" s="1"/>
      <c r="C158" s="52"/>
    </row>
    <row r="160" spans="3:13" ht="12.75">
      <c r="C160" s="50"/>
      <c r="L160" s="58"/>
      <c r="M160" s="58"/>
    </row>
    <row r="161" spans="3:6" ht="12.75">
      <c r="C161" s="50"/>
      <c r="F161" s="57"/>
    </row>
    <row r="164" ht="12.75">
      <c r="A164" s="8"/>
    </row>
    <row r="170" spans="1:2" ht="12.75">
      <c r="A170" s="63"/>
      <c r="B170" s="34"/>
    </row>
    <row r="171" ht="12.75">
      <c r="K171" s="6"/>
    </row>
    <row r="175" spans="2:4" ht="12.75">
      <c r="B175" s="2"/>
      <c r="C175" s="2"/>
      <c r="D175" s="27"/>
    </row>
    <row r="176" ht="12.75">
      <c r="D176" s="50"/>
    </row>
    <row r="177" spans="3:4" ht="12.75">
      <c r="C177" s="1"/>
      <c r="D177" s="50"/>
    </row>
    <row r="178" spans="3:4" ht="12.75">
      <c r="C178" s="1"/>
      <c r="D178" s="47"/>
    </row>
    <row r="181" spans="2:3" ht="12.75">
      <c r="B181" s="1"/>
      <c r="C181" s="47"/>
    </row>
    <row r="182" ht="12.75">
      <c r="H182" s="41"/>
    </row>
    <row r="183" spans="8:9" ht="12.75">
      <c r="H183" s="1"/>
      <c r="I183" s="47"/>
    </row>
    <row r="186" spans="1:7" ht="12.75">
      <c r="A186" s="34"/>
      <c r="G186" s="58"/>
    </row>
    <row r="188" spans="1:2" ht="12.75">
      <c r="A188" s="1"/>
      <c r="B188" s="47"/>
    </row>
    <row r="190" ht="12.75">
      <c r="A190" s="34"/>
    </row>
    <row r="191" spans="1:2" ht="12.75">
      <c r="A191" s="1"/>
      <c r="B191" s="47"/>
    </row>
    <row r="194" ht="12.75">
      <c r="A194" s="13"/>
    </row>
    <row r="195" ht="12.75">
      <c r="B195" s="50"/>
    </row>
    <row r="199" ht="12.75">
      <c r="A199" s="34"/>
    </row>
    <row r="201" spans="2:3" ht="12.75">
      <c r="B201" s="1"/>
      <c r="C201" s="47"/>
    </row>
    <row r="202" spans="2:3" ht="12.75">
      <c r="B202" s="1"/>
      <c r="C202" s="50"/>
    </row>
    <row r="203" spans="2:3" ht="12.75">
      <c r="B203" s="1"/>
      <c r="C203" s="27"/>
    </row>
    <row r="204" spans="2:3" ht="12.75">
      <c r="B204" s="1"/>
      <c r="C204" s="47"/>
    </row>
  </sheetData>
  <printOptions/>
  <pageMargins left="0.75" right="0.75" top="1" bottom="1" header="0.5" footer="0.5"/>
  <pageSetup horizontalDpi="300" verticalDpi="300" orientation="landscape" scale="35" r:id="rId2"/>
  <headerFooter alignWithMargins="0">
    <oddHeader>&amp;C&amp;A</oddHeader>
    <oddFooter>&amp;CPage &amp;P</oddFooter>
  </headerFooter>
  <colBreaks count="2" manualBreakCount="2">
    <brk id="8" max="115" man="1"/>
    <brk id="1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6"/>
  <sheetViews>
    <sheetView workbookViewId="0" topLeftCell="A33">
      <selection activeCell="F60" sqref="F60"/>
    </sheetView>
  </sheetViews>
  <sheetFormatPr defaultColWidth="9.00390625" defaultRowHeight="12.75"/>
  <cols>
    <col min="1" max="7" width="11.375" style="0" customWidth="1"/>
    <col min="8" max="8" width="13.75390625" style="0" customWidth="1"/>
    <col min="9" max="16384" width="11.375" style="0" customWidth="1"/>
  </cols>
  <sheetData>
    <row r="2" ht="12.75">
      <c r="A2" s="8" t="s">
        <v>40</v>
      </c>
    </row>
    <row r="3" spans="1:2" ht="12.75">
      <c r="A3" s="53" t="s">
        <v>37</v>
      </c>
      <c r="B3" s="8"/>
    </row>
    <row r="4" spans="1:2" ht="12.75">
      <c r="A4" s="8" t="s">
        <v>52</v>
      </c>
      <c r="B4" s="8"/>
    </row>
    <row r="5" ht="12.75">
      <c r="D5" s="5" t="s">
        <v>45</v>
      </c>
    </row>
    <row r="6" spans="1:2" ht="12.75">
      <c r="A6" s="8" t="s">
        <v>53</v>
      </c>
      <c r="B6" s="8"/>
    </row>
    <row r="7" ht="12.75">
      <c r="A7" s="1"/>
    </row>
    <row r="8" spans="1:4" ht="12.75">
      <c r="A8" t="s">
        <v>16</v>
      </c>
      <c r="D8" s="4">
        <v>2.03</v>
      </c>
    </row>
    <row r="9" spans="1:4" ht="12.75">
      <c r="A9" t="s">
        <v>44</v>
      </c>
      <c r="D9" s="4">
        <v>0.808</v>
      </c>
    </row>
    <row r="10" spans="1:4" ht="12.75">
      <c r="A10" t="s">
        <v>13</v>
      </c>
      <c r="D10" s="4">
        <v>0.0013</v>
      </c>
    </row>
    <row r="11" spans="1:4" ht="12.75">
      <c r="A11" t="s">
        <v>17</v>
      </c>
      <c r="D11" s="4">
        <v>0.00152</v>
      </c>
    </row>
    <row r="12" spans="1:4" ht="12.75">
      <c r="A12" t="s">
        <v>14</v>
      </c>
      <c r="D12" s="30">
        <v>0.0007925669414232064</v>
      </c>
    </row>
    <row r="13" spans="1:4" ht="12.75">
      <c r="A13" t="s">
        <v>18</v>
      </c>
      <c r="D13" s="6">
        <v>2.373538461538461</v>
      </c>
    </row>
    <row r="14" spans="1:4" ht="12.75">
      <c r="A14" t="s">
        <v>32</v>
      </c>
      <c r="D14" s="31">
        <v>0.0018811881188118811</v>
      </c>
    </row>
    <row r="16" ht="12.75">
      <c r="A16" s="8" t="s">
        <v>39</v>
      </c>
    </row>
    <row r="18" spans="1:9" ht="12.75">
      <c r="A18" s="54" t="s">
        <v>46</v>
      </c>
      <c r="D18" s="4">
        <v>0.88</v>
      </c>
      <c r="E18" s="4"/>
      <c r="F18" s="4"/>
      <c r="G18" s="4"/>
      <c r="H18" s="4"/>
      <c r="I18" s="4"/>
    </row>
    <row r="19" spans="1:8" ht="12.75">
      <c r="A19" s="55" t="s">
        <v>49</v>
      </c>
      <c r="D19" s="4">
        <v>3</v>
      </c>
      <c r="E19" s="4"/>
      <c r="F19" s="4"/>
      <c r="G19" s="4"/>
      <c r="H19" s="4"/>
    </row>
    <row r="20" spans="1:10" ht="12.75">
      <c r="A20" s="56" t="s">
        <v>50</v>
      </c>
      <c r="D20" s="51">
        <v>147.43101542399998</v>
      </c>
      <c r="E20" s="9"/>
      <c r="F20" s="9"/>
      <c r="G20" s="9"/>
      <c r="H20" s="9"/>
      <c r="I20" s="9"/>
      <c r="J20" s="9"/>
    </row>
    <row r="21" spans="1:10" ht="12.75">
      <c r="A21" s="52" t="s">
        <v>47</v>
      </c>
      <c r="D21" s="35">
        <v>140336.84210526317</v>
      </c>
      <c r="E21" s="35"/>
      <c r="F21" s="7"/>
      <c r="G21" s="7"/>
      <c r="H21" s="7"/>
      <c r="I21" s="35"/>
      <c r="J21" s="7"/>
    </row>
    <row r="22" spans="1:4" ht="12.75">
      <c r="A22" s="52" t="s">
        <v>48</v>
      </c>
      <c r="D22" s="7">
        <v>0.016326540037999535</v>
      </c>
    </row>
    <row r="23" spans="1:4" ht="12.75">
      <c r="A23" s="52" t="s">
        <v>23</v>
      </c>
      <c r="B23" t="s">
        <v>26</v>
      </c>
      <c r="D23" s="7">
        <v>0.6296285105996438</v>
      </c>
    </row>
    <row r="24" spans="1:4" ht="12.75">
      <c r="A24" s="52" t="s">
        <v>23</v>
      </c>
      <c r="B24" s="4" t="s">
        <v>35</v>
      </c>
      <c r="D24" s="35">
        <v>1105.6890917847402</v>
      </c>
    </row>
    <row r="25" spans="1:4" ht="12.75">
      <c r="A25" s="2" t="s">
        <v>23</v>
      </c>
      <c r="B25" t="s">
        <v>36</v>
      </c>
      <c r="D25" s="7">
        <v>0.3071358588290945</v>
      </c>
    </row>
    <row r="26" spans="1:4" ht="12.75">
      <c r="A26" s="47" t="s">
        <v>51</v>
      </c>
      <c r="D26" s="7">
        <v>0.06656435222832104</v>
      </c>
    </row>
    <row r="28" ht="12.75">
      <c r="A28" s="8" t="s">
        <v>41</v>
      </c>
    </row>
    <row r="29" ht="12.75">
      <c r="D29" s="9"/>
    </row>
    <row r="30" spans="1:4" ht="12.75">
      <c r="A30" t="s">
        <v>34</v>
      </c>
      <c r="D30" s="35">
        <v>108.36204491969985</v>
      </c>
    </row>
    <row r="31" spans="1:4" ht="12.75">
      <c r="A31" t="s">
        <v>15</v>
      </c>
      <c r="D31" s="4">
        <v>0.22</v>
      </c>
    </row>
    <row r="32" spans="1:4" ht="12.75">
      <c r="A32" t="s">
        <v>42</v>
      </c>
      <c r="D32" s="6">
        <v>8.938</v>
      </c>
    </row>
    <row r="33" ht="12.75">
      <c r="D33" s="4"/>
    </row>
    <row r="34" ht="12.75">
      <c r="D34" s="4"/>
    </row>
    <row r="35" ht="12.75">
      <c r="D35" s="4"/>
    </row>
    <row r="36" ht="12.75">
      <c r="D36" s="6"/>
    </row>
    <row r="37" ht="12.75">
      <c r="D37" s="4"/>
    </row>
    <row r="38" ht="12.75">
      <c r="D38" s="6"/>
    </row>
    <row r="39" ht="12.75">
      <c r="D39" s="35"/>
    </row>
    <row r="41" ht="12.75">
      <c r="A41" s="8"/>
    </row>
    <row r="42" ht="12.75">
      <c r="B42" s="1"/>
    </row>
    <row r="43" ht="12.75">
      <c r="D43" s="4"/>
    </row>
    <row r="44" ht="12.75">
      <c r="D44" s="4"/>
    </row>
    <row r="45" ht="12.75">
      <c r="D45" s="4"/>
    </row>
    <row r="46" ht="12.75">
      <c r="D46" s="4"/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L. Goranson</dc:creator>
  <cp:keywords/>
  <dc:description/>
  <cp:lastModifiedBy>bsimmons</cp:lastModifiedBy>
  <cp:lastPrinted>2008-06-26T18:01:14Z</cp:lastPrinted>
  <dcterms:created xsi:type="dcterms:W3CDTF">2000-08-07T13:53:44Z</dcterms:created>
  <dcterms:modified xsi:type="dcterms:W3CDTF">2008-06-26T18:02:09Z</dcterms:modified>
  <cp:category/>
  <cp:version/>
  <cp:contentType/>
  <cp:contentStatus/>
</cp:coreProperties>
</file>