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360" windowHeight="12240" activeTab="1"/>
  </bookViews>
  <sheets>
    <sheet name="PPPL FAB" sheetId="1" r:id="rId1"/>
    <sheet name="summary of COSTS" sheetId="2" r:id="rId2"/>
    <sheet name="summary of HOURS" sheetId="3" r:id="rId3"/>
    <sheet name="VENDOR FAB" sheetId="4" r:id="rId4"/>
    <sheet name="xx" sheetId="5" r:id="rId5"/>
    <sheet name="Sheet2" sheetId="6" r:id="rId6"/>
  </sheets>
  <definedNames>
    <definedName name="_xlnm.Print_Area" localSheetId="0">'PPPL FAB'!$A$2:$O$156</definedName>
    <definedName name="_xlnm.Print_Area" localSheetId="5">'Sheet2'!$A$59:$E$76</definedName>
    <definedName name="_xlnm.Print_Area" localSheetId="1">'summary of COSTS'!$A$1:$J$49</definedName>
    <definedName name="_xlnm.Print_Area" localSheetId="2">'summary of HOURS'!$A$1:$E$101</definedName>
    <definedName name="_xlnm.Print_Area" localSheetId="3">'VENDOR FAB'!$A$2:$O$165</definedName>
    <definedName name="_xlnm.Print_Area" localSheetId="4">'xx'!$P$63:$AK$110</definedName>
    <definedName name="_xlnm.Print_Titles" localSheetId="0">'PPPL FAB'!$1:$1</definedName>
    <definedName name="_xlnm.Print_Titles" localSheetId="3">'VENDOR FAB'!$1:$1</definedName>
  </definedNames>
  <calcPr fullCalcOnLoad="1"/>
</workbook>
</file>

<file path=xl/sharedStrings.xml><?xml version="1.0" encoding="utf-8"?>
<sst xmlns="http://schemas.openxmlformats.org/spreadsheetml/2006/main" count="802" uniqueCount="261">
  <si>
    <t>Cleanup &amp; ready autoclave</t>
  </si>
  <si>
    <t>[parallel activity] Station cleanup during cure</t>
  </si>
  <si>
    <t>Tech.</t>
  </si>
  <si>
    <t>No. of</t>
  </si>
  <si>
    <t>Shifts</t>
  </si>
  <si>
    <t>per day</t>
  </si>
  <si>
    <t>Working</t>
  </si>
  <si>
    <t>Days</t>
  </si>
  <si>
    <t>Unload and sample measure each spool</t>
  </si>
  <si>
    <t>Total working days per coil</t>
  </si>
  <si>
    <t>Total working days</t>
  </si>
  <si>
    <t>Task</t>
  </si>
  <si>
    <t>No.</t>
  </si>
  <si>
    <t>TASK DESCRIPTION</t>
  </si>
  <si>
    <t>Vacuum pumpdown mold and autoclave</t>
  </si>
  <si>
    <t>Epoxy fill coil</t>
  </si>
  <si>
    <t>Temperature rampup and Cure</t>
  </si>
  <si>
    <t>Temperature rampup and Post cure</t>
  </si>
  <si>
    <t>Temperature rampdown</t>
  </si>
  <si>
    <t>Connect fill lines, manifolds, hookup thermocouples &amp; leak check</t>
  </si>
  <si>
    <t>Items</t>
  </si>
  <si>
    <t>Total</t>
  </si>
  <si>
    <t>Total working days 1st. coil</t>
  </si>
  <si>
    <t>man-hours</t>
  </si>
  <si>
    <t>Man-hrs</t>
  </si>
  <si>
    <t>2 thru 18</t>
  </si>
  <si>
    <t>Fabricate Coil WIndingTooling/Fixtures</t>
  </si>
  <si>
    <t>EMTB</t>
  </si>
  <si>
    <t>EAEM</t>
  </si>
  <si>
    <t>EADM</t>
  </si>
  <si>
    <t>EMSM</t>
  </si>
  <si>
    <t>M&amp;S</t>
  </si>
  <si>
    <t>Engr</t>
  </si>
  <si>
    <t>Designer</t>
  </si>
  <si>
    <t>machinist</t>
  </si>
  <si>
    <t>Tech</t>
  </si>
  <si>
    <t>hours</t>
  </si>
  <si>
    <t>w/o G&amp;A</t>
  </si>
  <si>
    <t>w/G&amp;A</t>
  </si>
  <si>
    <t>Duration</t>
  </si>
  <si>
    <t>Start</t>
  </si>
  <si>
    <t>End</t>
  </si>
  <si>
    <t>EQUIPMENT and TOOLING COSTS</t>
  </si>
  <si>
    <t>Miscellaneous tools and equipment</t>
  </si>
  <si>
    <t>AREA PREPARATION</t>
  </si>
  <si>
    <t>5) Copper conductor</t>
  </si>
  <si>
    <t>valves</t>
  </si>
  <si>
    <t>High &amp; low temperature vac. Tubing</t>
  </si>
  <si>
    <t>VPI Supplies</t>
  </si>
  <si>
    <t>Copper tubing</t>
  </si>
  <si>
    <t>8) Safety and PPE equipment and supplies</t>
  </si>
  <si>
    <t>2) Epoxy- CTD-101K</t>
  </si>
  <si>
    <t>Coil Supplies</t>
  </si>
  <si>
    <t>MATERIAL &amp; SUPPLIES</t>
  </si>
  <si>
    <t>LOE FY05</t>
  </si>
  <si>
    <t>LOE FY06</t>
  </si>
  <si>
    <t>ENGINEERING and OVERSIGHT</t>
  </si>
  <si>
    <t>EM</t>
  </si>
  <si>
    <t>SM</t>
  </si>
  <si>
    <t>TB</t>
  </si>
  <si>
    <t>DM</t>
  </si>
  <si>
    <t>Rate</t>
  </si>
  <si>
    <t>Manhrs</t>
  </si>
  <si>
    <t>Perform electrical &amp; Pressure Tests</t>
  </si>
  <si>
    <t>Station No. 6-  Electrical Test Station</t>
  </si>
  <si>
    <t xml:space="preserve">Warm tests (room temperature) only </t>
  </si>
  <si>
    <t xml:space="preserve">Build cleanroom </t>
  </si>
  <si>
    <t>Flush inner bore</t>
  </si>
  <si>
    <t>Receive conductors</t>
  </si>
  <si>
    <t>Station No. 1- Conductor Preparation</t>
  </si>
  <si>
    <t>Assumptions:</t>
  </si>
  <si>
    <t>2)  Conductors need to be primed</t>
  </si>
  <si>
    <t>1)  Conductors will arrive in 90to 100 ft. length spools</t>
  </si>
  <si>
    <t>3)  Induction Braze joints</t>
  </si>
  <si>
    <t>4)  Four conductor spools per TF coil</t>
  </si>
  <si>
    <t>Clean, prime and bag conductor</t>
  </si>
  <si>
    <t xml:space="preserve">Station No. 2-  Coil Winding </t>
  </si>
  <si>
    <t>Prepare winding station for winding TF coil</t>
  </si>
  <si>
    <t xml:space="preserve">Install and prepare mandral </t>
  </si>
  <si>
    <t>Position 2nd. Conductor and braze layer 1 to 2</t>
  </si>
  <si>
    <t>Wind layer #2 -</t>
  </si>
  <si>
    <t>Position 3rd. Conductor &amp; wind layer 3</t>
  </si>
  <si>
    <t>Perform locking braze layers 2 to 3</t>
  </si>
  <si>
    <t>Position 4nd. Conductor and braze layer 3 to 4</t>
  </si>
  <si>
    <t xml:space="preserve">Wind layer #4/ Torch braze </t>
  </si>
  <si>
    <t>Position starting conductor &amp; wind layer #1</t>
  </si>
  <si>
    <t>Braze lead spur</t>
  </si>
  <si>
    <t>Wind TF coil</t>
  </si>
  <si>
    <t>Secure and transfer TF coil to station #3</t>
  </si>
  <si>
    <t>Station No. 3- Ground wrapping &amp; Mold Application</t>
  </si>
  <si>
    <t>Ground wrap TF coil</t>
  </si>
  <si>
    <t xml:space="preserve">Notes: </t>
  </si>
  <si>
    <t>1)  2-man teams can apply approximately 5 wraps per minute. (2" wide tape)</t>
  </si>
  <si>
    <t xml:space="preserve">2) (6) half-lapped layers of glass &amp; (2) half-lapped layers of glass/Kapton </t>
  </si>
  <si>
    <t>3) Circumference: approx. 353 inches</t>
  </si>
  <si>
    <t>4) Approximately 70 minutes to complete (1) half-lapped layer</t>
  </si>
  <si>
    <t>5) Approximately 10 hours to complete groudwrap operation</t>
  </si>
  <si>
    <t>Install TF coil in mold</t>
  </si>
  <si>
    <t>Transport TF to NCSX Coil Facility</t>
  </si>
  <si>
    <t>Total working days coils 2 thru 18</t>
  </si>
  <si>
    <t>Prepare TF coil for VPI</t>
  </si>
  <si>
    <t xml:space="preserve"> VPI TF Coil</t>
  </si>
  <si>
    <t>Hours</t>
  </si>
  <si>
    <t>Cost</t>
  </si>
  <si>
    <t>VPI TF coil</t>
  </si>
  <si>
    <t>per R. Strykowsky 10/5/04</t>
  </si>
  <si>
    <t>EETB</t>
  </si>
  <si>
    <t>Install winding table</t>
  </si>
  <si>
    <t>Setup copper delivery system</t>
  </si>
  <si>
    <t>Install taping machine</t>
  </si>
  <si>
    <t>Complete setup of facility</t>
  </si>
  <si>
    <t>Recondition turning fixture</t>
  </si>
  <si>
    <t>Winding clamps</t>
  </si>
  <si>
    <t>Brazing qualification</t>
  </si>
  <si>
    <t>Materials &amp; supplies</t>
  </si>
  <si>
    <t>Transfer TF coil to Autoclave</t>
  </si>
  <si>
    <t>Testing</t>
  </si>
  <si>
    <t>VPI</t>
  </si>
  <si>
    <t>Ground wrap/mold</t>
  </si>
  <si>
    <t>Coil winding</t>
  </si>
  <si>
    <t>1) Misc VPI supplies</t>
  </si>
  <si>
    <t>2) Disposable VPI hardware</t>
  </si>
  <si>
    <t>Assumption: VPI (2) TF coils together</t>
  </si>
  <si>
    <t>Total TF Fabrication</t>
  </si>
  <si>
    <t>TOTAL</t>
  </si>
  <si>
    <t>LOE FY07</t>
  </si>
  <si>
    <t>Taping machine conditioning</t>
  </si>
  <si>
    <t>Winding mandrel</t>
  </si>
  <si>
    <t>TF mold (2)</t>
  </si>
  <si>
    <t>Braze unit</t>
  </si>
  <si>
    <t>Conductor prep</t>
  </si>
  <si>
    <t>Fabricate work coils</t>
  </si>
  <si>
    <t>Prepare braze samples</t>
  </si>
  <si>
    <t>Braze conductor samples</t>
  </si>
  <si>
    <t>Test brazed samples</t>
  </si>
  <si>
    <t>Braze Qualification Program</t>
  </si>
  <si>
    <t>Design tooling and winding facility</t>
  </si>
  <si>
    <t>Total Cost</t>
  </si>
  <si>
    <t>Total cost</t>
  </si>
  <si>
    <t>Engineering &amp; Oversight</t>
  </si>
  <si>
    <t>Develop braze technique</t>
  </si>
  <si>
    <t xml:space="preserve"> Tech.</t>
  </si>
  <si>
    <t>7a</t>
  </si>
  <si>
    <t>6b</t>
  </si>
  <si>
    <t>6c</t>
  </si>
  <si>
    <t>6a</t>
  </si>
  <si>
    <t>Equip. &amp; Tooling</t>
  </si>
  <si>
    <t>Area Preparation</t>
  </si>
  <si>
    <t>7) Lead blocks</t>
  </si>
  <si>
    <t>Remove TF coil from mold/clean mold</t>
  </si>
  <si>
    <t>[8 gallons per coil @ $1500.00 per kit- assume 20 injections]</t>
  </si>
  <si>
    <t>6) G-11 fillers                       [Fillers for transitions and leads]</t>
  </si>
  <si>
    <t>9) Miscellaneous supplies                [Includes rags, hardware, braze material etc.]</t>
  </si>
  <si>
    <t>Sub total (hours)</t>
  </si>
  <si>
    <t>Sub total cost</t>
  </si>
  <si>
    <t>5a</t>
  </si>
  <si>
    <t>5b</t>
  </si>
  <si>
    <t>7b</t>
  </si>
  <si>
    <t>8a</t>
  </si>
  <si>
    <t>8b</t>
  </si>
  <si>
    <t>8c</t>
  </si>
  <si>
    <t>9a</t>
  </si>
  <si>
    <t>9b</t>
  </si>
  <si>
    <t>9c</t>
  </si>
  <si>
    <t xml:space="preserve">1) Insulation [t/t and groundwrap]                                      </t>
  </si>
  <si>
    <t>10)  Primer</t>
  </si>
  <si>
    <t>fy05</t>
  </si>
  <si>
    <t>fy05 rate</t>
  </si>
  <si>
    <t>fy06 rate</t>
  </si>
  <si>
    <t>MHX G&amp;A</t>
  </si>
  <si>
    <t>Setup winding facility in the TFTR Test Cell</t>
  </si>
  <si>
    <t>Braze unit (TBD torch brazing assumed)</t>
  </si>
  <si>
    <t>PPPL MHX on 1st $500k @</t>
  </si>
  <si>
    <t>PPPL G&amp;A on MHX @</t>
  </si>
  <si>
    <t>ECP21</t>
  </si>
  <si>
    <t>Total With PPPL G&amp;A</t>
  </si>
  <si>
    <t>over 17 mo. Contract period</t>
  </si>
  <si>
    <t>Kalish travel@$1.5k/mo.plus G&amp;A</t>
  </si>
  <si>
    <t>TOTAL COST FOR OUTSIDE FAB=</t>
  </si>
  <si>
    <t>Increase from baseline</t>
  </si>
  <si>
    <t>Kalish oversight @ 75for 1st coil,25% on balance%</t>
  </si>
  <si>
    <t>Kalish travel</t>
  </si>
  <si>
    <t>over 17 mo. FAb period</t>
  </si>
  <si>
    <t>Summary Comparison of costs</t>
  </si>
  <si>
    <t>Does not include;</t>
  </si>
  <si>
    <t>1) Casting fabrication and oversight (same in both cases)</t>
  </si>
  <si>
    <t xml:space="preserve">3) Contingency </t>
  </si>
  <si>
    <t>2) Assembly of castings to TF coil (same in both cases)</t>
  </si>
  <si>
    <t>TOTAL COST FORPPPL FAB=</t>
  </si>
  <si>
    <t>TOTAL COST FOR PPPL FAB=</t>
  </si>
  <si>
    <t>TF Fabrication</t>
  </si>
  <si>
    <t>Vendor Contingency</t>
  </si>
  <si>
    <t>Vendor Profit</t>
  </si>
  <si>
    <t>Total Billed by Vendor</t>
  </si>
  <si>
    <t>PPPL FAB</t>
  </si>
  <si>
    <t>VENDOR FAB</t>
  </si>
  <si>
    <t>Variance</t>
  </si>
  <si>
    <t>per Hr</t>
  </si>
  <si>
    <t>TF mold (1)</t>
  </si>
  <si>
    <t xml:space="preserve">Setup winding facility </t>
  </si>
  <si>
    <t>Assumption: VPI (1) TF coils together</t>
  </si>
  <si>
    <t>Everson-Tesla may not have access to one and may charge us $85K additional</t>
  </si>
  <si>
    <t>It is unknown if other potential vendors have an induction braze unit</t>
  </si>
  <si>
    <t xml:space="preserve">*Note: This estimate assumes vendor can provide an induction braze unit. </t>
  </si>
  <si>
    <t>Rates from Everson-Tesla</t>
  </si>
  <si>
    <t>M&amp;S Overhead =</t>
  </si>
  <si>
    <t>NCSX TF FABRICATION BY VENDOR</t>
  </si>
  <si>
    <t>Station No. 5- VPI Coil</t>
  </si>
  <si>
    <t>Transfer modular coil to Autoclave</t>
  </si>
  <si>
    <t>Prepare modular coil for VPI</t>
  </si>
  <si>
    <t>VPI modular coil</t>
  </si>
  <si>
    <t>Baseline Modular Coil VPI Cost Estimate</t>
  </si>
  <si>
    <t>Bottoms-up estimate</t>
  </si>
  <si>
    <t>TF  Coil VPI Cost Estimate</t>
  </si>
  <si>
    <t>Total hours =</t>
  </si>
  <si>
    <t>Assume 4 men full time to man the VPI station during this period =</t>
  </si>
  <si>
    <t>sparatic manning of VPI station for these 6 MC's =</t>
  </si>
  <si>
    <t>Top-down estimate (schedule based)</t>
  </si>
  <si>
    <t>4) No net Cost savings from modular coil VPI.(see mc tf vpi cost efficiency worksheet)</t>
  </si>
  <si>
    <t>3)  Torch Braze joints</t>
  </si>
  <si>
    <t>NCSX TF FABRICATION BY PPPL</t>
  </si>
  <si>
    <t>Summary Manpower Requirements</t>
  </si>
  <si>
    <t>EA**SM (design)</t>
  </si>
  <si>
    <t>EA**EM (Engineering)</t>
  </si>
  <si>
    <t>EM**TB (Technicians)</t>
  </si>
  <si>
    <t>FTE</t>
  </si>
  <si>
    <t>EM**SM (Machinists)</t>
  </si>
  <si>
    <t>EM**SM (Senior L&amp;S)</t>
  </si>
  <si>
    <t>Additional Manpower Requirements for in-house fab</t>
  </si>
  <si>
    <t>DELTA</t>
  </si>
  <si>
    <t>SUMMARY OF FABRICATION HOURS</t>
  </si>
  <si>
    <t>TOTAL =</t>
  </si>
  <si>
    <t>MANYEARS</t>
  </si>
  <si>
    <t>NCSX</t>
  </si>
  <si>
    <t>TF COIL</t>
  </si>
  <si>
    <t>Mike Kalish</t>
  </si>
  <si>
    <t>Jim Chrzanowski</t>
  </si>
  <si>
    <t>MAKE or BUY COST ANALYSIS</t>
  </si>
  <si>
    <t>25/40%</t>
  </si>
  <si>
    <t>MHX (fy05/06)=</t>
  </si>
  <si>
    <t>Composite (fy05/06 MHX</t>
  </si>
  <si>
    <t>25 &amp; 40%</t>
  </si>
  <si>
    <t>12.5&amp;13%</t>
  </si>
  <si>
    <t>Field Oversight FY05</t>
  </si>
  <si>
    <t>Field Oversight FY06</t>
  </si>
  <si>
    <t>Field Oversight FY07</t>
  </si>
  <si>
    <t>Test brazed samples (by PPPL)</t>
  </si>
  <si>
    <t>Shipping to PPPL (2 coils per trip @ $3k/trip</t>
  </si>
  <si>
    <t>10a</t>
  </si>
  <si>
    <t>10b</t>
  </si>
  <si>
    <t>Testing &amp; Shipping</t>
  </si>
  <si>
    <t>Kalish WBS mgr oversight @ 75for 1st coil,25% on balance</t>
  </si>
  <si>
    <t>Kalish trips to vendor for Vendor supervision (3days/mo. x17)</t>
  </si>
  <si>
    <t>subtotal =</t>
  </si>
  <si>
    <t>1) Summary Conclusion</t>
  </si>
  <si>
    <t>2) Cost Summary Table</t>
  </si>
  <si>
    <t>3) Manhour Summary Table</t>
  </si>
  <si>
    <t>4) Detail PPPL Estimate (J.Chrzanowski)</t>
  </si>
  <si>
    <t>5) Detail Vendor Estimate (M.Kalish)</t>
  </si>
  <si>
    <t>MC &amp; TF VPI Cost Efficiency Analysis</t>
  </si>
  <si>
    <t>Conclusion; no savings can be assumed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</si>
</sst>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0.0000%"/>
    <numFmt numFmtId="175" formatCode="0.0%"/>
    <numFmt numFmtId="176" formatCode="_(&quot;$&quot;* #,##0_);_(&quot;$&quot;* \(#,##0\);_(&quot;$&quot;* &quot;-&quot;??_);_(@_)"/>
    <numFmt numFmtId="177" formatCode="&quot;$&quot;#,##0.0;[Red]&quot;$&quot;#,##0.0"/>
    <numFmt numFmtId="178" formatCode="&quot;$&quot;#,##0;[Red]&quot;$&quot;#,##0"/>
    <numFmt numFmtId="179" formatCode="&quot;$&quot;#,##0.00"/>
    <numFmt numFmtId="180" formatCode="_(&quot;$&quot;* #,##0.0_);_(&quot;$&quot;* \(#,##0.0\);_(&quot;$&quot;* &quot;-&quot;??_);_(@_)"/>
    <numFmt numFmtId="181" formatCode="_(* #,##0.0_);_(* \(#,##0.0\);_(* &quot;-&quot;??_);_(@_)"/>
    <numFmt numFmtId="182" formatCode="_(* #,##0_);_(* \(#,##0\);_(* &quot;-&quot;??_);_(@_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u val="single"/>
      <sz val="12"/>
      <name val="Arial"/>
      <family val="0"/>
    </font>
    <font>
      <b/>
      <u val="single"/>
      <sz val="26"/>
      <name val="Arial"/>
      <family val="2"/>
    </font>
    <font>
      <sz val="26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i/>
      <u val="single"/>
      <sz val="12"/>
      <name val="Arial"/>
      <family val="2"/>
    </font>
    <font>
      <b/>
      <u val="single"/>
      <sz val="22"/>
      <name val="Arial"/>
      <family val="2"/>
    </font>
    <font>
      <b/>
      <u val="single"/>
      <sz val="24"/>
      <name val="Arial"/>
      <family val="2"/>
    </font>
    <font>
      <b/>
      <i/>
      <u val="single"/>
      <sz val="12"/>
      <name val="Arial"/>
      <family val="2"/>
    </font>
    <font>
      <b/>
      <u val="singleAccounting"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1" fontId="3" fillId="3" borderId="3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2" fillId="2" borderId="2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71" fontId="2" fillId="0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1" fontId="2" fillId="3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3" fillId="3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2" fillId="3" borderId="2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7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0" fontId="2" fillId="2" borderId="2" xfId="0" applyNumberFormat="1" applyFont="1" applyFill="1" applyBorder="1" applyAlignment="1">
      <alignment horizontal="center"/>
    </xf>
    <xf numFmtId="170" fontId="2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70" fontId="2" fillId="3" borderId="3" xfId="0" applyNumberFormat="1" applyFont="1" applyFill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70" fontId="2" fillId="0" borderId="2" xfId="0" applyNumberFormat="1" applyFont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70" fontId="2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5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3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170" fontId="2" fillId="6" borderId="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15" fontId="1" fillId="2" borderId="14" xfId="0" applyNumberFormat="1" applyFont="1" applyFill="1" applyBorder="1" applyAlignment="1">
      <alignment horizontal="center"/>
    </xf>
    <xf numFmtId="171" fontId="1" fillId="2" borderId="14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5" fontId="0" fillId="2" borderId="3" xfId="0" applyNumberFormat="1" applyFont="1" applyFill="1" applyBorder="1" applyAlignment="1">
      <alignment horizontal="center"/>
    </xf>
    <xf numFmtId="172" fontId="0" fillId="2" borderId="15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15" fontId="1" fillId="2" borderId="16" xfId="0" applyNumberFormat="1" applyFont="1" applyFill="1" applyBorder="1" applyAlignment="1">
      <alignment horizontal="center"/>
    </xf>
    <xf numFmtId="171" fontId="1" fillId="2" borderId="1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>
      <alignment horizontal="center"/>
    </xf>
    <xf numFmtId="170" fontId="3" fillId="0" borderId="3" xfId="0" applyNumberFormat="1" applyFont="1" applyFill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170" fontId="3" fillId="0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0" fontId="3" fillId="0" borderId="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170" fontId="3" fillId="0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70" fontId="2" fillId="0" borderId="13" xfId="0" applyNumberFormat="1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21" xfId="0" applyFont="1" applyFill="1" applyBorder="1" applyAlignment="1">
      <alignment wrapText="1"/>
    </xf>
    <xf numFmtId="0" fontId="3" fillId="6" borderId="14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5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171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1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1" fontId="2" fillId="3" borderId="2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171" fontId="3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1" fontId="3" fillId="3" borderId="8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70" fontId="2" fillId="5" borderId="23" xfId="0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horizontal="left" wrapText="1"/>
    </xf>
    <xf numFmtId="0" fontId="3" fillId="5" borderId="24" xfId="0" applyFont="1" applyFill="1" applyBorder="1" applyAlignment="1">
      <alignment/>
    </xf>
    <xf numFmtId="0" fontId="2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170" fontId="2" fillId="5" borderId="4" xfId="0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70" fontId="2" fillId="5" borderId="3" xfId="0" applyNumberFormat="1" applyFont="1" applyFill="1" applyBorder="1" applyAlignment="1">
      <alignment horizontal="center"/>
    </xf>
    <xf numFmtId="170" fontId="3" fillId="5" borderId="3" xfId="0" applyNumberFormat="1" applyFont="1" applyFill="1" applyBorder="1" applyAlignment="1">
      <alignment horizontal="center"/>
    </xf>
    <xf numFmtId="170" fontId="2" fillId="5" borderId="2" xfId="0" applyNumberFormat="1" applyFont="1" applyFill="1" applyBorder="1" applyAlignment="1">
      <alignment horizontal="center"/>
    </xf>
    <xf numFmtId="170" fontId="3" fillId="5" borderId="3" xfId="0" applyNumberFormat="1" applyFont="1" applyFill="1" applyBorder="1" applyAlignment="1">
      <alignment horizontal="center" wrapText="1"/>
    </xf>
    <xf numFmtId="170" fontId="3" fillId="5" borderId="0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171" fontId="3" fillId="9" borderId="1" xfId="0" applyNumberFormat="1" applyFont="1" applyFill="1" applyBorder="1" applyAlignment="1">
      <alignment horizontal="center"/>
    </xf>
    <xf numFmtId="170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10" borderId="14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171" fontId="3" fillId="10" borderId="14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wrapText="1"/>
    </xf>
    <xf numFmtId="0" fontId="2" fillId="6" borderId="14" xfId="0" applyFont="1" applyFill="1" applyBorder="1" applyAlignment="1">
      <alignment horizontal="center"/>
    </xf>
    <xf numFmtId="15" fontId="2" fillId="6" borderId="14" xfId="0" applyNumberFormat="1" applyFont="1" applyFill="1" applyBorder="1" applyAlignment="1">
      <alignment horizontal="center"/>
    </xf>
    <xf numFmtId="171" fontId="2" fillId="6" borderId="14" xfId="0" applyNumberFormat="1" applyFont="1" applyFill="1" applyBorder="1" applyAlignment="1">
      <alignment horizontal="center"/>
    </xf>
    <xf numFmtId="170" fontId="2" fillId="6" borderId="14" xfId="0" applyNumberFormat="1" applyFont="1" applyFill="1" applyBorder="1" applyAlignment="1">
      <alignment horizontal="center"/>
    </xf>
    <xf numFmtId="170" fontId="2" fillId="6" borderId="2" xfId="0" applyNumberFormat="1" applyFont="1" applyFill="1" applyBorder="1" applyAlignment="1">
      <alignment horizontal="center"/>
    </xf>
    <xf numFmtId="170" fontId="2" fillId="9" borderId="3" xfId="0" applyNumberFormat="1" applyFont="1" applyFill="1" applyBorder="1" applyAlignment="1">
      <alignment horizontal="center"/>
    </xf>
    <xf numFmtId="170" fontId="3" fillId="5" borderId="15" xfId="0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71" fontId="3" fillId="5" borderId="24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 wrapText="1"/>
    </xf>
    <xf numFmtId="173" fontId="2" fillId="3" borderId="3" xfId="0" applyNumberFormat="1" applyFont="1" applyFill="1" applyBorder="1" applyAlignment="1">
      <alignment horizontal="center"/>
    </xf>
    <xf numFmtId="173" fontId="3" fillId="3" borderId="3" xfId="0" applyNumberFormat="1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9" fontId="3" fillId="0" borderId="0" xfId="21" applyFont="1" applyAlignment="1">
      <alignment horizontal="center"/>
    </xf>
    <xf numFmtId="175" fontId="2" fillId="0" borderId="0" xfId="21" applyNumberFormat="1" applyFont="1" applyAlignment="1">
      <alignment horizontal="center"/>
    </xf>
    <xf numFmtId="0" fontId="3" fillId="11" borderId="0" xfId="0" applyFont="1" applyFill="1" applyAlignment="1">
      <alignment/>
    </xf>
    <xf numFmtId="0" fontId="1" fillId="11" borderId="0" xfId="0" applyFont="1" applyFill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172" fontId="7" fillId="2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9" fontId="8" fillId="2" borderId="0" xfId="21" applyFont="1" applyFill="1" applyBorder="1" applyAlignment="1">
      <alignment horizontal="right"/>
    </xf>
    <xf numFmtId="172" fontId="7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2" fontId="9" fillId="2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6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72" fontId="11" fillId="2" borderId="7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72" fontId="13" fillId="2" borderId="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172" fontId="14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172" fontId="11" fillId="2" borderId="9" xfId="0" applyNumberFormat="1" applyFont="1" applyFill="1" applyBorder="1" applyAlignment="1">
      <alignment horizontal="center"/>
    </xf>
    <xf numFmtId="0" fontId="11" fillId="7" borderId="4" xfId="0" applyFont="1" applyFill="1" applyBorder="1" applyAlignment="1">
      <alignment/>
    </xf>
    <xf numFmtId="0" fontId="11" fillId="7" borderId="6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1" fillId="8" borderId="6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1" fillId="5" borderId="8" xfId="0" applyFont="1" applyFill="1" applyBorder="1" applyAlignment="1">
      <alignment/>
    </xf>
    <xf numFmtId="0" fontId="13" fillId="3" borderId="28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171" fontId="11" fillId="3" borderId="7" xfId="0" applyNumberFormat="1" applyFont="1" applyFill="1" applyBorder="1" applyAlignment="1">
      <alignment shrinkToFit="1"/>
    </xf>
    <xf numFmtId="10" fontId="11" fillId="0" borderId="0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9" fontId="8" fillId="3" borderId="0" xfId="21" applyFont="1" applyFill="1" applyBorder="1" applyAlignment="1">
      <alignment horizontal="right"/>
    </xf>
    <xf numFmtId="171" fontId="15" fillId="3" borderId="7" xfId="0" applyNumberFormat="1" applyFont="1" applyFill="1" applyBorder="1" applyAlignment="1">
      <alignment shrinkToFit="1"/>
    </xf>
    <xf numFmtId="0" fontId="11" fillId="3" borderId="8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172" fontId="11" fillId="3" borderId="29" xfId="0" applyNumberFormat="1" applyFont="1" applyFill="1" applyBorder="1" applyAlignment="1">
      <alignment horizontal="center"/>
    </xf>
    <xf numFmtId="172" fontId="7" fillId="3" borderId="7" xfId="0" applyNumberFormat="1" applyFont="1" applyFill="1" applyBorder="1" applyAlignment="1">
      <alignment horizontal="center"/>
    </xf>
    <xf numFmtId="172" fontId="9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1" fontId="18" fillId="0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6" fillId="2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0" fontId="17" fillId="0" borderId="5" xfId="0" applyFont="1" applyBorder="1" applyAlignment="1">
      <alignment horizontal="centerContinuous"/>
    </xf>
    <xf numFmtId="0" fontId="4" fillId="7" borderId="6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3" fillId="3" borderId="6" xfId="0" applyFont="1" applyFill="1" applyBorder="1" applyAlignment="1">
      <alignment horizontal="left"/>
    </xf>
    <xf numFmtId="0" fontId="16" fillId="2" borderId="6" xfId="0" applyFont="1" applyFill="1" applyBorder="1" applyAlignment="1">
      <alignment/>
    </xf>
    <xf numFmtId="172" fontId="16" fillId="2" borderId="7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19" fillId="3" borderId="6" xfId="0" applyFont="1" applyFill="1" applyBorder="1" applyAlignment="1">
      <alignment horizontal="left"/>
    </xf>
    <xf numFmtId="0" fontId="19" fillId="3" borderId="6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172" fontId="13" fillId="3" borderId="7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12" borderId="3" xfId="0" applyFill="1" applyBorder="1" applyAlignment="1">
      <alignment/>
    </xf>
    <xf numFmtId="176" fontId="13" fillId="3" borderId="3" xfId="17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76" fontId="14" fillId="2" borderId="3" xfId="17" applyNumberFormat="1" applyFont="1" applyFill="1" applyBorder="1" applyAlignment="1">
      <alignment horizontal="center"/>
    </xf>
    <xf numFmtId="176" fontId="20" fillId="2" borderId="3" xfId="17" applyNumberFormat="1" applyFont="1" applyFill="1" applyBorder="1" applyAlignment="1">
      <alignment horizontal="center"/>
    </xf>
    <xf numFmtId="176" fontId="16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1" fontId="7" fillId="11" borderId="0" xfId="0" applyNumberFormat="1" applyFont="1" applyFill="1" applyAlignment="1">
      <alignment horizontal="center"/>
    </xf>
    <xf numFmtId="170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1" fontId="7" fillId="0" borderId="7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left"/>
    </xf>
    <xf numFmtId="0" fontId="11" fillId="0" borderId="8" xfId="0" applyFont="1" applyBorder="1" applyAlignment="1">
      <alignment horizontal="center"/>
    </xf>
    <xf numFmtId="171" fontId="7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9" fontId="11" fillId="0" borderId="9" xfId="21" applyFont="1" applyBorder="1" applyAlignment="1">
      <alignment horizontal="center"/>
    </xf>
    <xf numFmtId="170" fontId="1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11" fillId="2" borderId="14" xfId="0" applyFont="1" applyFill="1" applyBorder="1" applyAlignment="1">
      <alignment horizontal="center"/>
    </xf>
    <xf numFmtId="15" fontId="11" fillId="2" borderId="14" xfId="0" applyNumberFormat="1" applyFont="1" applyFill="1" applyBorder="1" applyAlignment="1">
      <alignment horizontal="center"/>
    </xf>
    <xf numFmtId="171" fontId="11" fillId="2" borderId="14" xfId="0" applyNumberFormat="1" applyFont="1" applyFill="1" applyBorder="1" applyAlignment="1">
      <alignment horizontal="center"/>
    </xf>
    <xf numFmtId="170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15" fontId="7" fillId="2" borderId="3" xfId="0" applyNumberFormat="1" applyFont="1" applyFill="1" applyBorder="1" applyAlignment="1">
      <alignment horizontal="center"/>
    </xf>
    <xf numFmtId="172" fontId="7" fillId="2" borderId="15" xfId="0" applyNumberFormat="1" applyFont="1" applyFill="1" applyBorder="1" applyAlignment="1">
      <alignment horizontal="center"/>
    </xf>
    <xf numFmtId="171" fontId="7" fillId="2" borderId="3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170" fontId="11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/>
    </xf>
    <xf numFmtId="0" fontId="11" fillId="2" borderId="16" xfId="0" applyFont="1" applyFill="1" applyBorder="1" applyAlignment="1">
      <alignment horizontal="center"/>
    </xf>
    <xf numFmtId="15" fontId="11" fillId="2" borderId="16" xfId="0" applyNumberFormat="1" applyFont="1" applyFill="1" applyBorder="1" applyAlignment="1">
      <alignment horizontal="center"/>
    </xf>
    <xf numFmtId="171" fontId="11" fillId="2" borderId="16" xfId="0" applyNumberFormat="1" applyFont="1" applyFill="1" applyBorder="1" applyAlignment="1">
      <alignment horizontal="center"/>
    </xf>
    <xf numFmtId="170" fontId="11" fillId="6" borderId="14" xfId="0" applyNumberFormat="1" applyFont="1" applyFill="1" applyBorder="1" applyAlignment="1">
      <alignment horizontal="center"/>
    </xf>
    <xf numFmtId="0" fontId="11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15" fontId="11" fillId="6" borderId="14" xfId="0" applyNumberFormat="1" applyFont="1" applyFill="1" applyBorder="1" applyAlignment="1">
      <alignment horizontal="center"/>
    </xf>
    <xf numFmtId="171" fontId="11" fillId="6" borderId="1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0" fontId="11" fillId="6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15" fontId="11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1" fontId="11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15" fontId="7" fillId="0" borderId="3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center"/>
    </xf>
    <xf numFmtId="15" fontId="7" fillId="3" borderId="3" xfId="0" applyNumberFormat="1" applyFont="1" applyFill="1" applyBorder="1" applyAlignment="1">
      <alignment horizontal="center"/>
    </xf>
    <xf numFmtId="171" fontId="11" fillId="3" borderId="3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wrapText="1"/>
    </xf>
    <xf numFmtId="178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71" fontId="7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71" fontId="11" fillId="3" borderId="2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171" fontId="7" fillId="10" borderId="14" xfId="0" applyNumberFormat="1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171" fontId="7" fillId="11" borderId="0" xfId="0" applyNumberFormat="1" applyFont="1" applyFill="1" applyBorder="1" applyAlignment="1">
      <alignment horizontal="center"/>
    </xf>
    <xf numFmtId="171" fontId="7" fillId="0" borderId="6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71" fontId="7" fillId="3" borderId="6" xfId="0" applyNumberFormat="1" applyFont="1" applyFill="1" applyBorder="1" applyAlignment="1">
      <alignment horizontal="center"/>
    </xf>
    <xf numFmtId="170" fontId="11" fillId="6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17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15" fontId="11" fillId="4" borderId="1" xfId="0" applyNumberFormat="1" applyFont="1" applyFill="1" applyBorder="1" applyAlignment="1">
      <alignment horizontal="center"/>
    </xf>
    <xf numFmtId="171" fontId="11" fillId="4" borderId="1" xfId="0" applyNumberFormat="1" applyFont="1" applyFill="1" applyBorder="1" applyAlignment="1">
      <alignment horizontal="center"/>
    </xf>
    <xf numFmtId="170" fontId="11" fillId="4" borderId="3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wrapText="1"/>
    </xf>
    <xf numFmtId="15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171" fontId="7" fillId="3" borderId="3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171" fontId="7" fillId="4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170" fontId="11" fillId="4" borderId="2" xfId="0" applyNumberFormat="1" applyFont="1" applyFill="1" applyBorder="1" applyAlignment="1">
      <alignment horizontal="center"/>
    </xf>
    <xf numFmtId="178" fontId="7" fillId="3" borderId="2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70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left" wrapText="1"/>
    </xf>
    <xf numFmtId="0" fontId="7" fillId="9" borderId="1" xfId="0" applyFont="1" applyFill="1" applyBorder="1" applyAlignment="1">
      <alignment/>
    </xf>
    <xf numFmtId="0" fontId="7" fillId="9" borderId="1" xfId="0" applyFont="1" applyFill="1" applyBorder="1" applyAlignment="1">
      <alignment horizontal="center"/>
    </xf>
    <xf numFmtId="171" fontId="7" fillId="9" borderId="1" xfId="0" applyNumberFormat="1" applyFont="1" applyFill="1" applyBorder="1" applyAlignment="1">
      <alignment horizontal="center"/>
    </xf>
    <xf numFmtId="170" fontId="11" fillId="9" borderId="3" xfId="0" applyNumberFormat="1" applyFont="1" applyFill="1" applyBorder="1" applyAlignment="1">
      <alignment horizontal="center"/>
    </xf>
    <xf numFmtId="0" fontId="11" fillId="9" borderId="3" xfId="0" applyFont="1" applyFill="1" applyBorder="1" applyAlignment="1">
      <alignment horizontal="left" wrapText="1"/>
    </xf>
    <xf numFmtId="170" fontId="11" fillId="0" borderId="3" xfId="0" applyNumberFormat="1" applyFont="1" applyBorder="1" applyAlignment="1">
      <alignment horizontal="center"/>
    </xf>
    <xf numFmtId="171" fontId="11" fillId="11" borderId="0" xfId="0" applyNumberFormat="1" applyFont="1" applyFill="1" applyAlignment="1">
      <alignment horizontal="center"/>
    </xf>
    <xf numFmtId="170" fontId="11" fillId="0" borderId="2" xfId="0" applyNumberFormat="1" applyFont="1" applyBorder="1" applyAlignment="1">
      <alignment horizontal="center"/>
    </xf>
    <xf numFmtId="171" fontId="11" fillId="3" borderId="2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11" fillId="5" borderId="23" xfId="0" applyNumberFormat="1" applyFont="1" applyFill="1" applyBorder="1" applyAlignment="1">
      <alignment horizontal="center"/>
    </xf>
    <xf numFmtId="0" fontId="11" fillId="5" borderId="24" xfId="0" applyFont="1" applyFill="1" applyBorder="1" applyAlignment="1">
      <alignment wrapText="1"/>
    </xf>
    <xf numFmtId="0" fontId="7" fillId="5" borderId="24" xfId="0" applyFont="1" applyFill="1" applyBorder="1" applyAlignment="1">
      <alignment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70" fontId="7" fillId="5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0" fontId="11" fillId="5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/>
    </xf>
    <xf numFmtId="170" fontId="7" fillId="5" borderId="3" xfId="0" applyNumberFormat="1" applyFont="1" applyFill="1" applyBorder="1" applyAlignment="1">
      <alignment horizontal="center"/>
    </xf>
    <xf numFmtId="170" fontId="11" fillId="5" borderId="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71" fontId="11" fillId="2" borderId="1" xfId="0" applyNumberFormat="1" applyFont="1" applyFill="1" applyBorder="1" applyAlignment="1">
      <alignment horizontal="center"/>
    </xf>
    <xf numFmtId="171" fontId="11" fillId="11" borderId="0" xfId="0" applyNumberFormat="1" applyFont="1" applyFill="1" applyBorder="1" applyAlignment="1">
      <alignment horizontal="center"/>
    </xf>
    <xf numFmtId="171" fontId="11" fillId="2" borderId="2" xfId="0" applyNumberFormat="1" applyFont="1" applyFill="1" applyBorder="1" applyAlignment="1">
      <alignment horizontal="center"/>
    </xf>
    <xf numFmtId="170" fontId="11" fillId="5" borderId="4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171" fontId="7" fillId="5" borderId="24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173" fontId="7" fillId="3" borderId="3" xfId="0" applyNumberFormat="1" applyFont="1" applyFill="1" applyBorder="1" applyAlignment="1">
      <alignment horizontal="center"/>
    </xf>
    <xf numFmtId="170" fontId="11" fillId="3" borderId="3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73" fontId="7" fillId="0" borderId="3" xfId="0" applyNumberFormat="1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173" fontId="11" fillId="3" borderId="3" xfId="0" applyNumberFormat="1" applyFont="1" applyFill="1" applyBorder="1" applyAlignment="1">
      <alignment horizontal="center"/>
    </xf>
    <xf numFmtId="173" fontId="7" fillId="0" borderId="3" xfId="0" applyNumberFormat="1" applyFont="1" applyFill="1" applyBorder="1" applyAlignment="1">
      <alignment horizontal="center"/>
    </xf>
    <xf numFmtId="170" fontId="11" fillId="0" borderId="3" xfId="0" applyNumberFormat="1" applyFont="1" applyFill="1" applyBorder="1" applyAlignment="1">
      <alignment horizontal="center"/>
    </xf>
    <xf numFmtId="171" fontId="7" fillId="3" borderId="1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171" fontId="7" fillId="0" borderId="2" xfId="0" applyNumberFormat="1" applyFont="1" applyBorder="1" applyAlignment="1">
      <alignment horizontal="center"/>
    </xf>
    <xf numFmtId="0" fontId="11" fillId="5" borderId="2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/>
    </xf>
    <xf numFmtId="170" fontId="7" fillId="5" borderId="3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170" fontId="7" fillId="0" borderId="3" xfId="0" applyNumberFormat="1" applyFont="1" applyFill="1" applyBorder="1" applyAlignment="1">
      <alignment horizontal="center"/>
    </xf>
    <xf numFmtId="170" fontId="7" fillId="5" borderId="0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/>
    </xf>
    <xf numFmtId="173" fontId="7" fillId="0" borderId="2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/>
    </xf>
    <xf numFmtId="170" fontId="7" fillId="0" borderId="4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0" fontId="11" fillId="3" borderId="29" xfId="0" applyNumberFormat="1" applyFont="1" applyFill="1" applyBorder="1" applyAlignment="1">
      <alignment horizontal="center"/>
    </xf>
    <xf numFmtId="170" fontId="7" fillId="0" borderId="6" xfId="0" applyNumberFormat="1" applyFont="1" applyFill="1" applyBorder="1" applyAlignment="1">
      <alignment horizontal="center" wrapText="1"/>
    </xf>
    <xf numFmtId="171" fontId="7" fillId="0" borderId="0" xfId="0" applyNumberFormat="1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11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171" fontId="7" fillId="0" borderId="0" xfId="0" applyNumberFormat="1" applyFont="1" applyBorder="1" applyAlignment="1">
      <alignment horizontal="center"/>
    </xf>
    <xf numFmtId="171" fontId="7" fillId="3" borderId="4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71" fontId="7" fillId="3" borderId="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2" fillId="11" borderId="24" xfId="0" applyFont="1" applyFill="1" applyBorder="1" applyAlignment="1">
      <alignment horizontal="left" wrapText="1"/>
    </xf>
    <xf numFmtId="0" fontId="3" fillId="11" borderId="24" xfId="0" applyFont="1" applyFill="1" applyBorder="1" applyAlignment="1">
      <alignment/>
    </xf>
    <xf numFmtId="0" fontId="2" fillId="11" borderId="24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left"/>
    </xf>
    <xf numFmtId="0" fontId="3" fillId="11" borderId="2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1" fontId="3" fillId="5" borderId="13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171" fontId="3" fillId="5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5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23" fillId="0" borderId="1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82" fontId="19" fillId="0" borderId="0" xfId="15" applyNumberFormat="1" applyFont="1" applyBorder="1" applyAlignment="1">
      <alignment/>
    </xf>
    <xf numFmtId="182" fontId="24" fillId="0" borderId="0" xfId="15" applyNumberFormat="1" applyFont="1" applyBorder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182" fontId="22" fillId="0" borderId="10" xfId="15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2" fontId="23" fillId="0" borderId="0" xfId="15" applyNumberFormat="1" applyFont="1" applyFill="1" applyBorder="1" applyAlignment="1">
      <alignment/>
    </xf>
    <xf numFmtId="0" fontId="19" fillId="0" borderId="7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4" xfId="0" applyFont="1" applyBorder="1" applyAlignment="1">
      <alignment horizontal="centerContinuous"/>
    </xf>
    <xf numFmtId="0" fontId="26" fillId="0" borderId="13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right"/>
    </xf>
    <xf numFmtId="188" fontId="27" fillId="0" borderId="0" xfId="0" applyNumberFormat="1" applyFont="1" applyAlignment="1">
      <alignment horizontal="center"/>
    </xf>
    <xf numFmtId="178" fontId="19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Border="1" applyAlignment="1">
      <alignment horizontal="left"/>
    </xf>
    <xf numFmtId="178" fontId="19" fillId="0" borderId="0" xfId="0" applyNumberFormat="1" applyFont="1" applyFill="1" applyBorder="1" applyAlignment="1">
      <alignment horizontal="right"/>
    </xf>
    <xf numFmtId="188" fontId="19" fillId="0" borderId="0" xfId="0" applyNumberFormat="1" applyFont="1" applyAlignment="1">
      <alignment horizontal="center"/>
    </xf>
    <xf numFmtId="0" fontId="0" fillId="13" borderId="3" xfId="0" applyFill="1" applyBorder="1" applyAlignment="1">
      <alignment/>
    </xf>
    <xf numFmtId="0" fontId="0" fillId="13" borderId="2" xfId="0" applyFill="1" applyBorder="1" applyAlignment="1">
      <alignment/>
    </xf>
    <xf numFmtId="170" fontId="3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28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wrapText="1"/>
    </xf>
    <xf numFmtId="0" fontId="1" fillId="6" borderId="23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3" fillId="0" borderId="6" xfId="0" applyFont="1" applyBorder="1" applyAlignment="1">
      <alignment/>
    </xf>
    <xf numFmtId="0" fontId="2" fillId="6" borderId="30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2" fillId="4" borderId="4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9" borderId="4" xfId="0" applyFont="1" applyFill="1" applyBorder="1" applyAlignment="1">
      <alignment horizontal="left" wrapText="1"/>
    </xf>
    <xf numFmtId="0" fontId="1" fillId="9" borderId="6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/>
    </xf>
    <xf numFmtId="38" fontId="0" fillId="0" borderId="3" xfId="0" applyNumberFormat="1" applyBorder="1" applyAlignment="1">
      <alignment/>
    </xf>
    <xf numFmtId="38" fontId="0" fillId="0" borderId="3" xfId="0" applyNumberFormat="1" applyBorder="1" applyAlignment="1">
      <alignment horizontal="left"/>
    </xf>
    <xf numFmtId="38" fontId="0" fillId="0" borderId="3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188" fontId="2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9" fontId="8" fillId="3" borderId="0" xfId="21" applyFont="1" applyFill="1" applyBorder="1" applyAlignment="1" quotePrefix="1">
      <alignment horizontal="right"/>
    </xf>
    <xf numFmtId="9" fontId="8" fillId="2" borderId="0" xfId="21" applyFont="1" applyFill="1" applyBorder="1" applyAlignment="1" quotePrefix="1">
      <alignment horizontal="right"/>
    </xf>
    <xf numFmtId="9" fontId="3" fillId="0" borderId="0" xfId="21" applyFont="1" applyAlignment="1" quotePrefix="1">
      <alignment horizontal="center"/>
    </xf>
    <xf numFmtId="0" fontId="3" fillId="0" borderId="0" xfId="0" applyFont="1" applyAlignment="1">
      <alignment horizontal="right"/>
    </xf>
    <xf numFmtId="0" fontId="4" fillId="14" borderId="6" xfId="0" applyFont="1" applyFill="1" applyBorder="1" applyAlignment="1">
      <alignment/>
    </xf>
    <xf numFmtId="0" fontId="7" fillId="14" borderId="0" xfId="0" applyFont="1" applyFill="1" applyBorder="1" applyAlignment="1">
      <alignment horizontal="center"/>
    </xf>
    <xf numFmtId="172" fontId="11" fillId="14" borderId="7" xfId="0" applyNumberFormat="1" applyFont="1" applyFill="1" applyBorder="1" applyAlignment="1">
      <alignment horizontal="center"/>
    </xf>
    <xf numFmtId="172" fontId="11" fillId="3" borderId="3" xfId="0" applyNumberFormat="1" applyFont="1" applyFill="1" applyBorder="1" applyAlignment="1">
      <alignment horizontal="center"/>
    </xf>
    <xf numFmtId="176" fontId="0" fillId="0" borderId="0" xfId="17" applyNumberFormat="1" applyAlignment="1">
      <alignment/>
    </xf>
    <xf numFmtId="176" fontId="0" fillId="0" borderId="0" xfId="0" applyNumberFormat="1" applyAlignment="1">
      <alignment/>
    </xf>
    <xf numFmtId="176" fontId="18" fillId="0" borderId="0" xfId="17" applyNumberFormat="1" applyFont="1" applyAlignment="1">
      <alignment horizontal="center"/>
    </xf>
    <xf numFmtId="0" fontId="18" fillId="0" borderId="0" xfId="0" applyFont="1" applyAlignment="1">
      <alignment horizontal="center"/>
    </xf>
    <xf numFmtId="176" fontId="29" fillId="0" borderId="0" xfId="17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171" fontId="3" fillId="0" borderId="6" xfId="0" applyNumberFormat="1" applyFont="1" applyBorder="1" applyAlignment="1">
      <alignment horizontal="center"/>
    </xf>
    <xf numFmtId="171" fontId="3" fillId="3" borderId="6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170" fontId="30" fillId="0" borderId="0" xfId="0" applyNumberFormat="1" applyFont="1" applyAlignment="1">
      <alignment horizontal="left"/>
    </xf>
    <xf numFmtId="178" fontId="2" fillId="3" borderId="3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2" fillId="3" borderId="3" xfId="0" applyNumberFormat="1" applyFont="1" applyFill="1" applyBorder="1" applyAlignment="1">
      <alignment horizontal="left"/>
    </xf>
    <xf numFmtId="170" fontId="31" fillId="0" borderId="0" xfId="0" applyNumberFormat="1" applyFont="1" applyAlignment="1">
      <alignment horizontal="left"/>
    </xf>
    <xf numFmtId="178" fontId="7" fillId="7" borderId="5" xfId="0" applyNumberFormat="1" applyFont="1" applyFill="1" applyBorder="1" applyAlignment="1">
      <alignment horizontal="center"/>
    </xf>
    <xf numFmtId="178" fontId="7" fillId="7" borderId="3" xfId="0" applyNumberFormat="1" applyFont="1" applyFill="1" applyBorder="1" applyAlignment="1">
      <alignment horizontal="center"/>
    </xf>
    <xf numFmtId="178" fontId="7" fillId="4" borderId="3" xfId="0" applyNumberFormat="1" applyFont="1" applyFill="1" applyBorder="1" applyAlignment="1">
      <alignment horizontal="center"/>
    </xf>
    <xf numFmtId="178" fontId="7" fillId="8" borderId="3" xfId="0" applyNumberFormat="1" applyFont="1" applyFill="1" applyBorder="1" applyAlignment="1">
      <alignment horizontal="center"/>
    </xf>
    <xf numFmtId="178" fontId="7" fillId="5" borderId="3" xfId="0" applyNumberFormat="1" applyFont="1" applyFill="1" applyBorder="1" applyAlignment="1">
      <alignment horizontal="center"/>
    </xf>
    <xf numFmtId="178" fontId="7" fillId="5" borderId="2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178" fontId="11" fillId="3" borderId="3" xfId="0" applyNumberFormat="1" applyFont="1" applyFill="1" applyBorder="1" applyAlignment="1">
      <alignment horizontal="center"/>
    </xf>
    <xf numFmtId="178" fontId="11" fillId="3" borderId="2" xfId="0" applyNumberFormat="1" applyFont="1" applyFill="1" applyBorder="1" applyAlignment="1">
      <alignment horizontal="center"/>
    </xf>
    <xf numFmtId="178" fontId="7" fillId="10" borderId="14" xfId="0" applyNumberFormat="1" applyFont="1" applyFill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178" fontId="11" fillId="2" borderId="14" xfId="0" applyNumberFormat="1" applyFont="1" applyFill="1" applyBorder="1" applyAlignment="1">
      <alignment horizontal="center"/>
    </xf>
    <xf numFmtId="178" fontId="7" fillId="2" borderId="3" xfId="0" applyNumberFormat="1" applyFont="1" applyFill="1" applyBorder="1" applyAlignment="1">
      <alignment horizontal="center"/>
    </xf>
    <xf numFmtId="178" fontId="11" fillId="2" borderId="16" xfId="0" applyNumberFormat="1" applyFont="1" applyFill="1" applyBorder="1" applyAlignment="1">
      <alignment horizontal="center"/>
    </xf>
    <xf numFmtId="178" fontId="11" fillId="4" borderId="1" xfId="0" applyNumberFormat="1" applyFont="1" applyFill="1" applyBorder="1" applyAlignment="1">
      <alignment horizontal="center"/>
    </xf>
    <xf numFmtId="178" fontId="7" fillId="4" borderId="1" xfId="0" applyNumberFormat="1" applyFont="1" applyFill="1" applyBorder="1" applyAlignment="1">
      <alignment horizontal="center"/>
    </xf>
    <xf numFmtId="178" fontId="7" fillId="9" borderId="1" xfId="0" applyNumberFormat="1" applyFont="1" applyFill="1" applyBorder="1" applyAlignment="1">
      <alignment horizontal="center"/>
    </xf>
    <xf numFmtId="178" fontId="11" fillId="3" borderId="7" xfId="0" applyNumberFormat="1" applyFont="1" applyFill="1" applyBorder="1" applyAlignment="1">
      <alignment horizontal="center"/>
    </xf>
    <xf numFmtId="178" fontId="7" fillId="3" borderId="9" xfId="0" applyNumberFormat="1" applyFont="1" applyFill="1" applyBorder="1" applyAlignment="1">
      <alignment horizontal="center"/>
    </xf>
    <xf numFmtId="178" fontId="11" fillId="3" borderId="3" xfId="0" applyNumberFormat="1" applyFont="1" applyFill="1" applyBorder="1" applyAlignment="1">
      <alignment horizontal="left"/>
    </xf>
    <xf numFmtId="178" fontId="11" fillId="3" borderId="8" xfId="0" applyNumberFormat="1" applyFont="1" applyFill="1" applyBorder="1" applyAlignment="1">
      <alignment horizontal="center"/>
    </xf>
    <xf numFmtId="178" fontId="21" fillId="15" borderId="3" xfId="0" applyNumberFormat="1" applyFont="1" applyFill="1" applyBorder="1" applyAlignment="1">
      <alignment horizontal="center"/>
    </xf>
    <xf numFmtId="178" fontId="21" fillId="15" borderId="2" xfId="0" applyNumberFormat="1" applyFont="1" applyFill="1" applyBorder="1" applyAlignment="1">
      <alignment horizontal="center"/>
    </xf>
    <xf numFmtId="178" fontId="2" fillId="3" borderId="7" xfId="0" applyNumberFormat="1" applyFont="1" applyFill="1" applyBorder="1" applyAlignment="1">
      <alignment horizontal="center"/>
    </xf>
    <xf numFmtId="178" fontId="7" fillId="7" borderId="13" xfId="0" applyNumberFormat="1" applyFont="1" applyFill="1" applyBorder="1" applyAlignment="1">
      <alignment horizontal="center"/>
    </xf>
    <xf numFmtId="178" fontId="7" fillId="7" borderId="6" xfId="0" applyNumberFormat="1" applyFont="1" applyFill="1" applyBorder="1" applyAlignment="1">
      <alignment horizontal="center"/>
    </xf>
    <xf numFmtId="178" fontId="7" fillId="4" borderId="6" xfId="0" applyNumberFormat="1" applyFont="1" applyFill="1" applyBorder="1" applyAlignment="1">
      <alignment horizontal="center"/>
    </xf>
    <xf numFmtId="178" fontId="7" fillId="8" borderId="6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178" fontId="7" fillId="5" borderId="8" xfId="0" applyNumberFormat="1" applyFont="1" applyFill="1" applyBorder="1" applyAlignment="1">
      <alignment horizontal="center"/>
    </xf>
    <xf numFmtId="178" fontId="13" fillId="3" borderId="0" xfId="0" applyNumberFormat="1" applyFont="1" applyFill="1" applyBorder="1" applyAlignment="1">
      <alignment shrinkToFit="1"/>
    </xf>
    <xf numFmtId="0" fontId="11" fillId="5" borderId="13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/>
    </xf>
    <xf numFmtId="171" fontId="7" fillId="3" borderId="0" xfId="0" applyNumberFormat="1" applyFont="1" applyFill="1" applyBorder="1" applyAlignment="1">
      <alignment horizontal="center"/>
    </xf>
    <xf numFmtId="178" fontId="11" fillId="3" borderId="0" xfId="0" applyNumberFormat="1" applyFont="1" applyFill="1" applyBorder="1" applyAlignment="1">
      <alignment horizontal="center"/>
    </xf>
    <xf numFmtId="178" fontId="7" fillId="3" borderId="7" xfId="0" applyNumberFormat="1" applyFont="1" applyFill="1" applyBorder="1" applyAlignment="1">
      <alignment horizontal="center"/>
    </xf>
    <xf numFmtId="171" fontId="7" fillId="3" borderId="7" xfId="0" applyNumberFormat="1" applyFont="1" applyFill="1" applyBorder="1" applyAlignment="1">
      <alignment horizontal="center"/>
    </xf>
    <xf numFmtId="178" fontId="11" fillId="3" borderId="9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170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170" fontId="7" fillId="5" borderId="2" xfId="0" applyNumberFormat="1" applyFont="1" applyFill="1" applyBorder="1" applyAlignment="1">
      <alignment horizontal="center"/>
    </xf>
    <xf numFmtId="178" fontId="11" fillId="3" borderId="5" xfId="0" applyNumberFormat="1" applyFont="1" applyFill="1" applyBorder="1" applyAlignment="1">
      <alignment horizontal="center"/>
    </xf>
    <xf numFmtId="9" fontId="18" fillId="3" borderId="0" xfId="21" applyFont="1" applyFill="1" applyBorder="1" applyAlignment="1">
      <alignment horizontal="right"/>
    </xf>
    <xf numFmtId="178" fontId="11" fillId="3" borderId="7" xfId="0" applyNumberFormat="1" applyFont="1" applyFill="1" applyBorder="1" applyAlignment="1">
      <alignment shrinkToFit="1"/>
    </xf>
    <xf numFmtId="178" fontId="15" fillId="3" borderId="7" xfId="0" applyNumberFormat="1" applyFont="1" applyFill="1" applyBorder="1" applyAlignment="1">
      <alignment shrinkToFit="1"/>
    </xf>
    <xf numFmtId="38" fontId="0" fillId="0" borderId="3" xfId="0" applyNumberFormat="1" applyFill="1" applyBorder="1" applyAlignment="1">
      <alignment horizontal="left"/>
    </xf>
    <xf numFmtId="0" fontId="0" fillId="0" borderId="31" xfId="0" applyBorder="1" applyAlignment="1">
      <alignment/>
    </xf>
    <xf numFmtId="182" fontId="4" fillId="0" borderId="26" xfId="15" applyNumberFormat="1" applyFont="1" applyBorder="1" applyAlignment="1">
      <alignment horizontal="right"/>
    </xf>
    <xf numFmtId="182" fontId="4" fillId="0" borderId="29" xfId="15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178" fontId="13" fillId="3" borderId="7" xfId="0" applyNumberFormat="1" applyFont="1" applyFill="1" applyBorder="1" applyAlignment="1">
      <alignment shrinkToFit="1"/>
    </xf>
    <xf numFmtId="0" fontId="4" fillId="7" borderId="0" xfId="0" applyFont="1" applyFill="1" applyBorder="1" applyAlignment="1">
      <alignment horizontal="center"/>
    </xf>
    <xf numFmtId="178" fontId="19" fillId="7" borderId="7" xfId="0" applyNumberFormat="1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8" fontId="19" fillId="4" borderId="7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178" fontId="19" fillId="8" borderId="7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178" fontId="19" fillId="5" borderId="7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/>
    </xf>
    <xf numFmtId="0" fontId="4" fillId="7" borderId="13" xfId="0" applyFont="1" applyFill="1" applyBorder="1" applyAlignment="1">
      <alignment horizontal="center"/>
    </xf>
    <xf numFmtId="178" fontId="19" fillId="7" borderId="5" xfId="0" applyNumberFormat="1" applyFont="1" applyFill="1" applyBorder="1" applyAlignment="1">
      <alignment horizontal="center"/>
    </xf>
    <xf numFmtId="178" fontId="24" fillId="5" borderId="7" xfId="0" applyNumberFormat="1" applyFont="1" applyFill="1" applyBorder="1" applyAlignment="1">
      <alignment horizontal="center"/>
    </xf>
    <xf numFmtId="178" fontId="19" fillId="3" borderId="7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2" fontId="33" fillId="0" borderId="9" xfId="15" applyNumberFormat="1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17" fillId="16" borderId="0" xfId="0" applyFont="1" applyFill="1" applyAlignment="1">
      <alignment/>
    </xf>
    <xf numFmtId="0" fontId="14" fillId="16" borderId="0" xfId="0" applyFont="1" applyFill="1" applyAlignment="1">
      <alignment/>
    </xf>
    <xf numFmtId="0" fontId="0" fillId="16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64</xdr:row>
      <xdr:rowOff>38100</xdr:rowOff>
    </xdr:from>
    <xdr:to>
      <xdr:col>36</xdr:col>
      <xdr:colOff>1257300</xdr:colOff>
      <xdr:row>103</xdr:row>
      <xdr:rowOff>133350</xdr:rowOff>
    </xdr:to>
    <xdr:grpSp>
      <xdr:nvGrpSpPr>
        <xdr:cNvPr id="1" name="Group 10"/>
        <xdr:cNvGrpSpPr>
          <a:grpSpLocks/>
        </xdr:cNvGrpSpPr>
      </xdr:nvGrpSpPr>
      <xdr:grpSpPr>
        <a:xfrm>
          <a:off x="27451050" y="10763250"/>
          <a:ext cx="7839075" cy="8162925"/>
          <a:chOff x="980" y="31"/>
          <a:chExt cx="1012" cy="76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31"/>
            <a:ext cx="1000" cy="7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1610" y="178"/>
            <a:ext cx="292" cy="578"/>
          </a:xfrm>
          <a:prstGeom prst="rect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1451" y="403"/>
            <a:ext cx="151" cy="135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1905" y="713"/>
            <a:ext cx="87" cy="87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1571625</xdr:colOff>
      <xdr:row>101</xdr:row>
      <xdr:rowOff>0</xdr:rowOff>
    </xdr:from>
    <xdr:to>
      <xdr:col>35</xdr:col>
      <xdr:colOff>1571625</xdr:colOff>
      <xdr:row>105</xdr:row>
      <xdr:rowOff>38100</xdr:rowOff>
    </xdr:to>
    <xdr:sp>
      <xdr:nvSpPr>
        <xdr:cNvPr id="6" name="Line 7"/>
        <xdr:cNvSpPr>
          <a:spLocks/>
        </xdr:cNvSpPr>
      </xdr:nvSpPr>
      <xdr:spPr>
        <a:xfrm flipV="1">
          <a:off x="33708975" y="18468975"/>
          <a:ext cx="0" cy="8191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1819275</xdr:colOff>
      <xdr:row>102</xdr:row>
      <xdr:rowOff>104775</xdr:rowOff>
    </xdr:from>
    <xdr:to>
      <xdr:col>36</xdr:col>
      <xdr:colOff>609600</xdr:colOff>
      <xdr:row>106</xdr:row>
      <xdr:rowOff>85725</xdr:rowOff>
    </xdr:to>
    <xdr:sp>
      <xdr:nvSpPr>
        <xdr:cNvPr id="7" name="Line 8"/>
        <xdr:cNvSpPr>
          <a:spLocks/>
        </xdr:cNvSpPr>
      </xdr:nvSpPr>
      <xdr:spPr>
        <a:xfrm flipV="1">
          <a:off x="33956625" y="18735675"/>
          <a:ext cx="685800" cy="790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219075</xdr:colOff>
      <xdr:row>90</xdr:row>
      <xdr:rowOff>47625</xdr:rowOff>
    </xdr:from>
    <xdr:to>
      <xdr:col>35</xdr:col>
      <xdr:colOff>1362075</xdr:colOff>
      <xdr:row>106</xdr:row>
      <xdr:rowOff>123825</xdr:rowOff>
    </xdr:to>
    <xdr:sp>
      <xdr:nvSpPr>
        <xdr:cNvPr id="8" name="Line 9"/>
        <xdr:cNvSpPr>
          <a:spLocks/>
        </xdr:cNvSpPr>
      </xdr:nvSpPr>
      <xdr:spPr>
        <a:xfrm flipH="1" flipV="1">
          <a:off x="31746825" y="16087725"/>
          <a:ext cx="1752600" cy="3476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zoomScale="85" zoomScaleNormal="85" workbookViewId="0" topLeftCell="A1">
      <selection activeCell="M117" sqref="M117"/>
    </sheetView>
  </sheetViews>
  <sheetFormatPr defaultColWidth="9.140625" defaultRowHeight="12.75"/>
  <cols>
    <col min="1" max="1" width="5.140625" style="60" customWidth="1"/>
    <col min="2" max="2" width="45.140625" style="61" customWidth="1"/>
    <col min="3" max="3" width="2.00390625" style="38" customWidth="1"/>
    <col min="4" max="4" width="15.421875" style="42" customWidth="1"/>
    <col min="5" max="5" width="15.7109375" style="42" customWidth="1"/>
    <col min="6" max="6" width="9.8515625" style="42" customWidth="1"/>
    <col min="7" max="7" width="10.7109375" style="42" customWidth="1"/>
    <col min="8" max="8" width="10.00390625" style="42" customWidth="1"/>
    <col min="9" max="10" width="11.140625" style="42" customWidth="1"/>
    <col min="11" max="12" width="9.140625" style="42" customWidth="1"/>
    <col min="13" max="13" width="12.8515625" style="37" customWidth="1"/>
    <col min="14" max="14" width="12.140625" style="37" customWidth="1"/>
    <col min="15" max="15" width="10.28125" style="36" customWidth="1"/>
    <col min="16" max="16" width="11.421875" style="12" customWidth="1"/>
  </cols>
  <sheetData>
    <row r="1" spans="1:17" ht="28.5" thickBot="1">
      <c r="A1" s="705" t="s">
        <v>220</v>
      </c>
      <c r="M1" s="13"/>
      <c r="Q1" s="247"/>
    </row>
    <row r="2" spans="2:17" ht="12.75">
      <c r="B2" s="75" t="s">
        <v>70</v>
      </c>
      <c r="K2" s="2" t="s">
        <v>61</v>
      </c>
      <c r="L2" s="28" t="s">
        <v>57</v>
      </c>
      <c r="M2" s="29">
        <v>171.6</v>
      </c>
      <c r="N2" s="37" t="s">
        <v>168</v>
      </c>
      <c r="Q2" s="247"/>
    </row>
    <row r="3" spans="2:17" ht="12.75">
      <c r="B3" s="61" t="s">
        <v>72</v>
      </c>
      <c r="H3" s="690" t="s">
        <v>239</v>
      </c>
      <c r="I3" s="689" t="s">
        <v>238</v>
      </c>
      <c r="L3" s="30" t="s">
        <v>58</v>
      </c>
      <c r="M3" s="31">
        <v>112.72</v>
      </c>
      <c r="N3" s="37" t="s">
        <v>168</v>
      </c>
      <c r="Q3" s="247"/>
    </row>
    <row r="4" spans="2:17" ht="12.75">
      <c r="B4" s="61" t="s">
        <v>71</v>
      </c>
      <c r="H4" s="690" t="s">
        <v>169</v>
      </c>
      <c r="I4" s="249">
        <v>0.13</v>
      </c>
      <c r="K4" s="42" t="s">
        <v>166</v>
      </c>
      <c r="L4" s="30" t="s">
        <v>59</v>
      </c>
      <c r="M4" s="31">
        <v>82.37</v>
      </c>
      <c r="N4" s="37" t="s">
        <v>168</v>
      </c>
      <c r="Q4" s="247"/>
    </row>
    <row r="5" spans="2:17" ht="13.5" thickBot="1">
      <c r="B5" s="61" t="s">
        <v>219</v>
      </c>
      <c r="H5" s="690" t="s">
        <v>240</v>
      </c>
      <c r="I5" s="250">
        <v>0.339</v>
      </c>
      <c r="K5" s="42">
        <v>162.77</v>
      </c>
      <c r="L5" s="32" t="s">
        <v>60</v>
      </c>
      <c r="M5" s="33">
        <v>101.46</v>
      </c>
      <c r="N5" s="37" t="s">
        <v>167</v>
      </c>
      <c r="Q5" s="247"/>
    </row>
    <row r="6" spans="2:17" ht="13.5" thickBot="1">
      <c r="B6" s="61" t="s">
        <v>74</v>
      </c>
      <c r="L6" s="151" t="s">
        <v>105</v>
      </c>
      <c r="Q6" s="247"/>
    </row>
    <row r="7" spans="1:17" s="107" customFormat="1" ht="12.75">
      <c r="A7" s="7"/>
      <c r="B7" s="101"/>
      <c r="C7" s="102"/>
      <c r="D7" s="103" t="s">
        <v>39</v>
      </c>
      <c r="E7" s="104" t="s">
        <v>40</v>
      </c>
      <c r="F7" s="104" t="s">
        <v>41</v>
      </c>
      <c r="G7" s="103" t="s">
        <v>28</v>
      </c>
      <c r="H7" s="103" t="s">
        <v>106</v>
      </c>
      <c r="I7" s="103" t="s">
        <v>29</v>
      </c>
      <c r="J7" s="103" t="s">
        <v>30</v>
      </c>
      <c r="K7" s="103" t="s">
        <v>30</v>
      </c>
      <c r="L7" s="103" t="s">
        <v>27</v>
      </c>
      <c r="M7" s="105" t="s">
        <v>31</v>
      </c>
      <c r="N7" s="105"/>
      <c r="O7" s="36"/>
      <c r="P7" s="106"/>
      <c r="Q7" s="248"/>
    </row>
    <row r="8" spans="1:17" s="107" customFormat="1" ht="12.75">
      <c r="A8" s="21"/>
      <c r="B8" s="27" t="s">
        <v>13</v>
      </c>
      <c r="C8" s="108"/>
      <c r="D8" s="109"/>
      <c r="E8" s="110"/>
      <c r="F8" s="110"/>
      <c r="G8" s="109" t="s">
        <v>32</v>
      </c>
      <c r="H8" s="109" t="s">
        <v>35</v>
      </c>
      <c r="I8" s="109" t="s">
        <v>33</v>
      </c>
      <c r="J8" s="109"/>
      <c r="K8" s="111" t="s">
        <v>34</v>
      </c>
      <c r="L8" s="109" t="s">
        <v>35</v>
      </c>
      <c r="M8" s="112"/>
      <c r="N8" s="112"/>
      <c r="O8" s="36"/>
      <c r="P8" s="106"/>
      <c r="Q8" s="248"/>
    </row>
    <row r="9" spans="1:17" s="107" customFormat="1" ht="13.5" thickBot="1">
      <c r="A9" s="8"/>
      <c r="B9" s="113"/>
      <c r="C9" s="114"/>
      <c r="D9" s="115" t="s">
        <v>7</v>
      </c>
      <c r="E9" s="116"/>
      <c r="F9" s="116"/>
      <c r="G9" s="115" t="s">
        <v>36</v>
      </c>
      <c r="H9" s="115" t="s">
        <v>36</v>
      </c>
      <c r="I9" s="115" t="s">
        <v>36</v>
      </c>
      <c r="J9" s="115" t="s">
        <v>36</v>
      </c>
      <c r="K9" s="115" t="s">
        <v>36</v>
      </c>
      <c r="L9" s="115" t="s">
        <v>36</v>
      </c>
      <c r="M9" s="117" t="s">
        <v>37</v>
      </c>
      <c r="N9" s="117" t="s">
        <v>38</v>
      </c>
      <c r="O9" s="36"/>
      <c r="P9" s="106"/>
      <c r="Q9" s="248"/>
    </row>
    <row r="10" spans="1:17" s="3" customFormat="1" ht="12.75">
      <c r="A10" s="233">
        <v>1</v>
      </c>
      <c r="B10" s="229" t="s">
        <v>56</v>
      </c>
      <c r="C10" s="169"/>
      <c r="D10" s="230"/>
      <c r="E10" s="231"/>
      <c r="F10" s="231"/>
      <c r="G10" s="230"/>
      <c r="H10" s="230"/>
      <c r="I10" s="230"/>
      <c r="J10" s="230"/>
      <c r="K10" s="230"/>
      <c r="L10" s="230"/>
      <c r="M10" s="232"/>
      <c r="N10" s="232"/>
      <c r="O10" s="119"/>
      <c r="P10" s="14"/>
      <c r="Q10" s="247"/>
    </row>
    <row r="11" spans="1:17" s="3" customFormat="1" ht="12.75">
      <c r="A11" s="96"/>
      <c r="B11" s="160" t="s">
        <v>136</v>
      </c>
      <c r="C11" s="66"/>
      <c r="D11" s="18"/>
      <c r="E11" s="19"/>
      <c r="F11" s="19"/>
      <c r="G11" s="22">
        <v>288</v>
      </c>
      <c r="H11" s="18"/>
      <c r="I11" s="22">
        <v>720</v>
      </c>
      <c r="J11" s="18"/>
      <c r="K11" s="18"/>
      <c r="L11" s="18"/>
      <c r="M11" s="20"/>
      <c r="N11" s="20"/>
      <c r="O11" s="119"/>
      <c r="P11" s="14"/>
      <c r="Q11" s="247"/>
    </row>
    <row r="12" spans="1:17" s="3" customFormat="1" ht="12.75">
      <c r="A12" s="96"/>
      <c r="B12" s="40" t="s">
        <v>243</v>
      </c>
      <c r="C12" s="66"/>
      <c r="D12" s="18"/>
      <c r="E12" s="23"/>
      <c r="F12" s="23"/>
      <c r="G12" s="22">
        <v>0</v>
      </c>
      <c r="H12" s="18"/>
      <c r="I12" s="18"/>
      <c r="J12" s="22">
        <v>120</v>
      </c>
      <c r="K12" s="18"/>
      <c r="L12" s="18"/>
      <c r="M12" s="20"/>
      <c r="N12" s="20"/>
      <c r="O12" s="119"/>
      <c r="P12" s="14"/>
      <c r="Q12" s="247"/>
    </row>
    <row r="13" spans="1:17" s="3" customFormat="1" ht="13.5" thickBot="1">
      <c r="A13" s="96"/>
      <c r="B13" s="40" t="s">
        <v>244</v>
      </c>
      <c r="C13" s="66"/>
      <c r="D13" s="18"/>
      <c r="E13" s="23"/>
      <c r="F13" s="23"/>
      <c r="G13" s="22">
        <v>0</v>
      </c>
      <c r="H13" s="18"/>
      <c r="I13" s="18"/>
      <c r="J13" s="22">
        <v>120</v>
      </c>
      <c r="K13" s="18"/>
      <c r="L13" s="18"/>
      <c r="M13" s="20"/>
      <c r="N13" s="20"/>
      <c r="O13" s="119"/>
      <c r="P13" s="14"/>
      <c r="Q13" s="247"/>
    </row>
    <row r="14" spans="1:17" s="3" customFormat="1" ht="12.75">
      <c r="A14" s="96"/>
      <c r="B14" s="40" t="s">
        <v>245</v>
      </c>
      <c r="C14" s="66"/>
      <c r="D14" s="18"/>
      <c r="E14" s="23"/>
      <c r="F14" s="23"/>
      <c r="G14" s="22">
        <v>0</v>
      </c>
      <c r="H14" s="18"/>
      <c r="I14" s="18"/>
      <c r="J14" s="22">
        <v>40</v>
      </c>
      <c r="K14" s="18"/>
      <c r="L14" s="18"/>
      <c r="M14" s="20"/>
      <c r="N14" s="20"/>
      <c r="O14" s="187" t="s">
        <v>137</v>
      </c>
      <c r="P14" s="14"/>
      <c r="Q14" s="247"/>
    </row>
    <row r="15" spans="1:17" s="3" customFormat="1" ht="12.75">
      <c r="A15" s="96"/>
      <c r="B15" s="118" t="s">
        <v>153</v>
      </c>
      <c r="C15" s="35"/>
      <c r="D15" s="25"/>
      <c r="E15" s="172"/>
      <c r="F15" s="172"/>
      <c r="G15" s="25">
        <f>SUM(G11:G14)</f>
        <v>288</v>
      </c>
      <c r="H15" s="25">
        <f>SUM(H11:H14)</f>
        <v>0</v>
      </c>
      <c r="I15" s="25">
        <f>SUM(I11:I14)</f>
        <v>720</v>
      </c>
      <c r="J15" s="25">
        <f>SUM(J11:J14)</f>
        <v>280</v>
      </c>
      <c r="K15" s="25"/>
      <c r="L15" s="25"/>
      <c r="M15" s="26"/>
      <c r="N15" s="26"/>
      <c r="O15" s="706">
        <f>SUM(G16:L16)+N16</f>
        <v>151490.56</v>
      </c>
      <c r="P15" s="14"/>
      <c r="Q15" s="247"/>
    </row>
    <row r="16" spans="1:17" s="3" customFormat="1" ht="13.5" thickBot="1">
      <c r="A16" s="96"/>
      <c r="B16" s="175" t="s">
        <v>154</v>
      </c>
      <c r="C16" s="35"/>
      <c r="D16" s="25"/>
      <c r="E16" s="172"/>
      <c r="F16" s="172"/>
      <c r="G16" s="10">
        <f>G15*K5</f>
        <v>46877.76</v>
      </c>
      <c r="H16" s="9"/>
      <c r="I16" s="43">
        <f>I15*M5</f>
        <v>73051.2</v>
      </c>
      <c r="J16" s="43">
        <f>J15*M3</f>
        <v>31561.6</v>
      </c>
      <c r="K16" s="167"/>
      <c r="L16" s="167"/>
      <c r="M16" s="49"/>
      <c r="N16" s="49"/>
      <c r="O16" s="167"/>
      <c r="P16" s="14"/>
      <c r="Q16" s="247"/>
    </row>
    <row r="17" spans="1:17" ht="12.75">
      <c r="A17" s="233">
        <v>2</v>
      </c>
      <c r="B17" s="168" t="s">
        <v>135</v>
      </c>
      <c r="C17" s="169"/>
      <c r="D17" s="170"/>
      <c r="E17" s="170"/>
      <c r="F17" s="171"/>
      <c r="G17" s="171"/>
      <c r="H17" s="226"/>
      <c r="I17" s="226"/>
      <c r="J17" s="226"/>
      <c r="K17" s="227"/>
      <c r="L17" s="227"/>
      <c r="M17" s="228"/>
      <c r="N17" s="228"/>
      <c r="Q17" s="247"/>
    </row>
    <row r="18" spans="1:17" ht="13.5" thickBot="1">
      <c r="A18" s="96"/>
      <c r="B18" s="69" t="s">
        <v>131</v>
      </c>
      <c r="C18" s="40"/>
      <c r="D18" s="41"/>
      <c r="E18" s="41"/>
      <c r="F18" s="41"/>
      <c r="G18" s="41"/>
      <c r="H18" s="22"/>
      <c r="I18" s="41"/>
      <c r="J18" s="41"/>
      <c r="K18" s="41">
        <v>0</v>
      </c>
      <c r="L18" s="41">
        <v>0</v>
      </c>
      <c r="M18" s="48"/>
      <c r="N18" s="48"/>
      <c r="Q18" s="247"/>
    </row>
    <row r="19" spans="1:17" ht="12.75">
      <c r="A19" s="96"/>
      <c r="B19" s="69" t="s">
        <v>132</v>
      </c>
      <c r="C19" s="40"/>
      <c r="D19" s="41"/>
      <c r="E19" s="41"/>
      <c r="F19" s="41"/>
      <c r="G19" s="41"/>
      <c r="H19" s="22"/>
      <c r="I19" s="22"/>
      <c r="J19" s="22"/>
      <c r="K19" s="41">
        <v>80</v>
      </c>
      <c r="L19" s="41"/>
      <c r="M19" s="48"/>
      <c r="N19" s="701"/>
      <c r="O19" s="189"/>
      <c r="Q19" s="247"/>
    </row>
    <row r="20" spans="1:17" ht="12.75">
      <c r="A20" s="96"/>
      <c r="B20" s="69" t="s">
        <v>140</v>
      </c>
      <c r="C20" s="40"/>
      <c r="D20" s="41"/>
      <c r="E20" s="41"/>
      <c r="F20" s="41"/>
      <c r="G20" s="41"/>
      <c r="H20" s="22"/>
      <c r="I20" s="41"/>
      <c r="J20" s="41"/>
      <c r="K20" s="41"/>
      <c r="L20" s="41">
        <v>60</v>
      </c>
      <c r="M20" s="48"/>
      <c r="N20" s="701"/>
      <c r="O20" s="25" t="s">
        <v>138</v>
      </c>
      <c r="Q20" s="247"/>
    </row>
    <row r="21" spans="1:17" ht="12.75">
      <c r="A21" s="96"/>
      <c r="B21" s="69" t="s">
        <v>133</v>
      </c>
      <c r="C21" s="40"/>
      <c r="D21" s="41"/>
      <c r="E21" s="41"/>
      <c r="F21" s="41"/>
      <c r="G21" s="41"/>
      <c r="H21" s="22"/>
      <c r="I21" s="41"/>
      <c r="J21" s="41"/>
      <c r="K21" s="41"/>
      <c r="L21" s="41">
        <v>60</v>
      </c>
      <c r="M21" s="48"/>
      <c r="N21" s="701"/>
      <c r="O21" s="9"/>
      <c r="Q21" s="247"/>
    </row>
    <row r="22" spans="1:17" ht="12.75">
      <c r="A22" s="96"/>
      <c r="B22" s="69" t="s">
        <v>134</v>
      </c>
      <c r="C22" s="40"/>
      <c r="D22" s="41"/>
      <c r="E22" s="41"/>
      <c r="F22" s="41"/>
      <c r="G22" s="41"/>
      <c r="H22" s="22"/>
      <c r="I22" s="41"/>
      <c r="J22" s="41">
        <v>80</v>
      </c>
      <c r="K22" s="41"/>
      <c r="L22" s="41"/>
      <c r="M22" s="41"/>
      <c r="N22" s="701"/>
      <c r="O22" s="9"/>
      <c r="Q22" s="247"/>
    </row>
    <row r="23" spans="1:17" ht="12.75">
      <c r="A23" s="96"/>
      <c r="B23" s="118" t="s">
        <v>153</v>
      </c>
      <c r="C23" s="35"/>
      <c r="D23" s="25"/>
      <c r="E23" s="25"/>
      <c r="F23" s="25"/>
      <c r="G23" s="25">
        <f aca="true" t="shared" si="0" ref="G23:L23">SUM(G18:G22)</f>
        <v>0</v>
      </c>
      <c r="H23" s="25">
        <f t="shared" si="0"/>
        <v>0</v>
      </c>
      <c r="I23" s="25">
        <f t="shared" si="0"/>
        <v>0</v>
      </c>
      <c r="J23" s="25">
        <f t="shared" si="0"/>
        <v>80</v>
      </c>
      <c r="K23" s="25">
        <f t="shared" si="0"/>
        <v>80</v>
      </c>
      <c r="L23" s="25">
        <f t="shared" si="0"/>
        <v>120</v>
      </c>
      <c r="M23" s="25"/>
      <c r="N23" s="702"/>
      <c r="O23" s="706">
        <f>N24+L24+K24+J24+I24+H24+G24</f>
        <v>27919.6</v>
      </c>
      <c r="Q23" s="247"/>
    </row>
    <row r="24" spans="1:17" ht="13.5" thickBot="1">
      <c r="A24" s="234"/>
      <c r="B24" s="175" t="s">
        <v>154</v>
      </c>
      <c r="C24" s="173"/>
      <c r="D24" s="43"/>
      <c r="E24" s="43"/>
      <c r="F24" s="43"/>
      <c r="G24" s="174"/>
      <c r="H24" s="174"/>
      <c r="I24" s="174"/>
      <c r="J24" s="43">
        <f>J23*M3</f>
        <v>9017.6</v>
      </c>
      <c r="K24" s="43">
        <f>K23*M3</f>
        <v>9017.6</v>
      </c>
      <c r="L24" s="43">
        <f>L23*M4</f>
        <v>9884.400000000001</v>
      </c>
      <c r="M24" s="43"/>
      <c r="N24" s="195"/>
      <c r="O24" s="174"/>
      <c r="Q24" s="247"/>
    </row>
    <row r="25" spans="1:17" s="107" customFormat="1" ht="12.75">
      <c r="A25" s="7"/>
      <c r="B25" s="101"/>
      <c r="C25" s="102"/>
      <c r="D25" s="103" t="s">
        <v>39</v>
      </c>
      <c r="E25" s="104" t="s">
        <v>40</v>
      </c>
      <c r="F25" s="104" t="s">
        <v>41</v>
      </c>
      <c r="G25" s="103" t="s">
        <v>28</v>
      </c>
      <c r="H25" s="103" t="s">
        <v>106</v>
      </c>
      <c r="I25" s="103" t="s">
        <v>29</v>
      </c>
      <c r="J25" s="103" t="s">
        <v>30</v>
      </c>
      <c r="K25" s="103" t="s">
        <v>30</v>
      </c>
      <c r="L25" s="103" t="s">
        <v>27</v>
      </c>
      <c r="M25" s="105" t="s">
        <v>31</v>
      </c>
      <c r="N25" s="105"/>
      <c r="P25" s="106"/>
      <c r="Q25" s="248"/>
    </row>
    <row r="26" spans="1:17" s="107" customFormat="1" ht="12.75">
      <c r="A26" s="21"/>
      <c r="B26" s="27" t="s">
        <v>13</v>
      </c>
      <c r="C26" s="108"/>
      <c r="D26" s="109"/>
      <c r="E26" s="110"/>
      <c r="F26" s="110"/>
      <c r="G26" s="109" t="s">
        <v>32</v>
      </c>
      <c r="H26" s="109" t="s">
        <v>35</v>
      </c>
      <c r="I26" s="109" t="s">
        <v>33</v>
      </c>
      <c r="J26" s="109"/>
      <c r="K26" s="111" t="s">
        <v>34</v>
      </c>
      <c r="L26" s="109" t="s">
        <v>35</v>
      </c>
      <c r="M26" s="112"/>
      <c r="N26" s="112"/>
      <c r="O26" s="36"/>
      <c r="P26" s="106"/>
      <c r="Q26" s="248"/>
    </row>
    <row r="27" spans="1:17" s="107" customFormat="1" ht="13.5" thickBot="1">
      <c r="A27" s="8"/>
      <c r="B27" s="113"/>
      <c r="C27" s="114"/>
      <c r="D27" s="115" t="s">
        <v>7</v>
      </c>
      <c r="E27" s="116"/>
      <c r="F27" s="116"/>
      <c r="G27" s="115" t="s">
        <v>36</v>
      </c>
      <c r="H27" s="115" t="s">
        <v>36</v>
      </c>
      <c r="I27" s="115" t="s">
        <v>36</v>
      </c>
      <c r="J27" s="115" t="s">
        <v>36</v>
      </c>
      <c r="K27" s="115" t="s">
        <v>36</v>
      </c>
      <c r="L27" s="115" t="s">
        <v>36</v>
      </c>
      <c r="M27" s="117" t="s">
        <v>37</v>
      </c>
      <c r="N27" s="117" t="s">
        <v>38</v>
      </c>
      <c r="O27" s="36"/>
      <c r="P27" s="106"/>
      <c r="Q27" s="248"/>
    </row>
    <row r="28" spans="1:17" s="3" customFormat="1" ht="12.75">
      <c r="A28" s="178">
        <v>3</v>
      </c>
      <c r="B28" s="179" t="s">
        <v>42</v>
      </c>
      <c r="C28" s="181"/>
      <c r="D28" s="182"/>
      <c r="E28" s="183"/>
      <c r="F28" s="183"/>
      <c r="G28" s="182"/>
      <c r="H28" s="182"/>
      <c r="I28" s="182"/>
      <c r="J28" s="182"/>
      <c r="K28" s="182"/>
      <c r="L28" s="182"/>
      <c r="M28" s="184"/>
      <c r="N28" s="184"/>
      <c r="O28" s="119"/>
      <c r="P28" s="14"/>
      <c r="Q28" s="247"/>
    </row>
    <row r="29" spans="1:17" ht="12.75">
      <c r="A29" s="73"/>
      <c r="B29" s="180" t="s">
        <v>26</v>
      </c>
      <c r="C29" s="40"/>
      <c r="D29" s="41"/>
      <c r="E29" s="68"/>
      <c r="F29" s="68"/>
      <c r="G29" s="41"/>
      <c r="H29" s="41"/>
      <c r="I29" s="41"/>
      <c r="J29" s="41"/>
      <c r="K29" s="41"/>
      <c r="L29" s="41"/>
      <c r="M29" s="48"/>
      <c r="N29" s="48"/>
      <c r="Q29" s="247"/>
    </row>
    <row r="30" spans="1:17" ht="12.75">
      <c r="A30" s="73"/>
      <c r="B30" s="39" t="s">
        <v>111</v>
      </c>
      <c r="C30" s="40"/>
      <c r="D30" s="41"/>
      <c r="E30" s="41"/>
      <c r="F30" s="41"/>
      <c r="G30" s="41"/>
      <c r="H30" s="41"/>
      <c r="I30" s="41"/>
      <c r="J30" s="41"/>
      <c r="K30" s="41"/>
      <c r="L30" s="41">
        <v>360</v>
      </c>
      <c r="M30" s="48">
        <v>5000</v>
      </c>
      <c r="N30" s="48"/>
      <c r="Q30" s="247"/>
    </row>
    <row r="31" spans="1:17" ht="12.75">
      <c r="A31" s="73"/>
      <c r="B31" s="39" t="s">
        <v>112</v>
      </c>
      <c r="C31" s="40"/>
      <c r="D31" s="41"/>
      <c r="E31" s="41"/>
      <c r="F31" s="41"/>
      <c r="G31" s="41"/>
      <c r="H31" s="41"/>
      <c r="I31" s="41"/>
      <c r="J31" s="41"/>
      <c r="K31" s="41">
        <v>80</v>
      </c>
      <c r="L31" s="41">
        <v>80</v>
      </c>
      <c r="M31" s="48">
        <v>5000</v>
      </c>
      <c r="N31" s="48"/>
      <c r="Q31" s="247"/>
    </row>
    <row r="32" spans="1:17" ht="12.75">
      <c r="A32" s="73"/>
      <c r="B32" s="39" t="s">
        <v>126</v>
      </c>
      <c r="C32" s="40"/>
      <c r="D32" s="41"/>
      <c r="E32" s="41"/>
      <c r="F32" s="41"/>
      <c r="G32" s="41"/>
      <c r="H32" s="41">
        <v>80</v>
      </c>
      <c r="I32" s="41"/>
      <c r="J32" s="41"/>
      <c r="K32" s="41">
        <v>80</v>
      </c>
      <c r="L32" s="41">
        <v>160</v>
      </c>
      <c r="M32" s="48">
        <v>1000</v>
      </c>
      <c r="N32" s="48"/>
      <c r="Q32" s="247"/>
    </row>
    <row r="33" spans="1:17" ht="12.75">
      <c r="A33" s="73"/>
      <c r="B33" s="39" t="s">
        <v>127</v>
      </c>
      <c r="C33" s="40"/>
      <c r="D33" s="41"/>
      <c r="E33" s="41"/>
      <c r="F33" s="41"/>
      <c r="G33" s="41"/>
      <c r="H33" s="41"/>
      <c r="I33" s="41"/>
      <c r="J33" s="41"/>
      <c r="K33" s="41">
        <v>120</v>
      </c>
      <c r="L33" s="41">
        <v>160</v>
      </c>
      <c r="M33" s="48">
        <v>5000</v>
      </c>
      <c r="N33" s="48"/>
      <c r="Q33" s="247"/>
    </row>
    <row r="34" spans="1:17" ht="12.75">
      <c r="A34" s="73"/>
      <c r="B34" s="39" t="s">
        <v>43</v>
      </c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8">
        <v>3000</v>
      </c>
      <c r="N34" s="48"/>
      <c r="Q34" s="247"/>
    </row>
    <row r="35" spans="1:17" ht="13.5" thickBot="1">
      <c r="A35" s="73"/>
      <c r="B35" s="39" t="s">
        <v>128</v>
      </c>
      <c r="C35" s="40"/>
      <c r="D35" s="41"/>
      <c r="E35" s="41"/>
      <c r="F35" s="41"/>
      <c r="G35" s="41"/>
      <c r="H35" s="41"/>
      <c r="I35" s="41"/>
      <c r="J35" s="41"/>
      <c r="K35" s="41">
        <v>360</v>
      </c>
      <c r="L35" s="41">
        <v>360</v>
      </c>
      <c r="M35" s="48">
        <v>10000</v>
      </c>
      <c r="N35" s="48"/>
      <c r="Q35" s="247"/>
    </row>
    <row r="36" spans="1:17" ht="12.75">
      <c r="A36" s="73"/>
      <c r="B36" s="39" t="s">
        <v>171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8">
        <v>0</v>
      </c>
      <c r="N36" s="48"/>
      <c r="O36" s="187" t="s">
        <v>138</v>
      </c>
      <c r="Q36" s="247"/>
    </row>
    <row r="37" spans="1:17" s="38" customFormat="1" ht="11.25">
      <c r="A37" s="73"/>
      <c r="B37" s="118" t="s">
        <v>153</v>
      </c>
      <c r="C37" s="35"/>
      <c r="D37" s="9"/>
      <c r="E37" s="9"/>
      <c r="F37" s="9"/>
      <c r="G37" s="25">
        <f aca="true" t="shared" si="1" ref="G37:L37">SUM(G30:G36)</f>
        <v>0</v>
      </c>
      <c r="H37" s="25">
        <f t="shared" si="1"/>
        <v>80</v>
      </c>
      <c r="I37" s="25">
        <f t="shared" si="1"/>
        <v>0</v>
      </c>
      <c r="J37" s="25">
        <f t="shared" si="1"/>
        <v>0</v>
      </c>
      <c r="K37" s="25">
        <f t="shared" si="1"/>
        <v>640</v>
      </c>
      <c r="L37" s="25">
        <f t="shared" si="1"/>
        <v>1120</v>
      </c>
      <c r="M37" s="10"/>
      <c r="N37" s="26"/>
      <c r="O37" s="706">
        <f>SUM(G38:L38)+N38</f>
        <v>209815.80000000002</v>
      </c>
      <c r="P37" s="37"/>
      <c r="Q37" s="251"/>
    </row>
    <row r="38" spans="1:17" s="38" customFormat="1" ht="12" thickBot="1">
      <c r="A38" s="73"/>
      <c r="B38" s="175" t="s">
        <v>154</v>
      </c>
      <c r="C38" s="35"/>
      <c r="D38" s="9"/>
      <c r="E38" s="9"/>
      <c r="F38" s="9"/>
      <c r="G38" s="10"/>
      <c r="H38" s="26">
        <f>+H37*M4</f>
        <v>6589.6</v>
      </c>
      <c r="I38" s="25"/>
      <c r="J38" s="10"/>
      <c r="K38" s="10">
        <f>K37*M3</f>
        <v>72140.8</v>
      </c>
      <c r="L38" s="10">
        <f>L37*M4</f>
        <v>92254.40000000001</v>
      </c>
      <c r="M38" s="26">
        <f>SUM(M29:M36)</f>
        <v>29000</v>
      </c>
      <c r="N38" s="26">
        <f>M38*(1+$I$5)</f>
        <v>38831</v>
      </c>
      <c r="O38" s="49"/>
      <c r="P38" s="37"/>
      <c r="Q38" s="251"/>
    </row>
    <row r="39" spans="1:17" ht="12.75">
      <c r="A39" s="178">
        <v>4</v>
      </c>
      <c r="B39" s="225" t="s">
        <v>44</v>
      </c>
      <c r="C39" s="181"/>
      <c r="D39" s="185"/>
      <c r="E39" s="185"/>
      <c r="F39" s="185"/>
      <c r="G39" s="185"/>
      <c r="H39" s="185"/>
      <c r="I39" s="185"/>
      <c r="J39" s="185"/>
      <c r="K39" s="185"/>
      <c r="L39" s="185"/>
      <c r="M39" s="186"/>
      <c r="N39" s="186"/>
      <c r="Q39" s="247"/>
    </row>
    <row r="40" spans="1:17" ht="12.75">
      <c r="A40" s="73"/>
      <c r="B40" s="71" t="s">
        <v>170</v>
      </c>
      <c r="C40" s="40"/>
      <c r="D40" s="41"/>
      <c r="E40" s="41"/>
      <c r="F40" s="41"/>
      <c r="G40" s="41"/>
      <c r="H40" s="41"/>
      <c r="I40" s="41"/>
      <c r="J40" s="41">
        <v>320</v>
      </c>
      <c r="K40" s="41">
        <v>0</v>
      </c>
      <c r="L40" s="41">
        <v>480</v>
      </c>
      <c r="M40" s="48">
        <v>5000</v>
      </c>
      <c r="N40" s="48">
        <f>M40*(1+$I$5)</f>
        <v>6695</v>
      </c>
      <c r="Q40" s="247"/>
    </row>
    <row r="41" spans="1:17" ht="12.75">
      <c r="A41" s="73"/>
      <c r="B41" s="39" t="s">
        <v>107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8"/>
      <c r="N41" s="48"/>
      <c r="Q41" s="247"/>
    </row>
    <row r="42" spans="1:17" ht="12.75">
      <c r="A42" s="73"/>
      <c r="B42" s="39" t="s">
        <v>108</v>
      </c>
      <c r="C42" s="40"/>
      <c r="D42" s="41"/>
      <c r="E42" s="68"/>
      <c r="F42" s="68"/>
      <c r="G42" s="41"/>
      <c r="H42" s="41"/>
      <c r="I42" s="41"/>
      <c r="J42" s="41"/>
      <c r="K42" s="41"/>
      <c r="L42" s="41"/>
      <c r="M42" s="48"/>
      <c r="N42" s="48"/>
      <c r="Q42" s="247"/>
    </row>
    <row r="43" spans="1:17" ht="12.75">
      <c r="A43" s="73"/>
      <c r="B43" s="39" t="s">
        <v>109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8"/>
      <c r="N43" s="48"/>
      <c r="Q43" s="247"/>
    </row>
    <row r="44" spans="1:17" ht="13.5" thickBot="1">
      <c r="A44" s="73"/>
      <c r="B44" s="39" t="s">
        <v>110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8"/>
      <c r="N44" s="48"/>
      <c r="Q44" s="247"/>
    </row>
    <row r="45" spans="1:17" ht="12.75">
      <c r="A45" s="73"/>
      <c r="B45" s="70" t="s">
        <v>66</v>
      </c>
      <c r="C45" s="40"/>
      <c r="D45" s="41"/>
      <c r="E45" s="68"/>
      <c r="F45" s="68"/>
      <c r="G45" s="41"/>
      <c r="H45" s="41"/>
      <c r="I45" s="41"/>
      <c r="J45" s="41">
        <v>0</v>
      </c>
      <c r="K45" s="41"/>
      <c r="L45" s="41">
        <v>0</v>
      </c>
      <c r="M45" s="48">
        <v>5000</v>
      </c>
      <c r="N45" s="48">
        <f>M45*(1+$I$5)</f>
        <v>6695</v>
      </c>
      <c r="O45" s="187" t="s">
        <v>137</v>
      </c>
      <c r="Q45" s="247"/>
    </row>
    <row r="46" spans="1:17" ht="12.75">
      <c r="A46" s="73"/>
      <c r="B46" s="118" t="s">
        <v>153</v>
      </c>
      <c r="C46" s="35"/>
      <c r="D46" s="9"/>
      <c r="E46" s="9"/>
      <c r="F46" s="9"/>
      <c r="G46" s="25">
        <f aca="true" t="shared" si="2" ref="G46:L46">SUM(G40:G45)</f>
        <v>0</v>
      </c>
      <c r="H46" s="25">
        <f t="shared" si="2"/>
        <v>0</v>
      </c>
      <c r="I46" s="25">
        <f t="shared" si="2"/>
        <v>0</v>
      </c>
      <c r="J46" s="25">
        <f t="shared" si="2"/>
        <v>320</v>
      </c>
      <c r="K46" s="25">
        <f t="shared" si="2"/>
        <v>0</v>
      </c>
      <c r="L46" s="25">
        <f t="shared" si="2"/>
        <v>480</v>
      </c>
      <c r="M46" s="10"/>
      <c r="N46" s="10"/>
      <c r="O46" s="706">
        <f>SUM(G47:L47)+N47</f>
        <v>79286</v>
      </c>
      <c r="Q46" s="247"/>
    </row>
    <row r="47" spans="1:17" ht="13.5" thickBot="1">
      <c r="A47" s="74"/>
      <c r="B47" s="175" t="s">
        <v>154</v>
      </c>
      <c r="C47" s="173"/>
      <c r="D47" s="174"/>
      <c r="E47" s="174"/>
      <c r="F47" s="174"/>
      <c r="G47" s="174"/>
      <c r="H47" s="174"/>
      <c r="I47" s="174"/>
      <c r="J47" s="43">
        <f>J46*M4</f>
        <v>26358.4</v>
      </c>
      <c r="K47" s="43">
        <f>K46*M3</f>
        <v>0</v>
      </c>
      <c r="L47" s="43">
        <f>L46*M4</f>
        <v>39537.600000000006</v>
      </c>
      <c r="M47" s="43">
        <f>SUM(M40:M45)</f>
        <v>10000</v>
      </c>
      <c r="N47" s="49">
        <f>M47*(1+$I$5)</f>
        <v>13390</v>
      </c>
      <c r="O47" s="122"/>
      <c r="Q47" s="247"/>
    </row>
    <row r="48" spans="1:17" ht="12.75">
      <c r="A48" s="224">
        <v>5</v>
      </c>
      <c r="B48" s="220" t="s">
        <v>53</v>
      </c>
      <c r="C48" s="221"/>
      <c r="D48" s="222"/>
      <c r="E48" s="222"/>
      <c r="F48" s="222"/>
      <c r="G48" s="222"/>
      <c r="H48" s="222"/>
      <c r="I48" s="222"/>
      <c r="J48" s="222"/>
      <c r="K48" s="222"/>
      <c r="L48" s="222"/>
      <c r="M48" s="223"/>
      <c r="N48" s="223"/>
      <c r="Q48" s="247"/>
    </row>
    <row r="49" spans="1:17" ht="12.75">
      <c r="A49" s="235" t="s">
        <v>155</v>
      </c>
      <c r="B49" s="244" t="s">
        <v>52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8"/>
      <c r="N49" s="48"/>
      <c r="Q49" s="247"/>
    </row>
    <row r="50" spans="1:17" ht="12.75">
      <c r="A50" s="34"/>
      <c r="B50" s="71" t="s">
        <v>164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8">
        <v>80000</v>
      </c>
      <c r="N50" s="48"/>
      <c r="Q50" s="247"/>
    </row>
    <row r="51" spans="1:17" ht="12.75">
      <c r="A51" s="34"/>
      <c r="B51" s="71" t="s">
        <v>51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8">
        <v>60000</v>
      </c>
      <c r="N51" s="48"/>
      <c r="Q51" s="247"/>
    </row>
    <row r="52" spans="1:17" ht="12.75">
      <c r="A52" s="34"/>
      <c r="B52" s="39" t="s">
        <v>150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8"/>
      <c r="N52" s="48"/>
      <c r="Q52" s="247"/>
    </row>
    <row r="53" spans="1:17" ht="12.75">
      <c r="A53" s="34"/>
      <c r="B53" s="71" t="s">
        <v>45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8">
        <v>80000</v>
      </c>
      <c r="N53" s="48"/>
      <c r="Q53" s="247"/>
    </row>
    <row r="54" spans="1:17" ht="12.75">
      <c r="A54" s="34"/>
      <c r="B54" s="71" t="s">
        <v>151</v>
      </c>
      <c r="C54" s="40"/>
      <c r="D54" s="41"/>
      <c r="E54" s="41"/>
      <c r="F54" s="41"/>
      <c r="G54" s="41"/>
      <c r="H54" s="41"/>
      <c r="I54" s="41"/>
      <c r="J54" s="41"/>
      <c r="K54" s="41">
        <v>480</v>
      </c>
      <c r="L54" s="41">
        <v>80</v>
      </c>
      <c r="M54" s="48">
        <v>4000</v>
      </c>
      <c r="N54" s="48"/>
      <c r="Q54" s="247"/>
    </row>
    <row r="55" spans="1:17" ht="12.75">
      <c r="A55" s="34"/>
      <c r="B55" s="71" t="s">
        <v>148</v>
      </c>
      <c r="C55" s="40"/>
      <c r="D55" s="41"/>
      <c r="E55" s="41"/>
      <c r="F55" s="41"/>
      <c r="G55" s="41"/>
      <c r="H55" s="41"/>
      <c r="I55" s="41"/>
      <c r="J55" s="41"/>
      <c r="K55" s="41">
        <v>144</v>
      </c>
      <c r="L55" s="41">
        <v>40</v>
      </c>
      <c r="M55" s="48">
        <v>4680</v>
      </c>
      <c r="N55" s="48"/>
      <c r="Q55" s="247"/>
    </row>
    <row r="56" spans="1:17" ht="12.75">
      <c r="A56" s="34"/>
      <c r="B56" s="71" t="s">
        <v>50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8">
        <v>8000</v>
      </c>
      <c r="N56" s="48"/>
      <c r="Q56" s="247"/>
    </row>
    <row r="57" spans="1:17" ht="22.5">
      <c r="A57" s="34"/>
      <c r="B57" s="71" t="s">
        <v>152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8">
        <v>8000</v>
      </c>
      <c r="N57" s="48"/>
      <c r="Q57" s="247"/>
    </row>
    <row r="58" spans="1:17" ht="13.5" thickBot="1">
      <c r="A58" s="34"/>
      <c r="B58" s="71" t="s">
        <v>165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8">
        <v>8000</v>
      </c>
      <c r="N58" s="48"/>
      <c r="Q58" s="247"/>
    </row>
    <row r="59" spans="1:17" ht="12.75">
      <c r="A59" s="224" t="s">
        <v>156</v>
      </c>
      <c r="B59" s="220" t="s">
        <v>48</v>
      </c>
      <c r="C59" s="221"/>
      <c r="D59" s="222"/>
      <c r="E59" s="222"/>
      <c r="F59" s="222"/>
      <c r="G59" s="222"/>
      <c r="H59" s="222"/>
      <c r="I59" s="222"/>
      <c r="J59" s="222"/>
      <c r="K59" s="222"/>
      <c r="L59" s="222"/>
      <c r="M59" s="223"/>
      <c r="N59" s="223"/>
      <c r="Q59" s="247"/>
    </row>
    <row r="60" spans="1:17" ht="12.75">
      <c r="A60" s="34"/>
      <c r="B60" s="71" t="s">
        <v>120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8">
        <v>8000</v>
      </c>
      <c r="N60" s="48"/>
      <c r="P60" s="13"/>
      <c r="Q60" s="247"/>
    </row>
    <row r="61" spans="1:17" ht="12.75">
      <c r="A61" s="34"/>
      <c r="B61" s="71" t="s">
        <v>121</v>
      </c>
      <c r="C61" s="40"/>
      <c r="D61" s="41"/>
      <c r="E61" s="41"/>
      <c r="F61" s="41"/>
      <c r="G61" s="41"/>
      <c r="H61" s="41"/>
      <c r="I61" s="41"/>
      <c r="J61" s="41"/>
      <c r="K61" s="41"/>
      <c r="L61" s="41">
        <v>432</v>
      </c>
      <c r="M61" s="48"/>
      <c r="N61" s="48"/>
      <c r="O61" s="120"/>
      <c r="P61" s="17"/>
      <c r="Q61" s="247"/>
    </row>
    <row r="62" spans="1:17" ht="12.75">
      <c r="A62" s="34"/>
      <c r="B62" s="39" t="s">
        <v>46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8">
        <v>10000</v>
      </c>
      <c r="N62" s="48"/>
      <c r="O62" s="120"/>
      <c r="P62" s="17"/>
      <c r="Q62" s="247"/>
    </row>
    <row r="63" spans="1:17" ht="13.5" thickBot="1">
      <c r="A63" s="34"/>
      <c r="B63" s="39" t="s">
        <v>47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8">
        <v>20000</v>
      </c>
      <c r="N63" s="48"/>
      <c r="O63" s="120"/>
      <c r="P63" s="17"/>
      <c r="Q63" s="247"/>
    </row>
    <row r="64" spans="1:17" ht="12.75">
      <c r="A64" s="34"/>
      <c r="B64" s="39" t="s">
        <v>49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8">
        <v>5000</v>
      </c>
      <c r="N64" s="48"/>
      <c r="O64" s="187" t="s">
        <v>137</v>
      </c>
      <c r="Q64" s="247"/>
    </row>
    <row r="65" spans="1:17" s="38" customFormat="1" ht="11.25">
      <c r="A65" s="34"/>
      <c r="B65" s="118" t="s">
        <v>153</v>
      </c>
      <c r="C65" s="35"/>
      <c r="D65" s="9"/>
      <c r="E65" s="9"/>
      <c r="F65" s="9"/>
      <c r="G65" s="25">
        <f aca="true" t="shared" si="3" ref="G65:M65">SUM(G50:G64)</f>
        <v>0</v>
      </c>
      <c r="H65" s="25">
        <f t="shared" si="3"/>
        <v>0</v>
      </c>
      <c r="I65" s="25">
        <f t="shared" si="3"/>
        <v>0</v>
      </c>
      <c r="J65" s="25">
        <f t="shared" si="3"/>
        <v>0</v>
      </c>
      <c r="K65" s="25">
        <f t="shared" si="3"/>
        <v>624</v>
      </c>
      <c r="L65" s="25">
        <f t="shared" si="3"/>
        <v>552</v>
      </c>
      <c r="M65" s="10">
        <f t="shared" si="3"/>
        <v>295680</v>
      </c>
      <c r="N65" s="10">
        <f>M65*(1+$I$5)</f>
        <v>395915.52</v>
      </c>
      <c r="O65" s="708">
        <f>N65+L66+K66</f>
        <v>511721.04000000004</v>
      </c>
      <c r="P65" s="37"/>
      <c r="Q65" s="251"/>
    </row>
    <row r="66" spans="1:17" ht="13.5" thickBot="1">
      <c r="A66" s="72"/>
      <c r="B66" s="175" t="s">
        <v>154</v>
      </c>
      <c r="C66" s="173"/>
      <c r="D66" s="174"/>
      <c r="E66" s="174"/>
      <c r="F66" s="174"/>
      <c r="G66" s="174"/>
      <c r="H66" s="174"/>
      <c r="I66" s="174"/>
      <c r="J66" s="174"/>
      <c r="K66" s="43">
        <f>K65*M3</f>
        <v>70337.28</v>
      </c>
      <c r="L66" s="43">
        <f>L65*M4</f>
        <v>45468.240000000005</v>
      </c>
      <c r="M66" s="43"/>
      <c r="N66" s="49"/>
      <c r="O66" s="188"/>
      <c r="Q66" s="247"/>
    </row>
    <row r="67" ht="13.5" thickBot="1">
      <c r="Q67" s="247"/>
    </row>
    <row r="68" spans="1:17" ht="12.75">
      <c r="A68" s="62" t="s">
        <v>11</v>
      </c>
      <c r="B68" s="76" t="s">
        <v>13</v>
      </c>
      <c r="C68" s="63"/>
      <c r="D68" s="4" t="s">
        <v>6</v>
      </c>
      <c r="E68" s="4" t="s">
        <v>4</v>
      </c>
      <c r="F68" s="4" t="s">
        <v>3</v>
      </c>
      <c r="G68" s="4" t="s">
        <v>27</v>
      </c>
      <c r="H68" s="77"/>
      <c r="I68" s="134"/>
      <c r="J68" s="6"/>
      <c r="Q68" s="247"/>
    </row>
    <row r="69" spans="1:17" s="1" customFormat="1" ht="13.5" thickBot="1">
      <c r="A69" s="64" t="s">
        <v>12</v>
      </c>
      <c r="B69" s="78"/>
      <c r="C69" s="79"/>
      <c r="D69" s="5" t="s">
        <v>7</v>
      </c>
      <c r="E69" s="5" t="s">
        <v>5</v>
      </c>
      <c r="F69" s="5" t="s">
        <v>141</v>
      </c>
      <c r="G69" s="5" t="s">
        <v>23</v>
      </c>
      <c r="H69" s="5"/>
      <c r="I69" s="134"/>
      <c r="J69" s="6"/>
      <c r="K69" s="36"/>
      <c r="L69" s="36"/>
      <c r="M69" s="50"/>
      <c r="N69" s="50"/>
      <c r="O69" s="36"/>
      <c r="P69" s="13"/>
      <c r="Q69" s="252"/>
    </row>
    <row r="70" spans="1:17" ht="13.5" thickBot="1">
      <c r="A70" s="202">
        <v>6</v>
      </c>
      <c r="B70" s="237" t="s">
        <v>69</v>
      </c>
      <c r="C70" s="204"/>
      <c r="D70" s="205">
        <f>SUM(D71:D75)</f>
        <v>21</v>
      </c>
      <c r="E70" s="210" t="s">
        <v>10</v>
      </c>
      <c r="F70" s="206"/>
      <c r="G70" s="206"/>
      <c r="H70" s="131"/>
      <c r="I70" s="134"/>
      <c r="J70" s="6"/>
      <c r="Q70" s="247"/>
    </row>
    <row r="71" spans="1:17" s="3" customFormat="1" ht="12.75">
      <c r="A71" s="236" t="s">
        <v>145</v>
      </c>
      <c r="B71" s="140" t="s">
        <v>68</v>
      </c>
      <c r="C71" s="80"/>
      <c r="D71" s="18"/>
      <c r="E71" s="22"/>
      <c r="F71" s="22"/>
      <c r="G71" s="157"/>
      <c r="H71" s="238"/>
      <c r="I71" s="189"/>
      <c r="J71" s="189" t="s">
        <v>102</v>
      </c>
      <c r="K71" s="189" t="s">
        <v>103</v>
      </c>
      <c r="L71" s="44"/>
      <c r="M71" s="51"/>
      <c r="N71" s="51"/>
      <c r="O71" s="119"/>
      <c r="P71" s="14"/>
      <c r="Q71" s="247"/>
    </row>
    <row r="72" spans="1:17" s="3" customFormat="1" ht="12.75">
      <c r="A72" s="213"/>
      <c r="B72" s="82" t="s">
        <v>8</v>
      </c>
      <c r="C72" s="80"/>
      <c r="D72" s="22">
        <v>3</v>
      </c>
      <c r="E72" s="22">
        <v>1</v>
      </c>
      <c r="F72" s="22">
        <v>2</v>
      </c>
      <c r="G72" s="55">
        <f>F72*E72*D72*8</f>
        <v>48</v>
      </c>
      <c r="H72" s="238"/>
      <c r="I72" s="25" t="s">
        <v>124</v>
      </c>
      <c r="J72" s="9">
        <f>G74+G73+G72</f>
        <v>336</v>
      </c>
      <c r="K72" s="706">
        <f>J72*M4</f>
        <v>27676.32</v>
      </c>
      <c r="L72" s="44"/>
      <c r="M72" s="51"/>
      <c r="N72" s="51"/>
      <c r="O72" s="119"/>
      <c r="P72" s="14"/>
      <c r="Q72" s="247"/>
    </row>
    <row r="73" spans="1:17" s="3" customFormat="1" ht="13.5" thickBot="1">
      <c r="A73" s="214" t="s">
        <v>143</v>
      </c>
      <c r="B73" s="140" t="s">
        <v>67</v>
      </c>
      <c r="C73" s="80"/>
      <c r="D73" s="22">
        <v>18</v>
      </c>
      <c r="E73" s="22">
        <v>1</v>
      </c>
      <c r="F73" s="22">
        <v>2</v>
      </c>
      <c r="G73" s="55">
        <f>F73*E73*D73*8</f>
        <v>288</v>
      </c>
      <c r="H73" s="238"/>
      <c r="I73" s="174"/>
      <c r="J73" s="174"/>
      <c r="K73" s="174"/>
      <c r="L73" s="44"/>
      <c r="M73" s="51"/>
      <c r="N73" s="51"/>
      <c r="O73" s="119"/>
      <c r="P73" s="14"/>
      <c r="Q73" s="247"/>
    </row>
    <row r="74" spans="1:17" s="3" customFormat="1" ht="12.75">
      <c r="A74" s="214" t="s">
        <v>144</v>
      </c>
      <c r="B74" s="140" t="s">
        <v>75</v>
      </c>
      <c r="C74" s="80"/>
      <c r="D74" s="22">
        <v>0</v>
      </c>
      <c r="E74" s="22">
        <v>0</v>
      </c>
      <c r="F74" s="22">
        <v>0</v>
      </c>
      <c r="G74" s="55">
        <f>F74*E74*D74*8</f>
        <v>0</v>
      </c>
      <c r="H74" s="238"/>
      <c r="I74" s="44"/>
      <c r="J74" s="44"/>
      <c r="K74" s="44"/>
      <c r="L74" s="44"/>
      <c r="M74" s="51"/>
      <c r="N74" s="51"/>
      <c r="O74" s="119"/>
      <c r="P74" s="14"/>
      <c r="Q74" s="247"/>
    </row>
    <row r="75" spans="1:17" s="3" customFormat="1" ht="13.5" thickBot="1">
      <c r="A75" s="215"/>
      <c r="B75" s="137"/>
      <c r="C75" s="84"/>
      <c r="D75" s="85"/>
      <c r="E75" s="85"/>
      <c r="F75" s="85"/>
      <c r="G75" s="56"/>
      <c r="H75" s="89"/>
      <c r="I75" s="44"/>
      <c r="J75" s="44"/>
      <c r="K75" s="45"/>
      <c r="L75" s="44"/>
      <c r="M75" s="51"/>
      <c r="N75" s="51"/>
      <c r="O75" s="119"/>
      <c r="P75" s="14"/>
      <c r="Q75" s="247"/>
    </row>
    <row r="76" spans="1:17" s="3" customFormat="1" ht="12.75">
      <c r="A76" s="86"/>
      <c r="B76" s="87"/>
      <c r="C76" s="80"/>
      <c r="D76" s="45"/>
      <c r="E76" s="45"/>
      <c r="F76" s="45"/>
      <c r="G76" s="45"/>
      <c r="H76" s="45"/>
      <c r="I76" s="44"/>
      <c r="J76" s="44"/>
      <c r="K76" s="44"/>
      <c r="L76" s="44"/>
      <c r="M76" s="51"/>
      <c r="N76" s="51"/>
      <c r="O76" s="119"/>
      <c r="P76" s="14"/>
      <c r="Q76" s="247"/>
    </row>
    <row r="77" spans="1:17" s="3" customFormat="1" ht="13.5" thickBot="1">
      <c r="A77" s="86"/>
      <c r="B77" s="87"/>
      <c r="C77" s="80"/>
      <c r="D77" s="90"/>
      <c r="E77" s="45"/>
      <c r="F77" s="45"/>
      <c r="G77" s="45"/>
      <c r="H77" s="45"/>
      <c r="I77" s="91"/>
      <c r="J77" s="44"/>
      <c r="K77" s="44"/>
      <c r="L77" s="44"/>
      <c r="M77" s="51"/>
      <c r="N77" s="51"/>
      <c r="O77" s="119"/>
      <c r="P77" s="14"/>
      <c r="Q77" s="247"/>
    </row>
    <row r="78" spans="1:17" s="3" customFormat="1" ht="12.75">
      <c r="A78" s="62" t="s">
        <v>11</v>
      </c>
      <c r="B78" s="76" t="s">
        <v>13</v>
      </c>
      <c r="C78" s="63"/>
      <c r="D78" s="4" t="s">
        <v>6</v>
      </c>
      <c r="E78" s="4" t="s">
        <v>4</v>
      </c>
      <c r="F78" s="4" t="s">
        <v>3</v>
      </c>
      <c r="G78" s="4" t="s">
        <v>3</v>
      </c>
      <c r="H78" s="77"/>
      <c r="I78" s="4" t="s">
        <v>6</v>
      </c>
      <c r="J78" s="4" t="s">
        <v>4</v>
      </c>
      <c r="K78" s="4" t="s">
        <v>3</v>
      </c>
      <c r="L78" s="4" t="s">
        <v>3</v>
      </c>
      <c r="M78" s="15" t="s">
        <v>3</v>
      </c>
      <c r="N78" s="15" t="s">
        <v>24</v>
      </c>
      <c r="O78" s="4" t="s">
        <v>21</v>
      </c>
      <c r="P78" s="11"/>
      <c r="Q78" s="247"/>
    </row>
    <row r="79" spans="1:17" s="3" customFormat="1" ht="13.5" thickBot="1">
      <c r="A79" s="64" t="s">
        <v>12</v>
      </c>
      <c r="B79" s="78"/>
      <c r="C79" s="79"/>
      <c r="D79" s="5" t="s">
        <v>7</v>
      </c>
      <c r="E79" s="5" t="s">
        <v>5</v>
      </c>
      <c r="F79" s="5" t="s">
        <v>2</v>
      </c>
      <c r="G79" s="5" t="s">
        <v>23</v>
      </c>
      <c r="H79" s="5"/>
      <c r="I79" s="5" t="s">
        <v>7</v>
      </c>
      <c r="J79" s="5" t="s">
        <v>5</v>
      </c>
      <c r="K79" s="5" t="s">
        <v>2</v>
      </c>
      <c r="L79" s="5" t="s">
        <v>23</v>
      </c>
      <c r="M79" s="16" t="s">
        <v>20</v>
      </c>
      <c r="N79" s="16" t="s">
        <v>25</v>
      </c>
      <c r="O79" s="5" t="s">
        <v>24</v>
      </c>
      <c r="P79" s="11"/>
      <c r="Q79" s="247"/>
    </row>
    <row r="80" spans="1:17" ht="12.75">
      <c r="A80" s="209">
        <v>7</v>
      </c>
      <c r="B80" s="237" t="s">
        <v>76</v>
      </c>
      <c r="C80" s="204"/>
      <c r="D80" s="242">
        <f>D81+D84</f>
        <v>18</v>
      </c>
      <c r="E80" s="210" t="s">
        <v>22</v>
      </c>
      <c r="F80" s="206"/>
      <c r="G80" s="206"/>
      <c r="H80" s="136"/>
      <c r="I80" s="205">
        <f>I81+I84</f>
        <v>8.5</v>
      </c>
      <c r="J80" s="210" t="s">
        <v>99</v>
      </c>
      <c r="K80" s="206"/>
      <c r="L80" s="206"/>
      <c r="M80" s="243"/>
      <c r="N80" s="243"/>
      <c r="O80" s="218"/>
      <c r="Q80" s="247"/>
    </row>
    <row r="81" spans="1:17" s="3" customFormat="1" ht="12.75">
      <c r="A81" s="236" t="s">
        <v>142</v>
      </c>
      <c r="B81" s="87" t="s">
        <v>77</v>
      </c>
      <c r="C81" s="80"/>
      <c r="D81" s="18">
        <f>SUM(D82:D83)</f>
        <v>3</v>
      </c>
      <c r="E81" s="18"/>
      <c r="F81" s="22"/>
      <c r="G81" s="6">
        <f>SUM(G82:G83)</f>
        <v>72</v>
      </c>
      <c r="H81" s="239"/>
      <c r="I81" s="25">
        <f>SUM(I82:I83)</f>
        <v>1</v>
      </c>
      <c r="J81" s="9"/>
      <c r="K81" s="9"/>
      <c r="L81" s="25">
        <f>SUM(L82:L83)</f>
        <v>16</v>
      </c>
      <c r="M81" s="246">
        <v>17</v>
      </c>
      <c r="N81" s="67">
        <f>L81*M81</f>
        <v>272</v>
      </c>
      <c r="O81" s="121">
        <f>N81+G81</f>
        <v>344</v>
      </c>
      <c r="P81" s="14"/>
      <c r="Q81" s="247"/>
    </row>
    <row r="82" spans="1:17" ht="12.75">
      <c r="A82" s="214"/>
      <c r="B82" s="82" t="s">
        <v>78</v>
      </c>
      <c r="C82" s="83"/>
      <c r="D82" s="41">
        <v>3</v>
      </c>
      <c r="E82" s="41">
        <v>1</v>
      </c>
      <c r="F82" s="41">
        <v>3</v>
      </c>
      <c r="G82" s="46">
        <f>F82*E82*D82*8</f>
        <v>72</v>
      </c>
      <c r="H82" s="239"/>
      <c r="I82" s="41">
        <v>1</v>
      </c>
      <c r="J82" s="41">
        <v>1</v>
      </c>
      <c r="K82" s="41">
        <v>2</v>
      </c>
      <c r="L82" s="41">
        <f>K82*J82*I82*8</f>
        <v>16</v>
      </c>
      <c r="M82" s="124"/>
      <c r="N82" s="125"/>
      <c r="O82" s="121"/>
      <c r="Q82" s="247"/>
    </row>
    <row r="83" spans="1:17" ht="12.75">
      <c r="A83" s="214"/>
      <c r="B83" s="82"/>
      <c r="C83" s="83"/>
      <c r="D83" s="41"/>
      <c r="E83" s="41"/>
      <c r="F83" s="41">
        <v>3</v>
      </c>
      <c r="G83" s="46"/>
      <c r="H83" s="239"/>
      <c r="I83" s="41"/>
      <c r="J83" s="41"/>
      <c r="K83" s="41"/>
      <c r="L83" s="41"/>
      <c r="M83" s="124"/>
      <c r="N83" s="125"/>
      <c r="O83" s="121"/>
      <c r="Q83" s="247"/>
    </row>
    <row r="84" spans="1:17" s="1" customFormat="1" ht="12.75">
      <c r="A84" s="214" t="s">
        <v>157</v>
      </c>
      <c r="B84" s="140" t="s">
        <v>87</v>
      </c>
      <c r="C84" s="138"/>
      <c r="D84" s="123">
        <f>SUM(D85:D93)</f>
        <v>15</v>
      </c>
      <c r="E84" s="123"/>
      <c r="F84" s="123"/>
      <c r="G84" s="139">
        <f>SUM(G85:G92)</f>
        <v>224</v>
      </c>
      <c r="H84" s="240"/>
      <c r="I84" s="25">
        <f>SUM(I85:I93)</f>
        <v>7.5</v>
      </c>
      <c r="J84" s="25"/>
      <c r="K84" s="25"/>
      <c r="L84" s="25">
        <f>SUM(L85:L93)</f>
        <v>128</v>
      </c>
      <c r="M84" s="245">
        <v>17</v>
      </c>
      <c r="N84" s="67">
        <f>L84*M84</f>
        <v>2176</v>
      </c>
      <c r="O84" s="121">
        <f>N84+G84</f>
        <v>2400</v>
      </c>
      <c r="P84" s="13"/>
      <c r="Q84" s="252"/>
    </row>
    <row r="85" spans="1:17" s="3" customFormat="1" ht="12.75">
      <c r="A85" s="214"/>
      <c r="B85" s="82" t="s">
        <v>85</v>
      </c>
      <c r="C85" s="80"/>
      <c r="D85" s="22">
        <v>4</v>
      </c>
      <c r="E85" s="22">
        <v>1</v>
      </c>
      <c r="F85" s="22">
        <v>2</v>
      </c>
      <c r="G85" s="46">
        <f aca="true" t="shared" si="4" ref="G85:G93">F85*E85*D85*8</f>
        <v>64</v>
      </c>
      <c r="H85" s="239"/>
      <c r="I85" s="22">
        <v>1</v>
      </c>
      <c r="J85" s="22">
        <v>1</v>
      </c>
      <c r="K85" s="22">
        <v>2</v>
      </c>
      <c r="L85" s="41">
        <f aca="true" t="shared" si="5" ref="L85:L93">K85*J85*I85*8</f>
        <v>16</v>
      </c>
      <c r="M85" s="126">
        <v>17</v>
      </c>
      <c r="N85" s="65"/>
      <c r="O85" s="121"/>
      <c r="P85" s="14"/>
      <c r="Q85" s="247"/>
    </row>
    <row r="86" spans="1:17" ht="12.75">
      <c r="A86" s="214"/>
      <c r="B86" s="82" t="s">
        <v>86</v>
      </c>
      <c r="C86" s="83"/>
      <c r="D86" s="41">
        <v>0</v>
      </c>
      <c r="E86" s="41">
        <v>0</v>
      </c>
      <c r="F86" s="41">
        <v>0</v>
      </c>
      <c r="G86" s="46">
        <f t="shared" si="4"/>
        <v>0</v>
      </c>
      <c r="H86" s="239"/>
      <c r="I86" s="41">
        <v>0</v>
      </c>
      <c r="J86" s="41">
        <v>0</v>
      </c>
      <c r="K86" s="41">
        <v>0</v>
      </c>
      <c r="L86" s="41">
        <f t="shared" si="5"/>
        <v>0</v>
      </c>
      <c r="M86" s="124"/>
      <c r="N86" s="125"/>
      <c r="O86" s="121"/>
      <c r="Q86" s="247"/>
    </row>
    <row r="87" spans="1:17" ht="12.75">
      <c r="A87" s="214"/>
      <c r="B87" s="82" t="s">
        <v>79</v>
      </c>
      <c r="C87" s="83"/>
      <c r="D87" s="41">
        <v>4</v>
      </c>
      <c r="E87" s="41">
        <v>1</v>
      </c>
      <c r="F87" s="41">
        <v>2</v>
      </c>
      <c r="G87" s="46">
        <f t="shared" si="4"/>
        <v>64</v>
      </c>
      <c r="H87" s="239"/>
      <c r="I87" s="41">
        <v>1</v>
      </c>
      <c r="J87" s="41">
        <v>1</v>
      </c>
      <c r="K87" s="41">
        <v>2</v>
      </c>
      <c r="L87" s="41">
        <f t="shared" si="5"/>
        <v>16</v>
      </c>
      <c r="M87" s="124"/>
      <c r="N87" s="125"/>
      <c r="O87" s="121"/>
      <c r="Q87" s="247"/>
    </row>
    <row r="88" spans="1:17" ht="12.75">
      <c r="A88" s="213"/>
      <c r="B88" s="82" t="s">
        <v>80</v>
      </c>
      <c r="C88" s="83"/>
      <c r="D88" s="41">
        <v>2</v>
      </c>
      <c r="E88" s="41">
        <v>1</v>
      </c>
      <c r="F88" s="41">
        <v>2</v>
      </c>
      <c r="G88" s="46">
        <f t="shared" si="4"/>
        <v>32</v>
      </c>
      <c r="H88" s="239"/>
      <c r="I88" s="41">
        <v>1</v>
      </c>
      <c r="J88" s="41">
        <v>1</v>
      </c>
      <c r="K88" s="41">
        <v>2</v>
      </c>
      <c r="L88" s="41">
        <f t="shared" si="5"/>
        <v>16</v>
      </c>
      <c r="M88" s="124"/>
      <c r="N88" s="125"/>
      <c r="O88" s="121"/>
      <c r="Q88" s="247"/>
    </row>
    <row r="89" spans="1:17" ht="12.75">
      <c r="A89" s="213"/>
      <c r="B89" s="82" t="s">
        <v>81</v>
      </c>
      <c r="C89" s="83"/>
      <c r="D89" s="41">
        <v>1</v>
      </c>
      <c r="E89" s="41">
        <v>1</v>
      </c>
      <c r="F89" s="41">
        <v>2</v>
      </c>
      <c r="G89" s="46">
        <f t="shared" si="4"/>
        <v>16</v>
      </c>
      <c r="H89" s="239"/>
      <c r="I89" s="41">
        <v>1</v>
      </c>
      <c r="J89" s="41">
        <v>1</v>
      </c>
      <c r="K89" s="41">
        <v>2</v>
      </c>
      <c r="L89" s="41">
        <f t="shared" si="5"/>
        <v>16</v>
      </c>
      <c r="M89" s="124"/>
      <c r="N89" s="125"/>
      <c r="O89" s="121"/>
      <c r="Q89" s="247"/>
    </row>
    <row r="90" spans="1:19" ht="12.75">
      <c r="A90" s="213"/>
      <c r="B90" s="82" t="s">
        <v>82</v>
      </c>
      <c r="C90" s="83"/>
      <c r="D90" s="41">
        <v>1</v>
      </c>
      <c r="E90" s="41">
        <v>1</v>
      </c>
      <c r="F90" s="41">
        <v>2</v>
      </c>
      <c r="G90" s="46">
        <f t="shared" si="4"/>
        <v>16</v>
      </c>
      <c r="H90" s="239"/>
      <c r="I90" s="41">
        <v>1</v>
      </c>
      <c r="J90" s="41">
        <v>1</v>
      </c>
      <c r="K90" s="41">
        <v>2</v>
      </c>
      <c r="L90" s="41">
        <f t="shared" si="5"/>
        <v>16</v>
      </c>
      <c r="M90" s="124"/>
      <c r="N90" s="125"/>
      <c r="O90" s="121"/>
      <c r="Q90" s="247"/>
      <c r="S90" s="707"/>
    </row>
    <row r="91" spans="1:17" ht="13.5" thickBot="1">
      <c r="A91" s="213"/>
      <c r="B91" s="82" t="s">
        <v>83</v>
      </c>
      <c r="C91" s="83"/>
      <c r="D91" s="41">
        <v>1</v>
      </c>
      <c r="E91" s="41">
        <v>1</v>
      </c>
      <c r="F91" s="41">
        <v>2</v>
      </c>
      <c r="G91" s="46">
        <f t="shared" si="4"/>
        <v>16</v>
      </c>
      <c r="H91" s="239"/>
      <c r="I91" s="41">
        <v>1</v>
      </c>
      <c r="J91" s="41">
        <v>1</v>
      </c>
      <c r="K91" s="41">
        <v>2</v>
      </c>
      <c r="L91" s="41">
        <f t="shared" si="5"/>
        <v>16</v>
      </c>
      <c r="M91" s="124"/>
      <c r="N91" s="125"/>
      <c r="O91" s="121"/>
      <c r="Q91" s="247"/>
    </row>
    <row r="92" spans="1:17" ht="12.75">
      <c r="A92" s="213"/>
      <c r="B92" s="82" t="s">
        <v>84</v>
      </c>
      <c r="C92" s="83"/>
      <c r="D92" s="41">
        <v>1</v>
      </c>
      <c r="E92" s="41">
        <v>1</v>
      </c>
      <c r="F92" s="41">
        <v>2</v>
      </c>
      <c r="G92" s="46">
        <f t="shared" si="4"/>
        <v>16</v>
      </c>
      <c r="H92" s="239"/>
      <c r="I92" s="41">
        <v>0.5</v>
      </c>
      <c r="J92" s="41">
        <v>1</v>
      </c>
      <c r="K92" s="41">
        <v>2</v>
      </c>
      <c r="L92" s="41">
        <f t="shared" si="5"/>
        <v>8</v>
      </c>
      <c r="M92" s="124"/>
      <c r="N92" s="190"/>
      <c r="O92" s="187">
        <f>SUM(O81:O91)</f>
        <v>2744</v>
      </c>
      <c r="Q92" s="247"/>
    </row>
    <row r="93" spans="1:17" ht="12.75">
      <c r="A93" s="213"/>
      <c r="B93" s="82" t="s">
        <v>88</v>
      </c>
      <c r="C93" s="83"/>
      <c r="D93" s="41">
        <v>1</v>
      </c>
      <c r="E93" s="41">
        <v>1</v>
      </c>
      <c r="F93" s="41">
        <v>3</v>
      </c>
      <c r="G93" s="46">
        <f t="shared" si="4"/>
        <v>24</v>
      </c>
      <c r="H93" s="239"/>
      <c r="I93" s="41">
        <v>1</v>
      </c>
      <c r="J93" s="41">
        <v>1</v>
      </c>
      <c r="K93" s="41">
        <v>3</v>
      </c>
      <c r="L93" s="41">
        <f t="shared" si="5"/>
        <v>24</v>
      </c>
      <c r="M93" s="124"/>
      <c r="N93" s="25" t="s">
        <v>21</v>
      </c>
      <c r="O93" s="706">
        <f>O92*M4</f>
        <v>226023.28</v>
      </c>
      <c r="Q93" s="247"/>
    </row>
    <row r="94" spans="1:17" ht="13.5" thickBot="1">
      <c r="A94" s="215"/>
      <c r="B94" s="94"/>
      <c r="C94" s="95"/>
      <c r="D94" s="54"/>
      <c r="E94" s="54"/>
      <c r="F94" s="54"/>
      <c r="G94" s="58"/>
      <c r="H94" s="241"/>
      <c r="I94" s="54"/>
      <c r="J94" s="54"/>
      <c r="K94" s="54"/>
      <c r="L94" s="54"/>
      <c r="M94" s="128"/>
      <c r="N94" s="43"/>
      <c r="O94" s="167"/>
      <c r="Q94" s="247"/>
    </row>
    <row r="95" spans="1:17" ht="12.75">
      <c r="A95" s="202">
        <v>8</v>
      </c>
      <c r="B95" s="203" t="s">
        <v>89</v>
      </c>
      <c r="C95" s="204"/>
      <c r="D95" s="205">
        <f>SUM(D96:D104)</f>
        <v>8</v>
      </c>
      <c r="E95" s="210" t="s">
        <v>22</v>
      </c>
      <c r="F95" s="206"/>
      <c r="G95" s="206"/>
      <c r="H95" s="136"/>
      <c r="I95" s="205">
        <f>SUM(I96:I104)</f>
        <v>5</v>
      </c>
      <c r="J95" s="210" t="s">
        <v>99</v>
      </c>
      <c r="K95" s="206"/>
      <c r="L95" s="206"/>
      <c r="M95" s="243"/>
      <c r="N95" s="243"/>
      <c r="O95" s="146"/>
      <c r="Q95" s="247"/>
    </row>
    <row r="96" spans="1:17" s="3" customFormat="1" ht="12.75">
      <c r="A96" s="216" t="s">
        <v>158</v>
      </c>
      <c r="B96" s="87" t="s">
        <v>90</v>
      </c>
      <c r="C96" s="80"/>
      <c r="D96" s="18">
        <v>4</v>
      </c>
      <c r="E96" s="22">
        <v>1</v>
      </c>
      <c r="F96" s="22">
        <v>2</v>
      </c>
      <c r="G96" s="55">
        <f>F96*E96*D96*8</f>
        <v>64</v>
      </c>
      <c r="H96" s="165"/>
      <c r="I96" s="685">
        <v>3</v>
      </c>
      <c r="J96" s="22">
        <v>1</v>
      </c>
      <c r="K96" s="22">
        <v>2</v>
      </c>
      <c r="L96" s="22">
        <f>K96*J96*I96*8</f>
        <v>48</v>
      </c>
      <c r="M96" s="126">
        <v>17</v>
      </c>
      <c r="N96" s="127">
        <f>M96*L96</f>
        <v>816</v>
      </c>
      <c r="O96" s="67">
        <f>N96+G96</f>
        <v>880</v>
      </c>
      <c r="P96" s="14"/>
      <c r="Q96" s="247"/>
    </row>
    <row r="97" spans="1:17" s="3" customFormat="1" ht="12.75">
      <c r="A97" s="216"/>
      <c r="B97" s="87" t="s">
        <v>91</v>
      </c>
      <c r="C97" s="80"/>
      <c r="D97" s="18"/>
      <c r="E97" s="22"/>
      <c r="F97" s="22"/>
      <c r="G97" s="55"/>
      <c r="H97" s="165"/>
      <c r="I97" s="142"/>
      <c r="J97" s="22"/>
      <c r="K97" s="22"/>
      <c r="L97" s="22"/>
      <c r="M97" s="126"/>
      <c r="N97" s="127"/>
      <c r="O97" s="25"/>
      <c r="P97" s="14"/>
      <c r="Q97" s="247"/>
    </row>
    <row r="98" spans="1:17" s="3" customFormat="1" ht="22.5">
      <c r="A98" s="216"/>
      <c r="B98" s="87" t="s">
        <v>92</v>
      </c>
      <c r="C98" s="80"/>
      <c r="D98" s="18"/>
      <c r="E98" s="22"/>
      <c r="F98" s="22"/>
      <c r="G98" s="55"/>
      <c r="H98" s="165"/>
      <c r="I98" s="142"/>
      <c r="J98" s="22"/>
      <c r="K98" s="22"/>
      <c r="L98" s="22"/>
      <c r="M98" s="126"/>
      <c r="N98" s="127"/>
      <c r="O98" s="25"/>
      <c r="P98" s="14"/>
      <c r="Q98" s="247"/>
    </row>
    <row r="99" spans="1:17" s="3" customFormat="1" ht="22.5">
      <c r="A99" s="216"/>
      <c r="B99" s="87" t="s">
        <v>93</v>
      </c>
      <c r="C99" s="80"/>
      <c r="D99" s="18"/>
      <c r="E99" s="22"/>
      <c r="F99" s="22"/>
      <c r="G99" s="55"/>
      <c r="H99" s="165"/>
      <c r="I99" s="142"/>
      <c r="J99" s="22"/>
      <c r="K99" s="22"/>
      <c r="L99" s="22"/>
      <c r="M99" s="126"/>
      <c r="N99" s="127"/>
      <c r="O99" s="25"/>
      <c r="P99" s="14"/>
      <c r="Q99" s="247"/>
    </row>
    <row r="100" spans="1:17" s="3" customFormat="1" ht="12.75">
      <c r="A100" s="216"/>
      <c r="B100" s="87" t="s">
        <v>94</v>
      </c>
      <c r="C100" s="80"/>
      <c r="D100" s="18"/>
      <c r="E100" s="22"/>
      <c r="F100" s="22"/>
      <c r="G100" s="55"/>
      <c r="H100" s="165"/>
      <c r="I100" s="142"/>
      <c r="J100" s="22"/>
      <c r="K100" s="22"/>
      <c r="L100" s="22"/>
      <c r="M100" s="126"/>
      <c r="N100" s="127"/>
      <c r="O100" s="25"/>
      <c r="P100" s="14"/>
      <c r="Q100" s="247"/>
    </row>
    <row r="101" spans="1:17" s="3" customFormat="1" ht="12.75">
      <c r="A101" s="216"/>
      <c r="B101" s="87" t="s">
        <v>95</v>
      </c>
      <c r="C101" s="80"/>
      <c r="D101" s="18"/>
      <c r="E101" s="22"/>
      <c r="F101" s="22"/>
      <c r="G101" s="55"/>
      <c r="H101" s="165"/>
      <c r="I101" s="142"/>
      <c r="J101" s="22"/>
      <c r="K101" s="22"/>
      <c r="L101" s="22"/>
      <c r="M101" s="126"/>
      <c r="N101" s="127"/>
      <c r="O101" s="25"/>
      <c r="P101" s="14"/>
      <c r="Q101" s="247"/>
    </row>
    <row r="102" spans="1:17" s="3" customFormat="1" ht="12.75">
      <c r="A102" s="216"/>
      <c r="B102" s="87" t="s">
        <v>96</v>
      </c>
      <c r="C102" s="80"/>
      <c r="D102" s="22"/>
      <c r="E102" s="22"/>
      <c r="F102" s="22"/>
      <c r="G102" s="55"/>
      <c r="H102" s="165"/>
      <c r="I102" s="142"/>
      <c r="J102" s="22"/>
      <c r="K102" s="22"/>
      <c r="L102" s="22"/>
      <c r="M102" s="126"/>
      <c r="N102" s="127"/>
      <c r="O102" s="25"/>
      <c r="P102" s="14"/>
      <c r="Q102" s="247"/>
    </row>
    <row r="103" spans="1:17" s="3" customFormat="1" ht="12.75">
      <c r="A103" s="216"/>
      <c r="B103" s="87"/>
      <c r="C103" s="80"/>
      <c r="D103" s="18"/>
      <c r="E103" s="22"/>
      <c r="F103" s="22"/>
      <c r="G103" s="55"/>
      <c r="H103" s="165"/>
      <c r="I103" s="142"/>
      <c r="J103" s="22"/>
      <c r="K103" s="22"/>
      <c r="L103" s="22"/>
      <c r="M103" s="126"/>
      <c r="N103" s="127"/>
      <c r="O103" s="25"/>
      <c r="P103" s="14"/>
      <c r="Q103" s="247"/>
    </row>
    <row r="104" spans="1:17" s="3" customFormat="1" ht="12.75">
      <c r="A104" s="216" t="s">
        <v>159</v>
      </c>
      <c r="B104" s="140" t="s">
        <v>97</v>
      </c>
      <c r="C104" s="80"/>
      <c r="D104" s="22">
        <v>4</v>
      </c>
      <c r="E104" s="22">
        <v>1</v>
      </c>
      <c r="F104" s="22">
        <v>3</v>
      </c>
      <c r="G104" s="55">
        <f>F104*E104*D104*8</f>
        <v>96</v>
      </c>
      <c r="H104" s="165"/>
      <c r="I104" s="142">
        <v>2</v>
      </c>
      <c r="J104" s="22">
        <v>1</v>
      </c>
      <c r="K104" s="22">
        <v>2</v>
      </c>
      <c r="L104" s="22">
        <f>K104*J104*I104*8</f>
        <v>32</v>
      </c>
      <c r="M104" s="126">
        <v>17</v>
      </c>
      <c r="N104" s="127">
        <f>M104*L104</f>
        <v>544</v>
      </c>
      <c r="O104" s="67">
        <f>N104+G104</f>
        <v>640</v>
      </c>
      <c r="P104" s="14"/>
      <c r="Q104" s="247"/>
    </row>
    <row r="105" spans="1:17" s="3" customFormat="1" ht="12.75">
      <c r="A105" s="217"/>
      <c r="B105" s="141"/>
      <c r="C105" s="80"/>
      <c r="D105" s="22"/>
      <c r="E105" s="22"/>
      <c r="F105" s="22"/>
      <c r="G105" s="55"/>
      <c r="H105" s="165"/>
      <c r="I105" s="142"/>
      <c r="J105" s="22"/>
      <c r="K105" s="22"/>
      <c r="L105" s="22"/>
      <c r="M105" s="126"/>
      <c r="N105" s="127"/>
      <c r="O105" s="25"/>
      <c r="P105" s="14"/>
      <c r="Q105" s="247"/>
    </row>
    <row r="106" spans="1:17" s="3" customFormat="1" ht="13.5" thickBot="1">
      <c r="A106" s="217"/>
      <c r="B106" s="141"/>
      <c r="C106" s="80"/>
      <c r="D106" s="22"/>
      <c r="E106" s="22"/>
      <c r="F106" s="22"/>
      <c r="G106" s="55"/>
      <c r="H106" s="165"/>
      <c r="I106" s="143"/>
      <c r="J106" s="85"/>
      <c r="K106" s="85"/>
      <c r="L106" s="85"/>
      <c r="M106" s="144"/>
      <c r="N106" s="145"/>
      <c r="O106" s="167"/>
      <c r="P106" s="14"/>
      <c r="Q106" s="247"/>
    </row>
    <row r="107" spans="1:17" s="3" customFormat="1" ht="12.75">
      <c r="A107" s="148"/>
      <c r="B107" s="149"/>
      <c r="C107" s="98"/>
      <c r="D107" s="59"/>
      <c r="E107" s="59"/>
      <c r="F107" s="59"/>
      <c r="G107" s="59"/>
      <c r="H107" s="59"/>
      <c r="I107" s="45"/>
      <c r="J107" s="45"/>
      <c r="K107" s="45"/>
      <c r="L107" s="45"/>
      <c r="M107" s="147"/>
      <c r="N107" s="190"/>
      <c r="O107" s="191">
        <f>SUM(O96:O106)</f>
        <v>1520</v>
      </c>
      <c r="P107" s="14"/>
      <c r="Q107" s="247"/>
    </row>
    <row r="108" spans="1:17" s="3" customFormat="1" ht="13.5" thickBot="1">
      <c r="A108" s="150"/>
      <c r="B108" s="140"/>
      <c r="C108" s="80"/>
      <c r="D108" s="45"/>
      <c r="E108" s="45"/>
      <c r="F108" s="45"/>
      <c r="G108" s="45"/>
      <c r="H108" s="45"/>
      <c r="I108" s="45"/>
      <c r="J108" s="45"/>
      <c r="K108" s="45"/>
      <c r="L108" s="45"/>
      <c r="M108" s="147"/>
      <c r="N108" s="25" t="s">
        <v>21</v>
      </c>
      <c r="O108" s="706">
        <f>O107*M4</f>
        <v>125202.40000000001</v>
      </c>
      <c r="P108" s="14"/>
      <c r="Q108" s="247"/>
    </row>
    <row r="109" spans="1:17" s="3" customFormat="1" ht="13.5" thickBot="1">
      <c r="A109" s="62" t="s">
        <v>11</v>
      </c>
      <c r="B109" s="76" t="s">
        <v>13</v>
      </c>
      <c r="C109" s="63"/>
      <c r="D109" s="4" t="s">
        <v>6</v>
      </c>
      <c r="E109" s="4" t="s">
        <v>4</v>
      </c>
      <c r="F109" s="4" t="s">
        <v>3</v>
      </c>
      <c r="G109" s="4" t="s">
        <v>3</v>
      </c>
      <c r="H109" s="77"/>
      <c r="I109" s="4" t="s">
        <v>3</v>
      </c>
      <c r="J109" s="4" t="s">
        <v>21</v>
      </c>
      <c r="K109" s="44"/>
      <c r="L109" s="44"/>
      <c r="M109" s="51"/>
      <c r="N109" s="43"/>
      <c r="O109" s="167"/>
      <c r="P109" s="14"/>
      <c r="Q109" s="247"/>
    </row>
    <row r="110" spans="1:17" s="3" customFormat="1" ht="13.5" thickBot="1">
      <c r="A110" s="64" t="s">
        <v>12</v>
      </c>
      <c r="B110" s="78"/>
      <c r="C110" s="79"/>
      <c r="D110" s="5" t="s">
        <v>7</v>
      </c>
      <c r="E110" s="5" t="s">
        <v>5</v>
      </c>
      <c r="F110" s="5" t="s">
        <v>2</v>
      </c>
      <c r="G110" s="5" t="s">
        <v>23</v>
      </c>
      <c r="H110" s="5"/>
      <c r="I110" s="5" t="s">
        <v>20</v>
      </c>
      <c r="J110" s="5" t="s">
        <v>62</v>
      </c>
      <c r="K110" s="44"/>
      <c r="L110" s="44"/>
      <c r="M110" s="51"/>
      <c r="N110" s="51"/>
      <c r="O110" s="119"/>
      <c r="P110" s="14"/>
      <c r="Q110" s="247"/>
    </row>
    <row r="111" spans="1:17" s="3" customFormat="1" ht="13.5" thickBot="1">
      <c r="A111" s="209">
        <v>9</v>
      </c>
      <c r="B111" s="203" t="s">
        <v>101</v>
      </c>
      <c r="C111" s="204"/>
      <c r="D111" s="205">
        <f>D114+D116+D119</f>
        <v>9</v>
      </c>
      <c r="E111" s="210" t="s">
        <v>9</v>
      </c>
      <c r="F111" s="206"/>
      <c r="G111" s="206"/>
      <c r="H111" s="136"/>
      <c r="I111" s="211"/>
      <c r="J111" s="212"/>
      <c r="K111" s="44"/>
      <c r="L111" s="44"/>
      <c r="M111" s="51"/>
      <c r="N111" s="51"/>
      <c r="O111" s="119"/>
      <c r="P111" s="14"/>
      <c r="Q111" s="247"/>
    </row>
    <row r="112" spans="1:17" s="3" customFormat="1" ht="12.75">
      <c r="A112" s="213"/>
      <c r="B112" s="141" t="s">
        <v>122</v>
      </c>
      <c r="C112" s="154"/>
      <c r="D112" s="18"/>
      <c r="E112" s="152"/>
      <c r="F112" s="22"/>
      <c r="G112" s="129"/>
      <c r="H112" s="158"/>
      <c r="I112" s="24"/>
      <c r="J112" s="18"/>
      <c r="K112" s="44"/>
      <c r="L112" s="44"/>
      <c r="M112" s="51"/>
      <c r="N112" s="51"/>
      <c r="O112" s="119"/>
      <c r="P112" s="14"/>
      <c r="Q112" s="247"/>
    </row>
    <row r="113" spans="1:17" s="3" customFormat="1" ht="12.75">
      <c r="A113" s="213"/>
      <c r="B113" s="153"/>
      <c r="C113" s="155"/>
      <c r="D113" s="18"/>
      <c r="E113" s="152"/>
      <c r="F113" s="22"/>
      <c r="G113" s="129"/>
      <c r="H113" s="158"/>
      <c r="I113" s="18"/>
      <c r="J113" s="18"/>
      <c r="K113" s="44"/>
      <c r="L113" s="44"/>
      <c r="M113" s="51"/>
      <c r="N113" s="51"/>
      <c r="O113" s="119"/>
      <c r="P113" s="14"/>
      <c r="Q113" s="247"/>
    </row>
    <row r="114" spans="1:17" s="3" customFormat="1" ht="12.75">
      <c r="A114" s="214" t="s">
        <v>161</v>
      </c>
      <c r="B114" s="93" t="s">
        <v>115</v>
      </c>
      <c r="C114" s="80"/>
      <c r="D114" s="22">
        <v>1</v>
      </c>
      <c r="E114" s="22">
        <v>1</v>
      </c>
      <c r="F114" s="22">
        <v>4</v>
      </c>
      <c r="G114" s="129">
        <f>F114*E114*D114*8</f>
        <v>32</v>
      </c>
      <c r="H114" s="158"/>
      <c r="I114" s="22">
        <v>9</v>
      </c>
      <c r="J114" s="44">
        <f>I114*G114</f>
        <v>288</v>
      </c>
      <c r="K114" s="129"/>
      <c r="L114" s="45"/>
      <c r="M114" s="52"/>
      <c r="N114" s="51"/>
      <c r="O114" s="119"/>
      <c r="P114" s="14"/>
      <c r="Q114" s="247"/>
    </row>
    <row r="115" spans="1:17" s="3" customFormat="1" ht="12.75">
      <c r="A115" s="214"/>
      <c r="B115" s="87"/>
      <c r="C115" s="80"/>
      <c r="D115" s="22"/>
      <c r="E115" s="22"/>
      <c r="F115" s="22"/>
      <c r="G115" s="129"/>
      <c r="H115" s="158"/>
      <c r="I115" s="22"/>
      <c r="J115" s="44"/>
      <c r="K115" s="129"/>
      <c r="L115" s="45"/>
      <c r="M115" s="52"/>
      <c r="N115" s="52"/>
      <c r="O115" s="119"/>
      <c r="P115" s="14"/>
      <c r="Q115" s="247"/>
    </row>
    <row r="116" spans="1:17" s="3" customFormat="1" ht="12.75">
      <c r="A116" s="214" t="s">
        <v>162</v>
      </c>
      <c r="B116" s="93" t="s">
        <v>100</v>
      </c>
      <c r="C116" s="80"/>
      <c r="D116" s="18"/>
      <c r="E116" s="18"/>
      <c r="F116" s="22"/>
      <c r="G116" s="129"/>
      <c r="H116" s="158"/>
      <c r="I116" s="22"/>
      <c r="J116" s="44">
        <f aca="true" t="shared" si="6" ref="J116:J127">I116*G116</f>
        <v>0</v>
      </c>
      <c r="K116" s="129"/>
      <c r="L116" s="45"/>
      <c r="M116" s="52"/>
      <c r="N116" s="52"/>
      <c r="O116" s="119"/>
      <c r="P116" s="14"/>
      <c r="Q116" s="247"/>
    </row>
    <row r="117" spans="1:17" s="3" customFormat="1" ht="22.5">
      <c r="A117" s="214"/>
      <c r="B117" s="81" t="s">
        <v>19</v>
      </c>
      <c r="C117" s="80"/>
      <c r="D117" s="22">
        <v>2</v>
      </c>
      <c r="E117" s="22">
        <v>1</v>
      </c>
      <c r="F117" s="22">
        <v>2</v>
      </c>
      <c r="G117" s="129">
        <f>F117*E117*D117*8</f>
        <v>32</v>
      </c>
      <c r="H117" s="158"/>
      <c r="I117" s="22">
        <v>18</v>
      </c>
      <c r="J117" s="44">
        <f t="shared" si="6"/>
        <v>576</v>
      </c>
      <c r="K117" s="129"/>
      <c r="L117" s="45"/>
      <c r="M117" s="52"/>
      <c r="N117" s="52"/>
      <c r="O117" s="119"/>
      <c r="P117" s="14"/>
      <c r="Q117" s="247"/>
    </row>
    <row r="118" spans="1:17" s="3" customFormat="1" ht="12.75">
      <c r="A118" s="214"/>
      <c r="B118" s="81"/>
      <c r="C118" s="80"/>
      <c r="D118" s="22"/>
      <c r="E118" s="22"/>
      <c r="F118" s="22"/>
      <c r="G118" s="129"/>
      <c r="H118" s="158"/>
      <c r="I118" s="22"/>
      <c r="J118" s="44">
        <f t="shared" si="6"/>
        <v>0</v>
      </c>
      <c r="K118" s="129"/>
      <c r="L118" s="45"/>
      <c r="M118" s="52"/>
      <c r="N118" s="52"/>
      <c r="O118" s="119"/>
      <c r="P118" s="14"/>
      <c r="Q118" s="247"/>
    </row>
    <row r="119" spans="1:17" s="3" customFormat="1" ht="12.75">
      <c r="A119" s="214" t="s">
        <v>163</v>
      </c>
      <c r="B119" s="93" t="s">
        <v>104</v>
      </c>
      <c r="C119" s="80"/>
      <c r="D119" s="18">
        <f>D120+D121+D122+D124+D125+D126+D127</f>
        <v>8</v>
      </c>
      <c r="E119" s="18"/>
      <c r="F119" s="22"/>
      <c r="G119" s="129"/>
      <c r="H119" s="158"/>
      <c r="I119" s="22"/>
      <c r="J119" s="44">
        <f t="shared" si="6"/>
        <v>0</v>
      </c>
      <c r="K119" s="129"/>
      <c r="L119" s="45"/>
      <c r="M119" s="52"/>
      <c r="N119" s="52"/>
      <c r="O119" s="119"/>
      <c r="P119" s="14"/>
      <c r="Q119" s="247"/>
    </row>
    <row r="120" spans="1:17" s="3" customFormat="1" ht="12.75">
      <c r="A120" s="213"/>
      <c r="B120" s="81" t="s">
        <v>14</v>
      </c>
      <c r="C120" s="80"/>
      <c r="D120" s="22">
        <v>1</v>
      </c>
      <c r="E120" s="22">
        <v>1</v>
      </c>
      <c r="F120" s="22">
        <v>3</v>
      </c>
      <c r="G120" s="129">
        <f aca="true" t="shared" si="7" ref="G120:G127">F120*E120*D120*8</f>
        <v>24</v>
      </c>
      <c r="H120" s="158"/>
      <c r="I120" s="22">
        <v>9</v>
      </c>
      <c r="J120" s="44">
        <f t="shared" si="6"/>
        <v>216</v>
      </c>
      <c r="K120" s="129"/>
      <c r="L120" s="45"/>
      <c r="M120" s="52"/>
      <c r="N120" s="52"/>
      <c r="O120" s="119"/>
      <c r="P120" s="14"/>
      <c r="Q120" s="247"/>
    </row>
    <row r="121" spans="1:17" s="3" customFormat="1" ht="12.75">
      <c r="A121" s="213"/>
      <c r="B121" s="81" t="s">
        <v>15</v>
      </c>
      <c r="C121" s="80"/>
      <c r="D121" s="22">
        <v>1</v>
      </c>
      <c r="E121" s="22">
        <v>2</v>
      </c>
      <c r="F121" s="22">
        <v>3</v>
      </c>
      <c r="G121" s="129">
        <f t="shared" si="7"/>
        <v>48</v>
      </c>
      <c r="H121" s="158"/>
      <c r="I121" s="22">
        <v>9</v>
      </c>
      <c r="J121" s="44">
        <f t="shared" si="6"/>
        <v>432</v>
      </c>
      <c r="K121" s="129"/>
      <c r="L121" s="45"/>
      <c r="M121" s="52"/>
      <c r="N121" s="52"/>
      <c r="O121" s="119"/>
      <c r="P121" s="14"/>
      <c r="Q121" s="247"/>
    </row>
    <row r="122" spans="1:17" s="3" customFormat="1" ht="12.75">
      <c r="A122" s="213"/>
      <c r="B122" s="81" t="s">
        <v>16</v>
      </c>
      <c r="C122" s="80"/>
      <c r="D122" s="22">
        <v>0</v>
      </c>
      <c r="E122" s="22">
        <v>0</v>
      </c>
      <c r="F122" s="22">
        <v>0</v>
      </c>
      <c r="G122" s="129">
        <f t="shared" si="7"/>
        <v>0</v>
      </c>
      <c r="H122" s="158"/>
      <c r="I122" s="22">
        <v>9</v>
      </c>
      <c r="J122" s="44">
        <f t="shared" si="6"/>
        <v>0</v>
      </c>
      <c r="K122" s="129"/>
      <c r="L122" s="45"/>
      <c r="M122" s="52"/>
      <c r="N122" s="52"/>
      <c r="O122" s="119"/>
      <c r="P122" s="14"/>
      <c r="Q122" s="247"/>
    </row>
    <row r="123" spans="1:17" s="3" customFormat="1" ht="12.75">
      <c r="A123" s="213"/>
      <c r="B123" s="81" t="s">
        <v>1</v>
      </c>
      <c r="C123" s="45"/>
      <c r="D123" s="22">
        <v>1</v>
      </c>
      <c r="E123" s="22">
        <v>1</v>
      </c>
      <c r="F123" s="22">
        <v>3</v>
      </c>
      <c r="G123" s="129">
        <f t="shared" si="7"/>
        <v>24</v>
      </c>
      <c r="H123" s="158"/>
      <c r="I123" s="22">
        <v>9</v>
      </c>
      <c r="J123" s="44">
        <f t="shared" si="6"/>
        <v>216</v>
      </c>
      <c r="K123" s="129"/>
      <c r="L123" s="45"/>
      <c r="M123" s="52"/>
      <c r="N123" s="52"/>
      <c r="O123" s="119"/>
      <c r="P123" s="14"/>
      <c r="Q123" s="247"/>
    </row>
    <row r="124" spans="1:17" s="3" customFormat="1" ht="13.5" thickBot="1">
      <c r="A124" s="213"/>
      <c r="B124" s="81" t="s">
        <v>17</v>
      </c>
      <c r="C124" s="83"/>
      <c r="D124" s="41">
        <v>1</v>
      </c>
      <c r="E124" s="41">
        <v>2</v>
      </c>
      <c r="F124" s="41">
        <v>1</v>
      </c>
      <c r="G124" s="129">
        <f t="shared" si="7"/>
        <v>16</v>
      </c>
      <c r="H124" s="158"/>
      <c r="I124" s="22">
        <v>9</v>
      </c>
      <c r="J124" s="44">
        <f t="shared" si="6"/>
        <v>144</v>
      </c>
      <c r="K124" s="130"/>
      <c r="L124" s="46"/>
      <c r="M124" s="53"/>
      <c r="N124" s="52"/>
      <c r="O124" s="119"/>
      <c r="P124" s="14"/>
      <c r="Q124" s="247"/>
    </row>
    <row r="125" spans="1:17" ht="12.75">
      <c r="A125" s="213"/>
      <c r="B125" s="82" t="s">
        <v>18</v>
      </c>
      <c r="C125" s="83"/>
      <c r="D125" s="41">
        <v>1</v>
      </c>
      <c r="E125" s="41">
        <v>1</v>
      </c>
      <c r="F125" s="41">
        <v>1</v>
      </c>
      <c r="G125" s="129">
        <f t="shared" si="7"/>
        <v>8</v>
      </c>
      <c r="H125" s="158"/>
      <c r="I125" s="22">
        <v>9</v>
      </c>
      <c r="J125" s="44">
        <f t="shared" si="6"/>
        <v>72</v>
      </c>
      <c r="K125" s="192"/>
      <c r="L125" s="57" t="s">
        <v>102</v>
      </c>
      <c r="M125" s="92" t="s">
        <v>103</v>
      </c>
      <c r="N125" s="53"/>
      <c r="Q125" s="247"/>
    </row>
    <row r="126" spans="1:17" ht="12.75">
      <c r="A126" s="213"/>
      <c r="B126" s="82" t="s">
        <v>0</v>
      </c>
      <c r="C126" s="83"/>
      <c r="D126" s="41">
        <v>2</v>
      </c>
      <c r="E126" s="41">
        <v>1</v>
      </c>
      <c r="F126" s="41">
        <v>2</v>
      </c>
      <c r="G126" s="129">
        <f t="shared" si="7"/>
        <v>32</v>
      </c>
      <c r="H126" s="158"/>
      <c r="I126" s="22">
        <v>9</v>
      </c>
      <c r="J126" s="44">
        <f t="shared" si="6"/>
        <v>288</v>
      </c>
      <c r="K126" s="193" t="s">
        <v>21</v>
      </c>
      <c r="L126" s="194">
        <f>SUM(J114:J127)</f>
        <v>2808</v>
      </c>
      <c r="M126" s="734">
        <f>L126*M4</f>
        <v>231294.96000000002</v>
      </c>
      <c r="Q126" s="247"/>
    </row>
    <row r="127" spans="1:17" ht="13.5" thickBot="1">
      <c r="A127" s="215"/>
      <c r="B127" s="97" t="s">
        <v>149</v>
      </c>
      <c r="C127" s="88"/>
      <c r="D127" s="85">
        <v>2</v>
      </c>
      <c r="E127" s="85">
        <v>1</v>
      </c>
      <c r="F127" s="85">
        <v>2</v>
      </c>
      <c r="G127" s="133">
        <f t="shared" si="7"/>
        <v>32</v>
      </c>
      <c r="H127" s="159"/>
      <c r="I127" s="54">
        <v>18</v>
      </c>
      <c r="J127" s="47">
        <f t="shared" si="6"/>
        <v>576</v>
      </c>
      <c r="K127" s="195"/>
      <c r="L127" s="196"/>
      <c r="M127" s="197"/>
      <c r="Q127" s="247"/>
    </row>
    <row r="128" spans="1:17" ht="13.5" thickBot="1">
      <c r="A128" s="202">
        <v>10</v>
      </c>
      <c r="B128" s="203" t="s">
        <v>64</v>
      </c>
      <c r="C128" s="204"/>
      <c r="D128" s="205">
        <f>SUM(D129:D131)</f>
        <v>1</v>
      </c>
      <c r="E128" s="206"/>
      <c r="F128" s="206"/>
      <c r="G128" s="206"/>
      <c r="H128" s="207"/>
      <c r="I128" s="205"/>
      <c r="J128" s="208"/>
      <c r="K128" s="45"/>
      <c r="L128" s="45"/>
      <c r="M128" s="6"/>
      <c r="Q128" s="247"/>
    </row>
    <row r="129" spans="1:17" ht="12.75">
      <c r="A129" s="214"/>
      <c r="B129" s="82"/>
      <c r="C129" s="83"/>
      <c r="D129" s="41"/>
      <c r="E129" s="41"/>
      <c r="F129" s="41"/>
      <c r="G129" s="129"/>
      <c r="H129" s="22"/>
      <c r="I129" s="132"/>
      <c r="J129" s="41"/>
      <c r="K129" s="192"/>
      <c r="L129" s="57" t="s">
        <v>102</v>
      </c>
      <c r="M129" s="92" t="s">
        <v>103</v>
      </c>
      <c r="N129" s="6"/>
      <c r="Q129" s="247"/>
    </row>
    <row r="130" spans="1:17" ht="12.75">
      <c r="A130" s="214"/>
      <c r="B130" s="100" t="s">
        <v>63</v>
      </c>
      <c r="C130" s="83"/>
      <c r="D130" s="41">
        <v>1</v>
      </c>
      <c r="E130" s="41">
        <v>1</v>
      </c>
      <c r="F130" s="41">
        <v>2</v>
      </c>
      <c r="G130" s="129">
        <f>F130*8</f>
        <v>16</v>
      </c>
      <c r="H130" s="22">
        <v>0</v>
      </c>
      <c r="I130" s="99">
        <v>18</v>
      </c>
      <c r="J130" s="41">
        <f>I130*G130</f>
        <v>288</v>
      </c>
      <c r="K130" s="193" t="s">
        <v>21</v>
      </c>
      <c r="L130" s="194">
        <f>J130</f>
        <v>288</v>
      </c>
      <c r="M130" s="734">
        <f>L130*M4</f>
        <v>23722.56</v>
      </c>
      <c r="N130" s="42"/>
      <c r="Q130" s="247"/>
    </row>
    <row r="131" spans="1:17" ht="13.5" thickBot="1">
      <c r="A131" s="214"/>
      <c r="B131" s="82" t="s">
        <v>65</v>
      </c>
      <c r="C131" s="83"/>
      <c r="D131" s="41"/>
      <c r="E131" s="41"/>
      <c r="F131" s="41"/>
      <c r="G131" s="129"/>
      <c r="H131" s="22"/>
      <c r="I131" s="132"/>
      <c r="J131" s="41"/>
      <c r="K131" s="195"/>
      <c r="L131" s="196"/>
      <c r="M131" s="197"/>
      <c r="N131" s="42"/>
      <c r="Q131" s="247"/>
    </row>
    <row r="132" spans="1:14" ht="12.75">
      <c r="A132" s="161"/>
      <c r="B132" s="199"/>
      <c r="C132" s="200"/>
      <c r="D132" s="201"/>
      <c r="E132" s="201"/>
      <c r="F132" s="201"/>
      <c r="G132" s="201"/>
      <c r="H132" s="201"/>
      <c r="I132" s="201"/>
      <c r="J132" s="201"/>
      <c r="N132" s="42"/>
    </row>
    <row r="133" spans="1:14" ht="13.5" thickBot="1">
      <c r="A133" s="86"/>
      <c r="B133" s="156"/>
      <c r="C133" s="83"/>
      <c r="D133" s="46"/>
      <c r="E133" s="46"/>
      <c r="F133" s="46"/>
      <c r="G133" s="45"/>
      <c r="H133" s="45"/>
      <c r="I133" s="45"/>
      <c r="J133" s="45"/>
      <c r="K133" s="45"/>
      <c r="N133" s="42"/>
    </row>
    <row r="134" spans="1:11" ht="15">
      <c r="A134" s="280" t="s">
        <v>139</v>
      </c>
      <c r="B134" s="162"/>
      <c r="C134" s="163"/>
      <c r="D134" s="735">
        <f>O15</f>
        <v>151490.56</v>
      </c>
      <c r="E134" s="253"/>
      <c r="F134" s="636" t="s">
        <v>221</v>
      </c>
      <c r="G134" s="637"/>
      <c r="H134" s="45"/>
      <c r="I134" s="45"/>
      <c r="J134" s="45"/>
      <c r="K134" s="45"/>
    </row>
    <row r="135" spans="1:12" ht="15">
      <c r="A135" s="281" t="s">
        <v>113</v>
      </c>
      <c r="B135" s="166"/>
      <c r="C135" s="166"/>
      <c r="D135" s="736">
        <f>O23</f>
        <v>27919.6</v>
      </c>
      <c r="E135" s="253"/>
      <c r="F135" s="636"/>
      <c r="G135" s="637" t="s">
        <v>225</v>
      </c>
      <c r="H135" s="45"/>
      <c r="I135" s="45"/>
      <c r="J135" s="45"/>
      <c r="K135" s="45"/>
      <c r="L135" s="648"/>
    </row>
    <row r="136" spans="1:11" ht="15">
      <c r="A136" s="282" t="s">
        <v>146</v>
      </c>
      <c r="B136" s="176"/>
      <c r="C136" s="176"/>
      <c r="D136" s="737">
        <f>O37</f>
        <v>209815.80000000002</v>
      </c>
      <c r="E136" s="253"/>
      <c r="F136" s="640" t="s">
        <v>223</v>
      </c>
      <c r="G136" s="638">
        <f>SUM(G15)/1726</f>
        <v>0.16685979142526072</v>
      </c>
      <c r="H136" s="253"/>
      <c r="I136" s="254"/>
      <c r="J136" s="45"/>
      <c r="K136" s="253"/>
    </row>
    <row r="137" spans="1:11" ht="15">
      <c r="A137" s="282" t="s">
        <v>147</v>
      </c>
      <c r="B137" s="177"/>
      <c r="C137" s="177"/>
      <c r="D137" s="737">
        <f>O46</f>
        <v>79286</v>
      </c>
      <c r="E137" s="253"/>
      <c r="F137" s="640" t="s">
        <v>222</v>
      </c>
      <c r="G137" s="638">
        <f>SUM(I15)/1726</f>
        <v>0.4171494785631518</v>
      </c>
      <c r="H137" s="253"/>
      <c r="I137" s="254"/>
      <c r="J137" s="45"/>
      <c r="K137" s="253"/>
    </row>
    <row r="138" spans="1:11" ht="15">
      <c r="A138" s="283" t="s">
        <v>114</v>
      </c>
      <c r="B138" s="219"/>
      <c r="C138" s="219"/>
      <c r="D138" s="738">
        <f>O65</f>
        <v>511721.04000000004</v>
      </c>
      <c r="E138" s="253"/>
      <c r="F138" s="640" t="s">
        <v>226</v>
      </c>
      <c r="G138" s="638">
        <f>SUM(K54:K56,K37,K23)/1726</f>
        <v>0.7786790266512167</v>
      </c>
      <c r="H138" s="253"/>
      <c r="I138" s="90"/>
      <c r="J138" s="45"/>
      <c r="K138" s="253"/>
    </row>
    <row r="139" spans="1:11" ht="15">
      <c r="A139" s="284" t="s">
        <v>130</v>
      </c>
      <c r="B139" s="165"/>
      <c r="C139" s="165"/>
      <c r="D139" s="739">
        <f>K72</f>
        <v>27676.32</v>
      </c>
      <c r="E139" s="253"/>
      <c r="F139" s="640" t="s">
        <v>227</v>
      </c>
      <c r="G139" s="639">
        <f>SUM(J40,J23,J15)/1726</f>
        <v>0.3939745075318656</v>
      </c>
      <c r="H139" s="45"/>
      <c r="I139" s="254"/>
      <c r="J139" s="45"/>
      <c r="K139" s="253"/>
    </row>
    <row r="140" spans="1:11" ht="15">
      <c r="A140" s="284" t="s">
        <v>119</v>
      </c>
      <c r="B140" s="165"/>
      <c r="C140" s="165"/>
      <c r="D140" s="739">
        <f>O93</f>
        <v>226023.28</v>
      </c>
      <c r="E140" s="253"/>
      <c r="F140" s="640" t="s">
        <v>224</v>
      </c>
      <c r="G140" s="641">
        <f>SUM(L130,L126,O107,O92,J72,L65,L46,L37,L23)/1726</f>
        <v>5.775202780996524</v>
      </c>
      <c r="H140" s="253"/>
      <c r="I140" s="90"/>
      <c r="J140" s="45"/>
      <c r="K140" s="45"/>
    </row>
    <row r="141" spans="1:11" ht="15">
      <c r="A141" s="284" t="s">
        <v>118</v>
      </c>
      <c r="B141" s="165"/>
      <c r="C141" s="165"/>
      <c r="D141" s="739">
        <f>O108</f>
        <v>125202.40000000001</v>
      </c>
      <c r="E141" s="253"/>
      <c r="F141" s="636"/>
      <c r="G141" s="638">
        <f>SUM(G136:G140)</f>
        <v>7.531865585168019</v>
      </c>
      <c r="H141" s="45"/>
      <c r="I141" s="254"/>
      <c r="J141" s="45"/>
      <c r="K141" s="45"/>
    </row>
    <row r="142" spans="1:11" ht="15">
      <c r="A142" s="284" t="s">
        <v>117</v>
      </c>
      <c r="B142" s="165"/>
      <c r="C142" s="165"/>
      <c r="D142" s="739">
        <f>M126</f>
        <v>231294.96000000002</v>
      </c>
      <c r="E142" s="253"/>
      <c r="H142" s="253"/>
      <c r="I142" s="90"/>
      <c r="J142" s="45"/>
      <c r="K142" s="45"/>
    </row>
    <row r="143" spans="1:11" ht="19.5" thickBot="1">
      <c r="A143" s="285" t="s">
        <v>116</v>
      </c>
      <c r="B143" s="135"/>
      <c r="C143" s="135"/>
      <c r="D143" s="740">
        <f>M130</f>
        <v>23722.56</v>
      </c>
      <c r="E143" s="266" t="s">
        <v>174</v>
      </c>
      <c r="H143" s="45"/>
      <c r="I143" s="45"/>
      <c r="J143" s="45"/>
      <c r="K143" s="255"/>
    </row>
    <row r="144" spans="1:11" ht="12.75">
      <c r="A144" s="198"/>
      <c r="B144" s="57"/>
      <c r="C144" s="57"/>
      <c r="D144" s="57"/>
      <c r="H144" s="45"/>
      <c r="I144" s="45"/>
      <c r="J144" s="45"/>
      <c r="K144" s="45"/>
    </row>
    <row r="145" spans="1:11" ht="18">
      <c r="A145" s="286" t="s">
        <v>123</v>
      </c>
      <c r="B145" s="164"/>
      <c r="C145" s="164"/>
      <c r="D145" s="741">
        <f>SUM(D134:D144)</f>
        <v>1614152.5199999998</v>
      </c>
      <c r="E145" s="697">
        <v>1162679</v>
      </c>
      <c r="H145" s="45"/>
      <c r="I145" s="45"/>
      <c r="J145" s="45"/>
      <c r="K145" s="45"/>
    </row>
    <row r="146" spans="1:11" ht="15.75" thickBot="1">
      <c r="A146" s="703"/>
      <c r="B146" s="164"/>
      <c r="C146" s="164"/>
      <c r="D146" s="164"/>
      <c r="E146" s="698"/>
      <c r="H146" s="45"/>
      <c r="I146" s="45"/>
      <c r="J146" s="45"/>
      <c r="K146" s="45"/>
    </row>
    <row r="147" spans="1:11" ht="15">
      <c r="A147" s="257"/>
      <c r="B147" s="704"/>
      <c r="C147" s="258"/>
      <c r="D147" s="259"/>
      <c r="E147" s="697"/>
      <c r="H147" s="256"/>
      <c r="I147" s="45"/>
      <c r="J147" s="45"/>
      <c r="K147" s="45"/>
    </row>
    <row r="148" spans="1:5" ht="15">
      <c r="A148" s="261"/>
      <c r="B148" s="311"/>
      <c r="C148" s="268"/>
      <c r="D148" s="263"/>
      <c r="E148" s="679"/>
    </row>
    <row r="149" spans="1:5" ht="15.75">
      <c r="A149" s="261" t="s">
        <v>180</v>
      </c>
      <c r="B149" s="311"/>
      <c r="C149" s="270"/>
      <c r="D149" s="263">
        <f>((0.75*8*33)+(0.25*8*324))*M2</f>
        <v>145173.6</v>
      </c>
      <c r="E149" s="697">
        <v>113900</v>
      </c>
    </row>
    <row r="150" spans="1:5" ht="15">
      <c r="A150" s="261" t="s">
        <v>182</v>
      </c>
      <c r="B150" s="311"/>
      <c r="C150" s="268"/>
      <c r="D150" s="263"/>
      <c r="E150" s="698"/>
    </row>
    <row r="151" spans="1:5" ht="15">
      <c r="A151" s="261" t="s">
        <v>181</v>
      </c>
      <c r="B151" s="311"/>
      <c r="C151" s="268"/>
      <c r="D151" s="265">
        <v>0</v>
      </c>
      <c r="E151" s="699">
        <v>1E-05</v>
      </c>
    </row>
    <row r="152" spans="1:5" ht="15">
      <c r="A152" s="261"/>
      <c r="B152" s="311"/>
      <c r="C152" s="268"/>
      <c r="D152" s="263"/>
      <c r="E152" s="698"/>
    </row>
    <row r="153" spans="1:5" ht="18">
      <c r="A153" s="271" t="s">
        <v>188</v>
      </c>
      <c r="B153" s="311"/>
      <c r="C153" s="272"/>
      <c r="D153" s="273">
        <f>SUM(D145,D149)</f>
        <v>1759326.1199999999</v>
      </c>
      <c r="E153" s="700">
        <f>SUM(E145:E151)</f>
        <v>1276579.00001</v>
      </c>
    </row>
    <row r="154" spans="1:5" ht="18">
      <c r="A154" s="274"/>
      <c r="B154" s="311"/>
      <c r="C154" s="275"/>
      <c r="D154" s="276"/>
      <c r="E154" s="679"/>
    </row>
    <row r="155" spans="1:4" ht="18">
      <c r="A155" s="271" t="s">
        <v>179</v>
      </c>
      <c r="B155" s="311"/>
      <c r="C155" s="272"/>
      <c r="D155" s="273">
        <f>+D153-E153</f>
        <v>482747.1199899998</v>
      </c>
    </row>
    <row r="156" spans="1:4" ht="15.75" thickBot="1">
      <c r="A156" s="277"/>
      <c r="B156" s="330"/>
      <c r="C156" s="278"/>
      <c r="D156" s="279"/>
    </row>
    <row r="163" ht="14.25">
      <c r="E163" s="264"/>
    </row>
    <row r="164" ht="14.25">
      <c r="E164" s="264"/>
    </row>
    <row r="165" ht="14.25">
      <c r="E165" s="264"/>
    </row>
  </sheetData>
  <printOptions gridLines="1"/>
  <pageMargins left="0.28" right="0.14" top="0.62" bottom="0.72" header="0.34" footer="0.26"/>
  <pageSetup fitToHeight="3" fitToWidth="1" horizontalDpi="300" verticalDpi="300" orientation="landscape" scale="72" r:id="rId1"/>
  <headerFooter alignWithMargins="0">
    <oddHeader>&amp;L&amp;12J.H. Chrzanowski</oddHeader>
    <oddFooter>&amp;L&amp;24PPPL&amp;C&amp;F               &amp;A         &amp;D          &amp;T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1"/>
  <sheetViews>
    <sheetView tabSelected="1" zoomScale="75" zoomScaleNormal="75" workbookViewId="0" topLeftCell="A1">
      <selection activeCell="M24" sqref="M24"/>
    </sheetView>
  </sheetViews>
  <sheetFormatPr defaultColWidth="9.140625" defaultRowHeight="12.75"/>
  <cols>
    <col min="1" max="1" width="42.57421875" style="0" customWidth="1"/>
    <col min="2" max="2" width="5.8515625" style="0" customWidth="1"/>
    <col min="4" max="4" width="19.8515625" style="0" bestFit="1" customWidth="1"/>
    <col min="5" max="5" width="14.140625" style="0" customWidth="1"/>
    <col min="6" max="6" width="45.421875" style="0" customWidth="1"/>
    <col min="7" max="7" width="11.28125" style="0" customWidth="1"/>
    <col min="8" max="8" width="22.7109375" style="0" customWidth="1"/>
    <col min="9" max="9" width="2.421875" style="0" customWidth="1"/>
    <col min="10" max="10" width="21.7109375" style="0" customWidth="1"/>
    <col min="48" max="48" width="18.00390625" style="0" customWidth="1"/>
  </cols>
  <sheetData>
    <row r="1" spans="1:10" ht="33.75">
      <c r="A1" s="626" t="s">
        <v>183</v>
      </c>
      <c r="B1" s="627"/>
      <c r="C1" s="627"/>
      <c r="D1" s="627"/>
      <c r="E1" s="627"/>
      <c r="F1" s="627"/>
      <c r="G1" s="627"/>
      <c r="H1" s="627"/>
      <c r="I1" s="628"/>
      <c r="J1" s="629"/>
    </row>
    <row r="2" spans="1:10" ht="15.75">
      <c r="A2" s="630"/>
      <c r="B2" s="608"/>
      <c r="C2" s="608"/>
      <c r="D2" s="608"/>
      <c r="E2" s="608"/>
      <c r="F2" s="608"/>
      <c r="G2" s="608"/>
      <c r="H2" s="608"/>
      <c r="I2" s="608"/>
      <c r="J2" s="610"/>
    </row>
    <row r="3" spans="1:10" ht="15.75">
      <c r="A3" s="630" t="s">
        <v>184</v>
      </c>
      <c r="B3" s="608"/>
      <c r="C3" s="608"/>
      <c r="D3" s="608"/>
      <c r="E3" s="608"/>
      <c r="F3" s="608"/>
      <c r="G3" s="608"/>
      <c r="H3" s="608"/>
      <c r="I3" s="608"/>
      <c r="J3" s="610"/>
    </row>
    <row r="4" spans="1:10" ht="15.75">
      <c r="A4" s="630" t="s">
        <v>185</v>
      </c>
      <c r="B4" s="608"/>
      <c r="C4" s="608"/>
      <c r="D4" s="608"/>
      <c r="E4" s="608"/>
      <c r="F4" s="608"/>
      <c r="G4" s="608"/>
      <c r="H4" s="608"/>
      <c r="I4" s="608"/>
      <c r="J4" s="610"/>
    </row>
    <row r="5" spans="1:10" ht="15.75">
      <c r="A5" s="630" t="s">
        <v>187</v>
      </c>
      <c r="B5" s="608"/>
      <c r="C5" s="608"/>
      <c r="D5" s="608"/>
      <c r="E5" s="608"/>
      <c r="F5" s="608"/>
      <c r="G5" s="608"/>
      <c r="H5" s="608"/>
      <c r="I5" s="608"/>
      <c r="J5" s="610"/>
    </row>
    <row r="6" spans="1:10" ht="15.75">
      <c r="A6" s="630" t="s">
        <v>186</v>
      </c>
      <c r="B6" s="608"/>
      <c r="C6" s="608"/>
      <c r="D6" s="608"/>
      <c r="E6" s="608"/>
      <c r="F6" s="608"/>
      <c r="G6" s="608"/>
      <c r="H6" s="608"/>
      <c r="I6" s="608"/>
      <c r="J6" s="610"/>
    </row>
    <row r="7" spans="1:10" ht="18">
      <c r="A7" s="635" t="s">
        <v>218</v>
      </c>
      <c r="B7" s="608"/>
      <c r="C7" s="608"/>
      <c r="D7" s="608"/>
      <c r="E7" s="608"/>
      <c r="F7" s="608"/>
      <c r="G7" s="608"/>
      <c r="H7" s="608"/>
      <c r="I7" s="608"/>
      <c r="J7" s="610"/>
    </row>
    <row r="8" spans="1:10" ht="15.75">
      <c r="A8" s="630"/>
      <c r="B8" s="608"/>
      <c r="C8" s="608"/>
      <c r="D8" s="608"/>
      <c r="E8" s="608"/>
      <c r="F8" s="608"/>
      <c r="G8" s="608"/>
      <c r="H8" s="608"/>
      <c r="I8" s="608"/>
      <c r="J8" s="610"/>
    </row>
    <row r="9" spans="1:10" ht="13.5" thickBot="1">
      <c r="A9" s="607"/>
      <c r="B9" s="608"/>
      <c r="C9" s="608"/>
      <c r="D9" s="608"/>
      <c r="E9" s="608"/>
      <c r="F9" s="608"/>
      <c r="G9" s="608"/>
      <c r="H9" s="608"/>
      <c r="I9" s="608"/>
      <c r="J9" s="610"/>
    </row>
    <row r="10" spans="1:10" s="313" customFormat="1" ht="23.25">
      <c r="A10" s="318" t="s">
        <v>194</v>
      </c>
      <c r="B10" s="319"/>
      <c r="C10" s="319"/>
      <c r="D10" s="320"/>
      <c r="E10" s="619" t="s">
        <v>196</v>
      </c>
      <c r="F10" s="318" t="s">
        <v>195</v>
      </c>
      <c r="G10" s="319"/>
      <c r="H10" s="320"/>
      <c r="I10" s="619"/>
      <c r="J10" s="336" t="s">
        <v>174</v>
      </c>
    </row>
    <row r="11" spans="1:10" ht="13.5" thickBot="1">
      <c r="A11" s="339"/>
      <c r="B11" s="340"/>
      <c r="C11" s="340"/>
      <c r="D11" s="341"/>
      <c r="E11" s="608"/>
      <c r="F11" s="339"/>
      <c r="G11" s="340"/>
      <c r="H11" s="341"/>
      <c r="I11" s="608"/>
      <c r="J11" s="342"/>
    </row>
    <row r="12" spans="1:10" ht="15.75">
      <c r="A12" s="776" t="s">
        <v>139</v>
      </c>
      <c r="B12" s="777"/>
      <c r="C12" s="777"/>
      <c r="D12" s="778">
        <f>SUM('PPPL FAB'!D134)</f>
        <v>151490.56</v>
      </c>
      <c r="E12" s="642">
        <f>+D12-H12</f>
        <v>18290.559999999998</v>
      </c>
      <c r="F12" s="321" t="s">
        <v>139</v>
      </c>
      <c r="G12" s="766"/>
      <c r="H12" s="767">
        <f>SUM('VENDOR FAB'!D137)</f>
        <v>133200</v>
      </c>
      <c r="I12" s="288"/>
      <c r="J12" s="343"/>
    </row>
    <row r="13" spans="1:10" ht="15.75">
      <c r="A13" s="321" t="s">
        <v>113</v>
      </c>
      <c r="B13" s="768"/>
      <c r="C13" s="768"/>
      <c r="D13" s="767">
        <f>SUM('PPPL FAB'!D135)</f>
        <v>27919.6</v>
      </c>
      <c r="E13" s="642">
        <f aca="true" t="shared" si="0" ref="E13:E38">+D13-H13</f>
        <v>10919.599999999999</v>
      </c>
      <c r="F13" s="321" t="s">
        <v>113</v>
      </c>
      <c r="G13" s="768"/>
      <c r="H13" s="767">
        <f>SUM('VENDOR FAB'!D138)</f>
        <v>17000</v>
      </c>
      <c r="I13" s="288"/>
      <c r="J13" s="343"/>
    </row>
    <row r="14" spans="1:10" ht="15.75">
      <c r="A14" s="322" t="s">
        <v>146</v>
      </c>
      <c r="B14" s="769"/>
      <c r="C14" s="769"/>
      <c r="D14" s="770">
        <f>SUM('PPPL FAB'!D136)</f>
        <v>209815.80000000002</v>
      </c>
      <c r="E14" s="642">
        <f t="shared" si="0"/>
        <v>155885.80000000002</v>
      </c>
      <c r="F14" s="322" t="s">
        <v>146</v>
      </c>
      <c r="G14" s="769"/>
      <c r="H14" s="770">
        <f>SUM('VENDOR FAB'!D139)</f>
        <v>53930</v>
      </c>
      <c r="I14" s="288"/>
      <c r="J14" s="343"/>
    </row>
    <row r="15" spans="1:10" ht="15.75">
      <c r="A15" s="322" t="s">
        <v>147</v>
      </c>
      <c r="B15" s="771"/>
      <c r="C15" s="771"/>
      <c r="D15" s="770">
        <f>SUM('PPPL FAB'!D137)</f>
        <v>79286</v>
      </c>
      <c r="E15" s="642">
        <f t="shared" si="0"/>
        <v>52776</v>
      </c>
      <c r="F15" s="322" t="s">
        <v>147</v>
      </c>
      <c r="G15" s="771"/>
      <c r="H15" s="770">
        <f>SUM('VENDOR FAB'!D140)</f>
        <v>26510</v>
      </c>
      <c r="I15" s="288"/>
      <c r="J15" s="343"/>
    </row>
    <row r="16" spans="1:10" ht="15.75">
      <c r="A16" s="323" t="s">
        <v>114</v>
      </c>
      <c r="B16" s="772"/>
      <c r="C16" s="772"/>
      <c r="D16" s="773">
        <f>SUM('PPPL FAB'!D138)</f>
        <v>511721.04000000004</v>
      </c>
      <c r="E16" s="642">
        <f t="shared" si="0"/>
        <v>87868.24000000005</v>
      </c>
      <c r="F16" s="323" t="s">
        <v>114</v>
      </c>
      <c r="G16" s="772"/>
      <c r="H16" s="773">
        <f>SUM('VENDOR FAB'!D141)</f>
        <v>423852.8</v>
      </c>
      <c r="I16" s="288"/>
      <c r="J16" s="343"/>
    </row>
    <row r="17" spans="1:10" ht="15.75">
      <c r="A17" s="324" t="s">
        <v>130</v>
      </c>
      <c r="B17" s="774"/>
      <c r="C17" s="774"/>
      <c r="D17" s="775">
        <f>SUM('PPPL FAB'!D139)</f>
        <v>27676.32</v>
      </c>
      <c r="E17" s="642">
        <f t="shared" si="0"/>
        <v>17776.32</v>
      </c>
      <c r="F17" s="324" t="s">
        <v>130</v>
      </c>
      <c r="G17" s="774"/>
      <c r="H17" s="775">
        <f>SUM('VENDOR FAB'!D142)</f>
        <v>9900</v>
      </c>
      <c r="I17" s="288"/>
      <c r="J17" s="343"/>
    </row>
    <row r="18" spans="1:10" ht="15.75">
      <c r="A18" s="324" t="s">
        <v>119</v>
      </c>
      <c r="B18" s="774"/>
      <c r="C18" s="774"/>
      <c r="D18" s="775">
        <f>SUM('PPPL FAB'!D140)</f>
        <v>226023.28</v>
      </c>
      <c r="E18" s="642">
        <f t="shared" si="0"/>
        <v>123503.28</v>
      </c>
      <c r="F18" s="324" t="s">
        <v>119</v>
      </c>
      <c r="G18" s="774"/>
      <c r="H18" s="775">
        <f>SUM('VENDOR FAB'!D143)</f>
        <v>102520</v>
      </c>
      <c r="I18" s="288"/>
      <c r="J18" s="343"/>
    </row>
    <row r="19" spans="1:10" ht="15.75">
      <c r="A19" s="324" t="s">
        <v>118</v>
      </c>
      <c r="B19" s="774"/>
      <c r="C19" s="774"/>
      <c r="D19" s="775">
        <f>SUM('PPPL FAB'!D141)</f>
        <v>125202.40000000001</v>
      </c>
      <c r="E19" s="642">
        <f t="shared" si="0"/>
        <v>41602.40000000001</v>
      </c>
      <c r="F19" s="324" t="s">
        <v>118</v>
      </c>
      <c r="G19" s="774"/>
      <c r="H19" s="775">
        <f>SUM('VENDOR FAB'!D144)</f>
        <v>83600</v>
      </c>
      <c r="I19" s="288"/>
      <c r="J19" s="343"/>
    </row>
    <row r="20" spans="1:10" ht="15.75">
      <c r="A20" s="324" t="s">
        <v>117</v>
      </c>
      <c r="B20" s="774"/>
      <c r="C20" s="774"/>
      <c r="D20" s="775">
        <f>SUM('PPPL FAB'!D142)</f>
        <v>231294.96000000002</v>
      </c>
      <c r="E20" s="642">
        <f t="shared" si="0"/>
        <v>80814.96000000002</v>
      </c>
      <c r="F20" s="324" t="s">
        <v>117</v>
      </c>
      <c r="G20" s="774"/>
      <c r="H20" s="775">
        <f>SUM('VENDOR FAB'!D145)</f>
        <v>150480</v>
      </c>
      <c r="I20" s="288"/>
      <c r="J20" s="343"/>
    </row>
    <row r="21" spans="1:10" ht="15.75">
      <c r="A21" s="324" t="s">
        <v>116</v>
      </c>
      <c r="B21" s="774"/>
      <c r="C21" s="774"/>
      <c r="D21" s="779">
        <f>SUM('PPPL FAB'!D143)</f>
        <v>23722.56</v>
      </c>
      <c r="E21" s="782">
        <f t="shared" si="0"/>
        <v>-19117.44</v>
      </c>
      <c r="F21" s="324" t="s">
        <v>116</v>
      </c>
      <c r="G21" s="774"/>
      <c r="H21" s="779">
        <f>SUM('VENDOR FAB'!D146)</f>
        <v>42840</v>
      </c>
      <c r="I21" s="288"/>
      <c r="J21" s="343"/>
    </row>
    <row r="22" spans="1:10" ht="15.75">
      <c r="A22" s="325"/>
      <c r="B22" s="164"/>
      <c r="C22" s="781" t="s">
        <v>253</v>
      </c>
      <c r="D22" s="780">
        <f>SUM(D12:D21)</f>
        <v>1614152.5199999998</v>
      </c>
      <c r="E22" s="642">
        <f t="shared" si="0"/>
        <v>570319.7199999997</v>
      </c>
      <c r="F22" s="331"/>
      <c r="G22" s="781" t="s">
        <v>253</v>
      </c>
      <c r="H22" s="746">
        <f>SUM(H12:H21)</f>
        <v>1043832.8</v>
      </c>
      <c r="I22" s="260"/>
      <c r="J22" s="337"/>
    </row>
    <row r="23" spans="1:10" ht="15.75">
      <c r="A23" s="325"/>
      <c r="B23" s="310"/>
      <c r="C23" s="310"/>
      <c r="D23" s="326"/>
      <c r="E23" s="642"/>
      <c r="F23" s="332" t="s">
        <v>191</v>
      </c>
      <c r="G23" s="303">
        <f>SUM('VENDOR FAB'!C149)</f>
        <v>0.2</v>
      </c>
      <c r="H23" s="300">
        <f>SUM('VENDOR FAB'!D149)</f>
        <v>208766.56000000003</v>
      </c>
      <c r="I23" s="301"/>
      <c r="J23" s="337"/>
    </row>
    <row r="24" spans="1:10" ht="15.75">
      <c r="A24" s="325"/>
      <c r="B24" s="310"/>
      <c r="C24" s="310"/>
      <c r="D24" s="326"/>
      <c r="E24" s="642"/>
      <c r="F24" s="332" t="s">
        <v>192</v>
      </c>
      <c r="G24" s="303">
        <v>0.1</v>
      </c>
      <c r="H24" s="304">
        <f>SUM('VENDOR FAB'!D150)</f>
        <v>125259.93600000002</v>
      </c>
      <c r="I24" s="301"/>
      <c r="J24" s="337"/>
    </row>
    <row r="25" spans="1:10" ht="15.75">
      <c r="A25" s="325"/>
      <c r="B25" s="310"/>
      <c r="C25" s="310"/>
      <c r="D25" s="326"/>
      <c r="E25" s="642"/>
      <c r="F25" s="691" t="s">
        <v>193</v>
      </c>
      <c r="G25" s="692"/>
      <c r="H25" s="693">
        <f>SUM(H22:H24)</f>
        <v>1377859.296</v>
      </c>
      <c r="I25" s="260"/>
      <c r="J25" s="694">
        <v>1015100</v>
      </c>
    </row>
    <row r="26" spans="1:10" ht="15">
      <c r="A26" s="325"/>
      <c r="B26" s="310"/>
      <c r="C26" s="310"/>
      <c r="D26" s="326"/>
      <c r="E26" s="642"/>
      <c r="F26" s="333"/>
      <c r="G26" s="299"/>
      <c r="H26" s="308"/>
      <c r="I26" s="260"/>
      <c r="J26" s="337"/>
    </row>
    <row r="27" spans="1:10" ht="15">
      <c r="A27" s="325"/>
      <c r="B27" s="310"/>
      <c r="C27" s="310"/>
      <c r="D27" s="326"/>
      <c r="E27" s="642"/>
      <c r="F27" s="333" t="s">
        <v>172</v>
      </c>
      <c r="G27" s="687" t="s">
        <v>241</v>
      </c>
      <c r="H27" s="308">
        <f>SUM('VENDOR FAB'!D153)</f>
        <v>147650</v>
      </c>
      <c r="I27" s="361"/>
      <c r="J27" s="337"/>
    </row>
    <row r="28" spans="1:10" ht="18.75">
      <c r="A28" s="325"/>
      <c r="B28" s="310"/>
      <c r="C28" s="310"/>
      <c r="D28" s="326"/>
      <c r="E28" s="642"/>
      <c r="F28" s="333" t="s">
        <v>173</v>
      </c>
      <c r="G28" s="303" t="s">
        <v>242</v>
      </c>
      <c r="H28" s="309">
        <f>SUM('VENDOR FAB'!D154)</f>
        <v>19194.5</v>
      </c>
      <c r="I28" s="631"/>
      <c r="J28" s="337"/>
    </row>
    <row r="29" spans="1:10" s="316" customFormat="1" ht="18">
      <c r="A29" s="327" t="s">
        <v>123</v>
      </c>
      <c r="B29" s="315"/>
      <c r="C29" s="315"/>
      <c r="D29" s="765">
        <f>SUM(D22)</f>
        <v>1614152.5199999998</v>
      </c>
      <c r="E29" s="643">
        <f t="shared" si="0"/>
        <v>69448.7239999997</v>
      </c>
      <c r="F29" s="334" t="s">
        <v>175</v>
      </c>
      <c r="G29" s="315"/>
      <c r="H29" s="335">
        <f>SUM(H25:H28)</f>
        <v>1544703.796</v>
      </c>
      <c r="I29" s="632"/>
      <c r="J29" s="344">
        <v>1162679</v>
      </c>
    </row>
    <row r="30" spans="1:10" ht="18">
      <c r="A30" s="261"/>
      <c r="B30" s="311"/>
      <c r="C30" s="268"/>
      <c r="D30" s="263"/>
      <c r="E30" s="642"/>
      <c r="F30" s="261"/>
      <c r="G30" s="268"/>
      <c r="H30" s="263"/>
      <c r="I30" s="608"/>
      <c r="J30" s="345"/>
    </row>
    <row r="31" spans="1:10" ht="18">
      <c r="A31" s="261" t="s">
        <v>180</v>
      </c>
      <c r="B31" s="311"/>
      <c r="C31" s="270"/>
      <c r="D31" s="263">
        <f>SUM('PPPL FAB'!D149)</f>
        <v>145173.6</v>
      </c>
      <c r="E31" s="644">
        <f t="shared" si="0"/>
        <v>0</v>
      </c>
      <c r="F31" s="261" t="s">
        <v>180</v>
      </c>
      <c r="G31" s="270"/>
      <c r="H31" s="263">
        <f>SUM('VENDOR FAB'!D157)</f>
        <v>145173.6</v>
      </c>
      <c r="I31" s="608"/>
      <c r="J31" s="346">
        <v>113900</v>
      </c>
    </row>
    <row r="32" spans="1:10" ht="18">
      <c r="A32" s="261" t="s">
        <v>182</v>
      </c>
      <c r="B32" s="311"/>
      <c r="C32" s="268"/>
      <c r="D32" s="263"/>
      <c r="E32" s="644"/>
      <c r="F32" s="261" t="s">
        <v>176</v>
      </c>
      <c r="G32" s="268"/>
      <c r="H32" s="263"/>
      <c r="I32" s="608"/>
      <c r="J32" s="345"/>
    </row>
    <row r="33" spans="1:10" ht="18">
      <c r="A33" s="261"/>
      <c r="B33" s="311"/>
      <c r="C33" s="268"/>
      <c r="D33" s="263"/>
      <c r="E33" s="644"/>
      <c r="F33" s="261" t="s">
        <v>252</v>
      </c>
      <c r="G33" s="268"/>
      <c r="H33" s="263">
        <f>SUM('VENDOR FAB'!D159)</f>
        <v>70012.79999999999</v>
      </c>
      <c r="I33" s="608"/>
      <c r="J33" s="345"/>
    </row>
    <row r="34" spans="1:10" ht="18">
      <c r="A34" s="261" t="s">
        <v>181</v>
      </c>
      <c r="B34" s="311"/>
      <c r="C34" s="268"/>
      <c r="D34" s="265">
        <f>SUM('PPPL FAB'!D151)</f>
        <v>0</v>
      </c>
      <c r="E34" s="644">
        <f t="shared" si="0"/>
        <v>-43222.49999999999</v>
      </c>
      <c r="F34" s="261" t="s">
        <v>177</v>
      </c>
      <c r="G34" s="268"/>
      <c r="H34" s="265">
        <f>SUM('VENDOR FAB'!D160)</f>
        <v>43222.49999999999</v>
      </c>
      <c r="I34" s="608"/>
      <c r="J34" s="347">
        <v>1E-05</v>
      </c>
    </row>
    <row r="35" spans="1:10" ht="18.75">
      <c r="A35" s="261"/>
      <c r="B35" s="311"/>
      <c r="C35" s="268"/>
      <c r="D35" s="263"/>
      <c r="E35" s="642"/>
      <c r="F35" s="261"/>
      <c r="G35" s="268"/>
      <c r="H35" s="263"/>
      <c r="I35" s="633"/>
      <c r="J35" s="108"/>
    </row>
    <row r="36" spans="1:10" s="312" customFormat="1" ht="23.25">
      <c r="A36" s="328" t="s">
        <v>189</v>
      </c>
      <c r="B36" s="317"/>
      <c r="C36" s="317"/>
      <c r="D36" s="329">
        <f>SUM(D29:D34)</f>
        <v>1759326.1199999999</v>
      </c>
      <c r="E36" s="643">
        <f t="shared" si="0"/>
        <v>-43786.57600000035</v>
      </c>
      <c r="F36" s="328" t="s">
        <v>178</v>
      </c>
      <c r="G36" s="317"/>
      <c r="H36" s="329">
        <f>SUM(H29:H34)</f>
        <v>1803112.6960000002</v>
      </c>
      <c r="I36" s="634"/>
      <c r="J36" s="348">
        <v>1272565.52001</v>
      </c>
    </row>
    <row r="37" spans="1:10" ht="18">
      <c r="A37" s="274"/>
      <c r="B37" s="311"/>
      <c r="C37" s="275"/>
      <c r="D37" s="276"/>
      <c r="E37" s="642"/>
      <c r="F37" s="274"/>
      <c r="G37" s="275"/>
      <c r="H37" s="276"/>
      <c r="I37" s="361"/>
      <c r="J37" s="338"/>
    </row>
    <row r="38" spans="1:10" ht="18">
      <c r="A38" s="271" t="s">
        <v>179</v>
      </c>
      <c r="B38" s="311"/>
      <c r="C38" s="272"/>
      <c r="D38" s="273">
        <f>+D36-J36</f>
        <v>486760.5999899998</v>
      </c>
      <c r="E38" s="642">
        <f t="shared" si="0"/>
        <v>-43786.57600000035</v>
      </c>
      <c r="F38" s="271" t="s">
        <v>179</v>
      </c>
      <c r="G38" s="272"/>
      <c r="H38" s="273">
        <f>+H36-J36</f>
        <v>530547.1759900001</v>
      </c>
      <c r="I38" s="361"/>
      <c r="J38" s="646"/>
    </row>
    <row r="39" spans="1:10" ht="16.5" thickBot="1">
      <c r="A39" s="277"/>
      <c r="B39" s="330"/>
      <c r="C39" s="278"/>
      <c r="D39" s="279"/>
      <c r="E39" s="314"/>
      <c r="F39" s="277"/>
      <c r="G39" s="278"/>
      <c r="H39" s="279"/>
      <c r="I39" s="361"/>
      <c r="J39" s="647"/>
    </row>
    <row r="40" spans="1:10" ht="12.75">
      <c r="A40" s="607"/>
      <c r="B40" s="608"/>
      <c r="C40" s="608"/>
      <c r="D40" s="608"/>
      <c r="E40" s="608"/>
      <c r="F40" s="608"/>
      <c r="G40" s="608"/>
      <c r="H40" s="608"/>
      <c r="I40" s="608"/>
      <c r="J40" s="610"/>
    </row>
    <row r="41" spans="1:10" ht="15">
      <c r="A41" s="607"/>
      <c r="B41" s="608"/>
      <c r="C41" s="608"/>
      <c r="D41" s="679" t="s">
        <v>228</v>
      </c>
      <c r="E41" s="680"/>
      <c r="F41" s="608"/>
      <c r="G41" s="608"/>
      <c r="H41" s="608"/>
      <c r="I41" s="608"/>
      <c r="J41" s="610"/>
    </row>
    <row r="42" spans="1:10" ht="15">
      <c r="A42" s="607"/>
      <c r="B42" s="608"/>
      <c r="C42" s="608"/>
      <c r="D42" s="679"/>
      <c r="E42" s="680" t="s">
        <v>232</v>
      </c>
      <c r="F42" s="608"/>
      <c r="G42" s="608"/>
      <c r="H42" s="608"/>
      <c r="I42" s="608"/>
      <c r="J42" s="610"/>
    </row>
    <row r="43" spans="1:10" ht="15">
      <c r="A43" s="607"/>
      <c r="B43" s="608"/>
      <c r="C43" s="608"/>
      <c r="D43" s="681" t="s">
        <v>223</v>
      </c>
      <c r="E43" s="645">
        <f>SUM('PPPL FAB'!G136)</f>
        <v>0.16685979142526072</v>
      </c>
      <c r="F43" s="608"/>
      <c r="G43" s="608"/>
      <c r="H43" s="608"/>
      <c r="I43" s="608"/>
      <c r="J43" s="610"/>
    </row>
    <row r="44" spans="1:10" ht="15">
      <c r="A44" s="607"/>
      <c r="B44" s="608"/>
      <c r="C44" s="608"/>
      <c r="D44" s="681" t="s">
        <v>222</v>
      </c>
      <c r="E44" s="645">
        <f>SUM('PPPL FAB'!G137)</f>
        <v>0.4171494785631518</v>
      </c>
      <c r="F44" s="608"/>
      <c r="G44" s="608"/>
      <c r="H44" s="608"/>
      <c r="I44" s="608"/>
      <c r="J44" s="610"/>
    </row>
    <row r="45" spans="1:10" ht="15">
      <c r="A45" s="607"/>
      <c r="B45" s="608"/>
      <c r="C45" s="608"/>
      <c r="D45" s="681" t="s">
        <v>226</v>
      </c>
      <c r="E45" s="645">
        <f>SUM('PPPL FAB'!G138)</f>
        <v>0.7786790266512167</v>
      </c>
      <c r="F45" s="608"/>
      <c r="G45" s="608"/>
      <c r="H45" s="608"/>
      <c r="I45" s="608"/>
      <c r="J45" s="610"/>
    </row>
    <row r="46" spans="1:10" ht="15">
      <c r="A46" s="607"/>
      <c r="B46" s="608"/>
      <c r="C46" s="608"/>
      <c r="D46" s="681" t="s">
        <v>227</v>
      </c>
      <c r="E46" s="645">
        <f>SUM('PPPL FAB'!G139)</f>
        <v>0.3939745075318656</v>
      </c>
      <c r="F46" s="608"/>
      <c r="G46" s="608"/>
      <c r="H46" s="608"/>
      <c r="I46" s="608"/>
      <c r="J46" s="610"/>
    </row>
    <row r="47" spans="1:10" ht="15">
      <c r="A47" s="607"/>
      <c r="B47" s="608"/>
      <c r="C47" s="608"/>
      <c r="D47" s="681" t="s">
        <v>224</v>
      </c>
      <c r="E47" s="682">
        <f>SUM('PPPL FAB'!G140)</f>
        <v>5.775202780996524</v>
      </c>
      <c r="F47" s="608"/>
      <c r="G47" s="608"/>
      <c r="H47" s="608"/>
      <c r="I47" s="608"/>
      <c r="J47" s="610"/>
    </row>
    <row r="48" spans="1:10" ht="15">
      <c r="A48" s="607"/>
      <c r="B48" s="608"/>
      <c r="C48" s="608"/>
      <c r="D48" s="679"/>
      <c r="E48" s="645">
        <f>SUM(E43:E47)</f>
        <v>7.531865585168019</v>
      </c>
      <c r="F48" s="608"/>
      <c r="G48" s="608"/>
      <c r="H48" s="608"/>
      <c r="I48" s="608"/>
      <c r="J48" s="610"/>
    </row>
    <row r="49" spans="1:10" ht="13.5" thickBot="1">
      <c r="A49" s="339"/>
      <c r="B49" s="340"/>
      <c r="C49" s="340"/>
      <c r="D49" s="340"/>
      <c r="E49" s="340"/>
      <c r="F49" s="340"/>
      <c r="G49" s="340"/>
      <c r="H49" s="340"/>
      <c r="I49" s="340"/>
      <c r="J49" s="341"/>
    </row>
    <row r="61" ht="18">
      <c r="AV61" s="683"/>
    </row>
    <row r="62" ht="18">
      <c r="AV62" s="683"/>
    </row>
    <row r="63" ht="18">
      <c r="AV63" s="683"/>
    </row>
    <row r="64" ht="18">
      <c r="AV64" s="683"/>
    </row>
    <row r="65" ht="18">
      <c r="AV65" s="683"/>
    </row>
    <row r="66" ht="18">
      <c r="AV66" s="683"/>
    </row>
    <row r="67" ht="18">
      <c r="AV67" s="684"/>
    </row>
    <row r="68" ht="18">
      <c r="AV68" s="683"/>
    </row>
    <row r="69" ht="18">
      <c r="AV69" s="683"/>
    </row>
    <row r="70" ht="18">
      <c r="AV70" s="683"/>
    </row>
    <row r="71" ht="18">
      <c r="AV71" s="683"/>
    </row>
  </sheetData>
  <printOptions gridLines="1"/>
  <pageMargins left="0.39" right="0.3" top="0.46" bottom="0.53" header="0.37" footer="0.37"/>
  <pageSetup fitToHeight="1" fitToWidth="1" horizontalDpi="300" verticalDpi="300" orientation="landscape" scale="66" r:id="rId1"/>
  <headerFooter alignWithMargins="0">
    <oddFooter>&amp;C&amp;Z&amp;F          &amp;F        &amp;D        &amp;T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="90" zoomScaleNormal="90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41.00390625" style="0" customWidth="1"/>
    <col min="3" max="4" width="16.28125" style="0" customWidth="1"/>
    <col min="5" max="5" width="8.421875" style="0" customWidth="1"/>
    <col min="6" max="7" width="17.140625" style="0" customWidth="1"/>
    <col min="8" max="16384" width="38.7109375" style="0" customWidth="1"/>
  </cols>
  <sheetData>
    <row r="1" ht="21" thickBot="1">
      <c r="B1" s="650" t="s">
        <v>230</v>
      </c>
    </row>
    <row r="2" spans="1:5" ht="3" customHeight="1" thickBot="1">
      <c r="A2" s="7"/>
      <c r="B2" s="101"/>
      <c r="C2" s="666"/>
      <c r="D2" s="102"/>
      <c r="E2" s="674"/>
    </row>
    <row r="3" spans="1:5" ht="15.75">
      <c r="A3" s="21"/>
      <c r="B3" s="652" t="s">
        <v>13</v>
      </c>
      <c r="C3" s="667" t="s">
        <v>194</v>
      </c>
      <c r="D3" s="651" t="s">
        <v>195</v>
      </c>
      <c r="E3" s="675" t="s">
        <v>229</v>
      </c>
    </row>
    <row r="4" spans="1:5" ht="5.25" customHeight="1" thickBot="1">
      <c r="A4" s="8"/>
      <c r="B4" s="653"/>
      <c r="C4" s="114"/>
      <c r="D4" s="114"/>
      <c r="E4" s="673"/>
    </row>
    <row r="5" spans="1:5" ht="12.75">
      <c r="A5" s="233">
        <v>1</v>
      </c>
      <c r="B5" s="654" t="s">
        <v>56</v>
      </c>
      <c r="C5" s="169"/>
      <c r="D5" s="169"/>
      <c r="E5" s="673"/>
    </row>
    <row r="6" spans="1:5" ht="12.75">
      <c r="A6" s="96"/>
      <c r="B6" s="655" t="s">
        <v>136</v>
      </c>
      <c r="C6" s="66">
        <f>SUM('PPPL FAB'!G11:L11)</f>
        <v>1008</v>
      </c>
      <c r="D6" s="66">
        <f>SUM('VENDOR FAB'!G11:L11)</f>
        <v>444</v>
      </c>
      <c r="E6" s="677">
        <f>+C6-D6</f>
        <v>564</v>
      </c>
    </row>
    <row r="7" spans="1:5" ht="12.75">
      <c r="A7" s="96"/>
      <c r="B7" s="656" t="s">
        <v>54</v>
      </c>
      <c r="C7" s="66">
        <f>SUM('PPPL FAB'!G12:L12)</f>
        <v>120</v>
      </c>
      <c r="D7" s="66">
        <f>SUM('VENDOR FAB'!G12:L12)</f>
        <v>240</v>
      </c>
      <c r="E7" s="676">
        <f>+C7-D7</f>
        <v>-120</v>
      </c>
    </row>
    <row r="8" spans="1:5" ht="12.75">
      <c r="A8" s="96"/>
      <c r="B8" s="656" t="s">
        <v>55</v>
      </c>
      <c r="C8" s="66">
        <f>SUM('PPPL FAB'!G13:L13)</f>
        <v>120</v>
      </c>
      <c r="D8" s="66">
        <f>SUM('VENDOR FAB'!G13:L13)</f>
        <v>576</v>
      </c>
      <c r="E8" s="676">
        <f>+C8-D8</f>
        <v>-456</v>
      </c>
    </row>
    <row r="9" spans="1:5" ht="13.5" thickBot="1">
      <c r="A9" s="96"/>
      <c r="B9" s="656" t="s">
        <v>125</v>
      </c>
      <c r="C9" s="66">
        <f>SUM('PPPL FAB'!G14:L14)</f>
        <v>40</v>
      </c>
      <c r="D9" s="66">
        <f>SUM('VENDOR FAB'!G14:L14)</f>
        <v>144</v>
      </c>
      <c r="E9" s="676">
        <f>+C9-D9</f>
        <v>-104</v>
      </c>
    </row>
    <row r="10" spans="1:5" ht="12.75">
      <c r="A10" s="233">
        <v>2</v>
      </c>
      <c r="B10" s="657" t="s">
        <v>135</v>
      </c>
      <c r="C10" s="169"/>
      <c r="D10" s="169"/>
      <c r="E10" s="676"/>
    </row>
    <row r="11" spans="1:5" ht="12.75" hidden="1">
      <c r="A11" s="96"/>
      <c r="B11" s="658" t="s">
        <v>131</v>
      </c>
      <c r="C11" s="40">
        <f>SUM('PPPL FAB'!G18:L18)</f>
        <v>0</v>
      </c>
      <c r="D11" s="40">
        <f>SUM('VENDOR FAB'!G18:L18)</f>
        <v>0</v>
      </c>
      <c r="E11" s="676">
        <f>+C11-D11</f>
        <v>0</v>
      </c>
    </row>
    <row r="12" spans="1:5" ht="12.75">
      <c r="A12" s="96"/>
      <c r="B12" s="658" t="s">
        <v>132</v>
      </c>
      <c r="C12" s="40">
        <f>SUM('PPPL FAB'!G19:L19)</f>
        <v>80</v>
      </c>
      <c r="D12" s="40">
        <f>SUM('VENDOR FAB'!G19:L19)</f>
        <v>80</v>
      </c>
      <c r="E12" s="678">
        <f>+C12-D12</f>
        <v>0</v>
      </c>
    </row>
    <row r="13" spans="1:5" ht="12.75">
      <c r="A13" s="96"/>
      <c r="B13" s="658" t="s">
        <v>140</v>
      </c>
      <c r="C13" s="40">
        <f>SUM('PPPL FAB'!G20:L20)</f>
        <v>60</v>
      </c>
      <c r="D13" s="40">
        <f>SUM('VENDOR FAB'!G20:L20)</f>
        <v>60</v>
      </c>
      <c r="E13" s="678">
        <f>+C13-D13</f>
        <v>0</v>
      </c>
    </row>
    <row r="14" spans="1:5" ht="12.75">
      <c r="A14" s="96"/>
      <c r="B14" s="658" t="s">
        <v>133</v>
      </c>
      <c r="C14" s="40">
        <f>SUM('PPPL FAB'!G21:L21)</f>
        <v>60</v>
      </c>
      <c r="D14" s="40">
        <f>SUM('VENDOR FAB'!G21:L21)</f>
        <v>60</v>
      </c>
      <c r="E14" s="678">
        <f>+C14-D14</f>
        <v>0</v>
      </c>
    </row>
    <row r="15" spans="1:5" ht="13.5" thickBot="1">
      <c r="A15" s="96"/>
      <c r="B15" s="658" t="s">
        <v>134</v>
      </c>
      <c r="C15" s="40">
        <f>SUM('PPPL FAB'!G22:L22)</f>
        <v>80</v>
      </c>
      <c r="D15" s="40">
        <f>SUM('VENDOR FAB'!G22:L22)</f>
        <v>80</v>
      </c>
      <c r="E15" s="678">
        <f>+C15-D15</f>
        <v>0</v>
      </c>
    </row>
    <row r="16" spans="1:5" ht="12.75">
      <c r="A16" s="178">
        <v>3</v>
      </c>
      <c r="B16" s="659" t="s">
        <v>42</v>
      </c>
      <c r="C16" s="181"/>
      <c r="D16" s="181"/>
      <c r="E16" s="676"/>
    </row>
    <row r="17" spans="1:5" ht="12.75">
      <c r="A17" s="73"/>
      <c r="B17" s="660" t="s">
        <v>26</v>
      </c>
      <c r="C17" s="40"/>
      <c r="D17" s="40"/>
      <c r="E17" s="676"/>
    </row>
    <row r="18" spans="1:5" ht="12.75">
      <c r="A18" s="73"/>
      <c r="B18" s="661" t="s">
        <v>111</v>
      </c>
      <c r="C18" s="40">
        <f>SUM('PPPL FAB'!G30:L30)</f>
        <v>360</v>
      </c>
      <c r="D18" s="40">
        <f>SUM('VENDOR FAB'!G30:L30)</f>
        <v>0</v>
      </c>
      <c r="E18" s="677">
        <f aca="true" t="shared" si="0" ref="E18:E24">+C18-D18</f>
        <v>360</v>
      </c>
    </row>
    <row r="19" spans="1:5" ht="12.75">
      <c r="A19" s="73"/>
      <c r="B19" s="661" t="s">
        <v>112</v>
      </c>
      <c r="C19" s="40">
        <f>SUM('PPPL FAB'!G31:L31)</f>
        <v>160</v>
      </c>
      <c r="D19" s="40">
        <f>SUM('VENDOR FAB'!G31:L31)</f>
        <v>0</v>
      </c>
      <c r="E19" s="677">
        <f t="shared" si="0"/>
        <v>160</v>
      </c>
    </row>
    <row r="20" spans="1:5" ht="12.75">
      <c r="A20" s="73"/>
      <c r="B20" s="661" t="s">
        <v>126</v>
      </c>
      <c r="C20" s="40">
        <f>SUM('PPPL FAB'!G32:L32)</f>
        <v>320</v>
      </c>
      <c r="D20" s="40">
        <f>SUM('VENDOR FAB'!G32:L32)</f>
        <v>0</v>
      </c>
      <c r="E20" s="677">
        <f t="shared" si="0"/>
        <v>320</v>
      </c>
    </row>
    <row r="21" spans="1:5" ht="12.75">
      <c r="A21" s="73"/>
      <c r="B21" s="661" t="s">
        <v>127</v>
      </c>
      <c r="C21" s="40">
        <f>SUM('PPPL FAB'!G33:L33)</f>
        <v>280</v>
      </c>
      <c r="D21" s="40">
        <f>SUM('VENDOR FAB'!G33:L33)</f>
        <v>280</v>
      </c>
      <c r="E21" s="678">
        <f t="shared" si="0"/>
        <v>0</v>
      </c>
    </row>
    <row r="22" spans="1:5" ht="12.75" hidden="1">
      <c r="A22" s="73"/>
      <c r="B22" s="661" t="s">
        <v>43</v>
      </c>
      <c r="C22" s="40">
        <f>SUM('PPPL FAB'!G34:L34)</f>
        <v>0</v>
      </c>
      <c r="D22" s="40">
        <f>SUM('VENDOR FAB'!G34:L34)</f>
        <v>0</v>
      </c>
      <c r="E22" s="678">
        <f t="shared" si="0"/>
        <v>0</v>
      </c>
    </row>
    <row r="23" spans="1:5" ht="13.5" thickBot="1">
      <c r="A23" s="73"/>
      <c r="B23" s="661" t="s">
        <v>128</v>
      </c>
      <c r="C23" s="40">
        <f>SUM('PPPL FAB'!G35:L35)</f>
        <v>720</v>
      </c>
      <c r="D23" s="40">
        <f>SUM('VENDOR FAB'!G35:L35)</f>
        <v>360</v>
      </c>
      <c r="E23" s="677">
        <f t="shared" si="0"/>
        <v>360</v>
      </c>
    </row>
    <row r="24" spans="1:5" ht="13.5" hidden="1" thickBot="1">
      <c r="A24" s="73"/>
      <c r="B24" s="661" t="s">
        <v>171</v>
      </c>
      <c r="C24" s="40">
        <f>SUM('PPPL FAB'!G36:L36)</f>
        <v>0</v>
      </c>
      <c r="D24" s="40">
        <f>SUM('VENDOR FAB'!G36:L36)</f>
        <v>0</v>
      </c>
      <c r="E24" s="678">
        <f t="shared" si="0"/>
        <v>0</v>
      </c>
    </row>
    <row r="25" spans="1:5" ht="12.75">
      <c r="A25" s="178">
        <v>4</v>
      </c>
      <c r="B25" s="662" t="s">
        <v>44</v>
      </c>
      <c r="C25" s="181"/>
      <c r="D25" s="181"/>
      <c r="E25" s="676"/>
    </row>
    <row r="26" spans="1:5" ht="12.75">
      <c r="A26" s="73"/>
      <c r="B26" s="141" t="s">
        <v>170</v>
      </c>
      <c r="C26" s="66">
        <f>SUM('PPPL FAB'!G40:L40)</f>
        <v>800</v>
      </c>
      <c r="D26" s="66">
        <f>SUM('VENDOR FAB'!G40:L40)</f>
        <v>120</v>
      </c>
      <c r="E26" s="760">
        <f aca="true" t="shared" si="1" ref="E26:E31">+C26-D26</f>
        <v>680</v>
      </c>
    </row>
    <row r="27" spans="1:5" ht="12.75" hidden="1">
      <c r="A27" s="73"/>
      <c r="B27" s="661" t="s">
        <v>107</v>
      </c>
      <c r="C27" s="40">
        <f>SUM('PPPL FAB'!G41:L41)</f>
        <v>0</v>
      </c>
      <c r="D27" s="40">
        <f>SUM('VENDOR FAB'!G41:L41)</f>
        <v>0</v>
      </c>
      <c r="E27" s="676">
        <f t="shared" si="1"/>
        <v>0</v>
      </c>
    </row>
    <row r="28" spans="1:5" ht="12.75" hidden="1">
      <c r="A28" s="73"/>
      <c r="B28" s="661" t="s">
        <v>108</v>
      </c>
      <c r="C28" s="40">
        <f>SUM('PPPL FAB'!G42:L42)</f>
        <v>0</v>
      </c>
      <c r="D28" s="40">
        <f>SUM('VENDOR FAB'!G42:L42)</f>
        <v>0</v>
      </c>
      <c r="E28" s="676">
        <f t="shared" si="1"/>
        <v>0</v>
      </c>
    </row>
    <row r="29" spans="1:5" ht="12.75" hidden="1">
      <c r="A29" s="73"/>
      <c r="B29" s="661" t="s">
        <v>109</v>
      </c>
      <c r="C29" s="40">
        <f>SUM('PPPL FAB'!G43:L43)</f>
        <v>0</v>
      </c>
      <c r="D29" s="40">
        <f>SUM('VENDOR FAB'!G43:L43)</f>
        <v>0</v>
      </c>
      <c r="E29" s="676">
        <f t="shared" si="1"/>
        <v>0</v>
      </c>
    </row>
    <row r="30" spans="1:5" ht="12.75" hidden="1">
      <c r="A30" s="73"/>
      <c r="B30" s="661" t="s">
        <v>110</v>
      </c>
      <c r="C30" s="40">
        <f>SUM('PPPL FAB'!G44:L44)</f>
        <v>0</v>
      </c>
      <c r="D30" s="40">
        <f>SUM('VENDOR FAB'!G44:L44)</f>
        <v>0</v>
      </c>
      <c r="E30" s="676">
        <f t="shared" si="1"/>
        <v>0</v>
      </c>
    </row>
    <row r="31" spans="1:5" ht="13.5" thickBot="1">
      <c r="A31" s="73"/>
      <c r="B31" s="663" t="s">
        <v>66</v>
      </c>
      <c r="C31" s="40">
        <f>SUM('PPPL FAB'!G45:L45)</f>
        <v>0</v>
      </c>
      <c r="D31" s="40">
        <f>SUM('VENDOR FAB'!G45:L45)</f>
        <v>120</v>
      </c>
      <c r="E31" s="676">
        <f t="shared" si="1"/>
        <v>-120</v>
      </c>
    </row>
    <row r="32" spans="1:5" ht="12.75">
      <c r="A32" s="224">
        <v>5</v>
      </c>
      <c r="B32" s="664" t="s">
        <v>53</v>
      </c>
      <c r="C32" s="221"/>
      <c r="D32" s="221"/>
      <c r="E32" s="676"/>
    </row>
    <row r="33" spans="1:5" ht="12.75">
      <c r="A33" s="235" t="s">
        <v>155</v>
      </c>
      <c r="B33" s="665" t="s">
        <v>52</v>
      </c>
      <c r="C33" s="40"/>
      <c r="D33" s="40"/>
      <c r="E33" s="676"/>
    </row>
    <row r="34" spans="1:5" ht="12.75" hidden="1">
      <c r="A34" s="34"/>
      <c r="B34" s="663" t="s">
        <v>164</v>
      </c>
      <c r="C34" s="40">
        <f>SUM('PPPL FAB'!G50:L50)</f>
        <v>0</v>
      </c>
      <c r="D34" s="40">
        <f>SUM('VENDOR FAB'!G50:L50)</f>
        <v>0</v>
      </c>
      <c r="E34" s="676"/>
    </row>
    <row r="35" spans="1:5" ht="12.75" hidden="1">
      <c r="A35" s="34"/>
      <c r="B35" s="663" t="s">
        <v>51</v>
      </c>
      <c r="C35" s="40">
        <f>SUM('PPPL FAB'!G51:L51)</f>
        <v>0</v>
      </c>
      <c r="D35" s="40">
        <f>SUM('VENDOR FAB'!G51:L51)</f>
        <v>0</v>
      </c>
      <c r="E35" s="676"/>
    </row>
    <row r="36" spans="1:5" ht="22.5" hidden="1">
      <c r="A36" s="34"/>
      <c r="B36" s="661" t="s">
        <v>150</v>
      </c>
      <c r="C36" s="40">
        <f>SUM('PPPL FAB'!G52:L52)</f>
        <v>0</v>
      </c>
      <c r="D36" s="40">
        <f>SUM('VENDOR FAB'!G52:L52)</f>
        <v>0</v>
      </c>
      <c r="E36" s="676"/>
    </row>
    <row r="37" spans="1:5" ht="12.75" hidden="1">
      <c r="A37" s="34"/>
      <c r="B37" s="663" t="s">
        <v>45</v>
      </c>
      <c r="C37" s="40">
        <f>SUM('PPPL FAB'!G53:L53)</f>
        <v>0</v>
      </c>
      <c r="D37" s="40">
        <f>SUM('VENDOR FAB'!G53:L53)</f>
        <v>0</v>
      </c>
      <c r="E37" s="676"/>
    </row>
    <row r="38" spans="1:5" ht="22.5">
      <c r="A38" s="34"/>
      <c r="B38" s="663" t="s">
        <v>151</v>
      </c>
      <c r="C38" s="40">
        <f>SUM('PPPL FAB'!G54:L54)</f>
        <v>560</v>
      </c>
      <c r="D38" s="40">
        <f>SUM('VENDOR FAB'!G54:L54)</f>
        <v>560</v>
      </c>
      <c r="E38" s="678">
        <f>+C38-D38</f>
        <v>0</v>
      </c>
    </row>
    <row r="39" spans="1:5" ht="13.5" thickBot="1">
      <c r="A39" s="34"/>
      <c r="B39" s="663" t="s">
        <v>148</v>
      </c>
      <c r="C39" s="40">
        <f>SUM('PPPL FAB'!G55:L55)</f>
        <v>184</v>
      </c>
      <c r="D39" s="40">
        <f>SUM('VENDOR FAB'!G55:L55)</f>
        <v>184</v>
      </c>
      <c r="E39" s="678">
        <f>+C39-D39</f>
        <v>0</v>
      </c>
    </row>
    <row r="40" spans="1:5" ht="13.5" hidden="1" thickBot="1">
      <c r="A40" s="34"/>
      <c r="B40" s="663" t="s">
        <v>50</v>
      </c>
      <c r="C40" s="40">
        <f>SUM('PPPL FAB'!G56:L56)</f>
        <v>0</v>
      </c>
      <c r="D40" s="40">
        <f>SUM('VENDOR FAB'!G56:L56)</f>
        <v>0</v>
      </c>
      <c r="E40" s="676"/>
    </row>
    <row r="41" spans="1:5" ht="23.25" hidden="1" thickBot="1">
      <c r="A41" s="34"/>
      <c r="B41" s="663" t="s">
        <v>152</v>
      </c>
      <c r="C41" s="40">
        <f>SUM('PPPL FAB'!G57:L57)</f>
        <v>0</v>
      </c>
      <c r="D41" s="40">
        <f>SUM('VENDOR FAB'!G57:L57)</f>
        <v>0</v>
      </c>
      <c r="E41" s="676"/>
    </row>
    <row r="42" spans="1:5" ht="13.5" hidden="1" thickBot="1">
      <c r="A42" s="34"/>
      <c r="B42" s="663" t="s">
        <v>165</v>
      </c>
      <c r="C42" s="40">
        <f>SUM('PPPL FAB'!G58:L58)</f>
        <v>0</v>
      </c>
      <c r="D42" s="40">
        <f>SUM('VENDOR FAB'!G58:L58)</f>
        <v>0</v>
      </c>
      <c r="E42" s="676"/>
    </row>
    <row r="43" spans="1:5" ht="12.75">
      <c r="A43" s="224" t="s">
        <v>156</v>
      </c>
      <c r="B43" s="664" t="s">
        <v>48</v>
      </c>
      <c r="C43" s="221"/>
      <c r="D43" s="221"/>
      <c r="E43" s="676"/>
    </row>
    <row r="44" spans="1:5" ht="12.75" hidden="1">
      <c r="A44" s="34"/>
      <c r="B44" s="663" t="s">
        <v>120</v>
      </c>
      <c r="C44" s="40">
        <f>SUM('PPPL FAB'!G60:L60)</f>
        <v>0</v>
      </c>
      <c r="D44" s="40">
        <f>SUM('VENDOR FAB'!G60:L60)</f>
        <v>0</v>
      </c>
      <c r="E44" s="676"/>
    </row>
    <row r="45" spans="1:5" ht="13.5" thickBot="1">
      <c r="A45" s="34"/>
      <c r="B45" s="663" t="s">
        <v>121</v>
      </c>
      <c r="C45" s="40">
        <f>SUM('PPPL FAB'!G61:L61)</f>
        <v>432</v>
      </c>
      <c r="D45" s="40">
        <f>SUM('VENDOR FAB'!G61:L61)</f>
        <v>432</v>
      </c>
      <c r="E45" s="678">
        <f>+C45-D45</f>
        <v>0</v>
      </c>
    </row>
    <row r="46" spans="1:5" ht="13.5" hidden="1" thickBot="1">
      <c r="A46" s="34"/>
      <c r="B46" s="661" t="s">
        <v>46</v>
      </c>
      <c r="C46" s="40">
        <f>SUM('PPPL FAB'!G62:L62)</f>
        <v>0</v>
      </c>
      <c r="D46" s="40">
        <f>SUM('VENDOR FAB'!G62:L62)</f>
        <v>0</v>
      </c>
      <c r="E46" s="676"/>
    </row>
    <row r="47" spans="1:5" ht="13.5" hidden="1" thickBot="1">
      <c r="A47" s="34"/>
      <c r="B47" s="661" t="s">
        <v>47</v>
      </c>
      <c r="C47" s="40">
        <f>SUM('PPPL FAB'!G63:L63)</f>
        <v>0</v>
      </c>
      <c r="D47" s="40">
        <f>SUM('VENDOR FAB'!G63:L63)</f>
        <v>0</v>
      </c>
      <c r="E47" s="676"/>
    </row>
    <row r="48" spans="1:5" ht="13.5" hidden="1" thickBot="1">
      <c r="A48" s="34"/>
      <c r="B48" s="661" t="s">
        <v>49</v>
      </c>
      <c r="C48" s="40">
        <f>SUM('PPPL FAB'!G64:L64)</f>
        <v>0</v>
      </c>
      <c r="D48" s="40">
        <f>SUM('VENDOR FAB'!G64:L64)</f>
        <v>0</v>
      </c>
      <c r="E48" s="676"/>
    </row>
    <row r="49" spans="1:5" ht="12.75">
      <c r="A49" s="202">
        <v>6</v>
      </c>
      <c r="B49" s="237" t="s">
        <v>69</v>
      </c>
      <c r="C49" s="668"/>
      <c r="D49" s="668"/>
      <c r="E49" s="676"/>
    </row>
    <row r="50" spans="1:5" ht="12.75">
      <c r="A50" s="236" t="s">
        <v>145</v>
      </c>
      <c r="B50" s="140" t="s">
        <v>68</v>
      </c>
      <c r="C50" s="66">
        <f>SUM('PPPL FAB'!G71)</f>
        <v>0</v>
      </c>
      <c r="D50" s="66">
        <f>SUM('VENDOR FAB'!G71)</f>
        <v>0</v>
      </c>
      <c r="E50" s="678">
        <f>+C50-D50</f>
        <v>0</v>
      </c>
    </row>
    <row r="51" spans="1:5" ht="12.75">
      <c r="A51" s="213"/>
      <c r="B51" s="82" t="s">
        <v>8</v>
      </c>
      <c r="C51" s="66">
        <f>SUM('PPPL FAB'!G72)</f>
        <v>48</v>
      </c>
      <c r="D51" s="66">
        <f>SUM('VENDOR FAB'!G72)</f>
        <v>36</v>
      </c>
      <c r="E51" s="677">
        <f>+C51-D51</f>
        <v>12</v>
      </c>
    </row>
    <row r="52" spans="1:5" ht="13.5" thickBot="1">
      <c r="A52" s="214" t="s">
        <v>143</v>
      </c>
      <c r="B52" s="140" t="s">
        <v>67</v>
      </c>
      <c r="C52" s="66">
        <f>SUM('PPPL FAB'!G73)</f>
        <v>288</v>
      </c>
      <c r="D52" s="66">
        <f>SUM('VENDOR FAB'!G73)</f>
        <v>144</v>
      </c>
      <c r="E52" s="677">
        <f>+C52-D52</f>
        <v>144</v>
      </c>
    </row>
    <row r="53" spans="1:5" ht="13.5" hidden="1" thickBot="1">
      <c r="A53" s="214" t="s">
        <v>144</v>
      </c>
      <c r="B53" s="140" t="s">
        <v>75</v>
      </c>
      <c r="C53" s="66">
        <f>SUM('PPPL FAB'!G74)</f>
        <v>0</v>
      </c>
      <c r="D53" s="66">
        <f>SUM('VENDOR FAB'!G74)</f>
        <v>0</v>
      </c>
      <c r="E53" s="677">
        <f>+C53-D53</f>
        <v>0</v>
      </c>
    </row>
    <row r="54" spans="1:5" ht="12.75">
      <c r="A54" s="209">
        <v>7</v>
      </c>
      <c r="B54" s="237" t="s">
        <v>76</v>
      </c>
      <c r="C54" s="668"/>
      <c r="D54" s="668"/>
      <c r="E54" s="676"/>
    </row>
    <row r="55" spans="1:5" ht="12.75">
      <c r="A55" s="236" t="s">
        <v>142</v>
      </c>
      <c r="B55" s="87" t="s">
        <v>77</v>
      </c>
      <c r="C55" s="66"/>
      <c r="D55" s="66"/>
      <c r="E55" s="676"/>
    </row>
    <row r="56" spans="1:5" ht="12.75">
      <c r="A56" s="214"/>
      <c r="B56" s="82" t="s">
        <v>78</v>
      </c>
      <c r="C56" s="40">
        <f>SUM('PPPL FAB'!O81)</f>
        <v>344</v>
      </c>
      <c r="D56" s="40">
        <f>SUM('VENDOR FAB'!O81)</f>
        <v>344</v>
      </c>
      <c r="E56" s="677">
        <f>+C56-D56</f>
        <v>0</v>
      </c>
    </row>
    <row r="57" spans="1:5" ht="12.75" hidden="1">
      <c r="A57" s="214"/>
      <c r="B57" s="82"/>
      <c r="C57" s="40"/>
      <c r="D57" s="40"/>
      <c r="E57" s="677">
        <f>+C57-D57</f>
        <v>0</v>
      </c>
    </row>
    <row r="58" spans="1:5" ht="13.5" thickBot="1">
      <c r="A58" s="214" t="s">
        <v>157</v>
      </c>
      <c r="B58" s="140" t="s">
        <v>87</v>
      </c>
      <c r="C58" s="66">
        <f>SUM('PPPL FAB'!O84)</f>
        <v>2400</v>
      </c>
      <c r="D58" s="66">
        <f>SUM('VENDOR FAB'!O84)</f>
        <v>1520</v>
      </c>
      <c r="E58" s="760">
        <f>+C58-D58</f>
        <v>880</v>
      </c>
    </row>
    <row r="59" spans="1:5" ht="13.5" hidden="1" thickBot="1">
      <c r="A59" s="214"/>
      <c r="B59" s="82" t="s">
        <v>85</v>
      </c>
      <c r="C59" s="66"/>
      <c r="D59" s="66"/>
      <c r="E59" s="676"/>
    </row>
    <row r="60" spans="1:5" ht="13.5" hidden="1" thickBot="1">
      <c r="A60" s="214"/>
      <c r="B60" s="82" t="s">
        <v>86</v>
      </c>
      <c r="C60" s="40"/>
      <c r="D60" s="40"/>
      <c r="E60" s="676"/>
    </row>
    <row r="61" spans="1:5" ht="13.5" hidden="1" thickBot="1">
      <c r="A61" s="214"/>
      <c r="B61" s="82" t="s">
        <v>79</v>
      </c>
      <c r="C61" s="40"/>
      <c r="D61" s="40"/>
      <c r="E61" s="676"/>
    </row>
    <row r="62" spans="1:5" ht="13.5" hidden="1" thickBot="1">
      <c r="A62" s="213"/>
      <c r="B62" s="82" t="s">
        <v>80</v>
      </c>
      <c r="C62" s="40"/>
      <c r="D62" s="40"/>
      <c r="E62" s="676"/>
    </row>
    <row r="63" spans="1:5" ht="13.5" hidden="1" thickBot="1">
      <c r="A63" s="213"/>
      <c r="B63" s="82" t="s">
        <v>81</v>
      </c>
      <c r="C63" s="40"/>
      <c r="D63" s="40"/>
      <c r="E63" s="676"/>
    </row>
    <row r="64" spans="1:5" ht="13.5" hidden="1" thickBot="1">
      <c r="A64" s="213"/>
      <c r="B64" s="82" t="s">
        <v>82</v>
      </c>
      <c r="C64" s="40"/>
      <c r="D64" s="40"/>
      <c r="E64" s="676"/>
    </row>
    <row r="65" spans="1:5" ht="13.5" hidden="1" thickBot="1">
      <c r="A65" s="213"/>
      <c r="B65" s="82" t="s">
        <v>83</v>
      </c>
      <c r="C65" s="40"/>
      <c r="D65" s="40"/>
      <c r="E65" s="676"/>
    </row>
    <row r="66" spans="1:5" ht="13.5" hidden="1" thickBot="1">
      <c r="A66" s="213"/>
      <c r="B66" s="82" t="s">
        <v>84</v>
      </c>
      <c r="C66" s="40"/>
      <c r="D66" s="40"/>
      <c r="E66" s="676"/>
    </row>
    <row r="67" spans="1:5" ht="13.5" hidden="1" thickBot="1">
      <c r="A67" s="213"/>
      <c r="B67" s="82" t="s">
        <v>88</v>
      </c>
      <c r="C67" s="40"/>
      <c r="D67" s="40"/>
      <c r="E67" s="676"/>
    </row>
    <row r="68" spans="1:5" ht="13.5" hidden="1" thickBot="1">
      <c r="A68" s="215"/>
      <c r="B68" s="94"/>
      <c r="C68" s="669"/>
      <c r="D68" s="669"/>
      <c r="E68" s="676"/>
    </row>
    <row r="69" spans="1:5" ht="22.5">
      <c r="A69" s="202">
        <v>8</v>
      </c>
      <c r="B69" s="203" t="s">
        <v>89</v>
      </c>
      <c r="C69" s="668"/>
      <c r="D69" s="668"/>
      <c r="E69" s="676"/>
    </row>
    <row r="70" spans="1:5" ht="12.75">
      <c r="A70" s="216" t="s">
        <v>158</v>
      </c>
      <c r="B70" s="87" t="s">
        <v>90</v>
      </c>
      <c r="C70" s="66">
        <f>SUM('PPPL FAB'!O96)</f>
        <v>880</v>
      </c>
      <c r="D70" s="66">
        <f>SUM('VENDOR FAB'!O96)</f>
        <v>880</v>
      </c>
      <c r="E70" s="677">
        <f aca="true" t="shared" si="2" ref="E70:E80">+C70-D70</f>
        <v>0</v>
      </c>
    </row>
    <row r="71" spans="1:5" ht="12.75" hidden="1">
      <c r="A71" s="216"/>
      <c r="B71" s="87" t="s">
        <v>91</v>
      </c>
      <c r="C71" s="66"/>
      <c r="D71" s="66">
        <f>SUM('VENDOR FAB'!O97)</f>
        <v>0</v>
      </c>
      <c r="E71" s="677">
        <f t="shared" si="2"/>
        <v>0</v>
      </c>
    </row>
    <row r="72" spans="1:5" ht="22.5" hidden="1">
      <c r="A72" s="216"/>
      <c r="B72" s="87" t="s">
        <v>92</v>
      </c>
      <c r="C72" s="66"/>
      <c r="D72" s="66">
        <f>SUM('VENDOR FAB'!O98)</f>
        <v>0</v>
      </c>
      <c r="E72" s="677">
        <f t="shared" si="2"/>
        <v>0</v>
      </c>
    </row>
    <row r="73" spans="1:5" ht="22.5" hidden="1">
      <c r="A73" s="216"/>
      <c r="B73" s="87" t="s">
        <v>93</v>
      </c>
      <c r="C73" s="66"/>
      <c r="D73" s="66">
        <f>SUM('VENDOR FAB'!O99)</f>
        <v>0</v>
      </c>
      <c r="E73" s="677">
        <f t="shared" si="2"/>
        <v>0</v>
      </c>
    </row>
    <row r="74" spans="1:5" ht="12.75" hidden="1">
      <c r="A74" s="216"/>
      <c r="B74" s="87" t="s">
        <v>94</v>
      </c>
      <c r="C74" s="66"/>
      <c r="D74" s="66">
        <f>SUM('VENDOR FAB'!O100)</f>
        <v>0</v>
      </c>
      <c r="E74" s="677">
        <f t="shared" si="2"/>
        <v>0</v>
      </c>
    </row>
    <row r="75" spans="1:5" ht="22.5" hidden="1">
      <c r="A75" s="216"/>
      <c r="B75" s="87" t="s">
        <v>95</v>
      </c>
      <c r="C75" s="66"/>
      <c r="D75" s="66">
        <f>SUM('VENDOR FAB'!O101)</f>
        <v>0</v>
      </c>
      <c r="E75" s="677">
        <f t="shared" si="2"/>
        <v>0</v>
      </c>
    </row>
    <row r="76" spans="1:5" ht="22.5" hidden="1">
      <c r="A76" s="216"/>
      <c r="B76" s="87" t="s">
        <v>96</v>
      </c>
      <c r="C76" s="66"/>
      <c r="D76" s="66">
        <f>SUM('VENDOR FAB'!O102)</f>
        <v>0</v>
      </c>
      <c r="E76" s="677">
        <f t="shared" si="2"/>
        <v>0</v>
      </c>
    </row>
    <row r="77" spans="1:5" ht="12.75" hidden="1">
      <c r="A77" s="216"/>
      <c r="B77" s="87"/>
      <c r="C77" s="66"/>
      <c r="D77" s="66">
        <f>SUM('VENDOR FAB'!O103)</f>
        <v>0</v>
      </c>
      <c r="E77" s="677">
        <f t="shared" si="2"/>
        <v>0</v>
      </c>
    </row>
    <row r="78" spans="1:5" ht="13.5" thickBot="1">
      <c r="A78" s="216" t="s">
        <v>159</v>
      </c>
      <c r="B78" s="140" t="s">
        <v>97</v>
      </c>
      <c r="C78" s="66">
        <f>SUM('PPPL FAB'!O104)</f>
        <v>640</v>
      </c>
      <c r="D78" s="66">
        <f>SUM('VENDOR FAB'!O104)</f>
        <v>640</v>
      </c>
      <c r="E78" s="760">
        <f t="shared" si="2"/>
        <v>0</v>
      </c>
    </row>
    <row r="79" spans="1:5" ht="12.75" hidden="1">
      <c r="A79" s="217"/>
      <c r="B79" s="141"/>
      <c r="C79" s="66"/>
      <c r="D79" s="66">
        <f>SUM('VENDOR FAB'!O105)</f>
        <v>0</v>
      </c>
      <c r="E79" s="677">
        <f t="shared" si="2"/>
        <v>0</v>
      </c>
    </row>
    <row r="80" spans="1:5" ht="13.5" hidden="1" thickBot="1">
      <c r="A80" s="217" t="s">
        <v>160</v>
      </c>
      <c r="B80" s="141" t="s">
        <v>98</v>
      </c>
      <c r="C80" s="66"/>
      <c r="D80" s="66"/>
      <c r="E80" s="677"/>
    </row>
    <row r="81" spans="1:5" ht="12.75">
      <c r="A81" s="209">
        <v>9</v>
      </c>
      <c r="B81" s="203" t="s">
        <v>101</v>
      </c>
      <c r="C81" s="668"/>
      <c r="D81" s="668"/>
      <c r="E81" s="676"/>
    </row>
    <row r="82" spans="1:5" ht="12.75" hidden="1">
      <c r="A82" s="213"/>
      <c r="B82" s="141" t="s">
        <v>122</v>
      </c>
      <c r="C82" s="670">
        <f>SUM('PPPL FAB'!J112)</f>
        <v>0</v>
      </c>
      <c r="D82" s="670">
        <f>SUM('VENDOR FAB'!J115)</f>
        <v>0</v>
      </c>
      <c r="E82" s="676"/>
    </row>
    <row r="83" spans="1:5" ht="12.75" hidden="1">
      <c r="A83" s="213"/>
      <c r="B83" s="153"/>
      <c r="C83" s="66">
        <f>SUM('PPPL FAB'!J113)</f>
        <v>0</v>
      </c>
      <c r="D83" s="66">
        <f>SUM('VENDOR FAB'!J116)</f>
        <v>0</v>
      </c>
      <c r="E83" s="676"/>
    </row>
    <row r="84" spans="1:5" ht="12.75">
      <c r="A84" s="214" t="s">
        <v>161</v>
      </c>
      <c r="B84" s="93" t="s">
        <v>115</v>
      </c>
      <c r="C84" s="66">
        <f>SUM('PPPL FAB'!J114)</f>
        <v>288</v>
      </c>
      <c r="D84" s="66">
        <f>SUM('VENDOR FAB'!J117)</f>
        <v>288</v>
      </c>
      <c r="E84" s="677">
        <f aca="true" t="shared" si="3" ref="E84:E97">+C84-D84</f>
        <v>0</v>
      </c>
    </row>
    <row r="85" spans="1:5" ht="12.75" hidden="1">
      <c r="A85" s="214"/>
      <c r="B85" s="87"/>
      <c r="C85" s="66">
        <f>SUM('PPPL FAB'!J115)</f>
        <v>0</v>
      </c>
      <c r="D85" s="66">
        <f>SUM('VENDOR FAB'!J118)</f>
        <v>0</v>
      </c>
      <c r="E85" s="676">
        <f t="shared" si="3"/>
        <v>0</v>
      </c>
    </row>
    <row r="86" spans="1:5" ht="12.75">
      <c r="A86" s="214" t="s">
        <v>162</v>
      </c>
      <c r="B86" s="93" t="s">
        <v>100</v>
      </c>
      <c r="C86" s="671"/>
      <c r="D86" s="671"/>
      <c r="E86" s="678"/>
    </row>
    <row r="87" spans="1:5" ht="22.5">
      <c r="A87" s="214"/>
      <c r="B87" s="81" t="s">
        <v>19</v>
      </c>
      <c r="C87" s="671">
        <f>SUM('PPPL FAB'!J117)</f>
        <v>576</v>
      </c>
      <c r="D87" s="671">
        <f>SUM('VENDOR FAB'!J120)</f>
        <v>432</v>
      </c>
      <c r="E87" s="760">
        <f t="shared" si="3"/>
        <v>144</v>
      </c>
    </row>
    <row r="88" spans="1:5" ht="12.75" hidden="1">
      <c r="A88" s="214"/>
      <c r="B88" s="81"/>
      <c r="C88" s="671">
        <f>SUM('PPPL FAB'!J118)</f>
        <v>0</v>
      </c>
      <c r="D88" s="671">
        <f>SUM('VENDOR FAB'!J121)</f>
        <v>0</v>
      </c>
      <c r="E88" s="676">
        <f t="shared" si="3"/>
        <v>0</v>
      </c>
    </row>
    <row r="89" spans="1:5" ht="12.75">
      <c r="A89" s="214" t="s">
        <v>163</v>
      </c>
      <c r="B89" s="93" t="s">
        <v>104</v>
      </c>
      <c r="C89" s="671"/>
      <c r="D89" s="671"/>
      <c r="E89" s="678"/>
    </row>
    <row r="90" spans="1:5" ht="12.75">
      <c r="A90" s="213"/>
      <c r="B90" s="81" t="s">
        <v>14</v>
      </c>
      <c r="C90" s="671">
        <f>SUM('PPPL FAB'!J120)</f>
        <v>216</v>
      </c>
      <c r="D90" s="671">
        <f>SUM('VENDOR FAB'!J123)</f>
        <v>288</v>
      </c>
      <c r="E90" s="676">
        <f t="shared" si="3"/>
        <v>-72</v>
      </c>
    </row>
    <row r="91" spans="1:5" ht="12.75">
      <c r="A91" s="213"/>
      <c r="B91" s="81" t="s">
        <v>15</v>
      </c>
      <c r="C91" s="671">
        <f>SUM('PPPL FAB'!J121)</f>
        <v>432</v>
      </c>
      <c r="D91" s="671">
        <f>SUM('VENDOR FAB'!J124)</f>
        <v>576</v>
      </c>
      <c r="E91" s="676">
        <f t="shared" si="3"/>
        <v>-144</v>
      </c>
    </row>
    <row r="92" spans="1:5" ht="12.75">
      <c r="A92" s="213"/>
      <c r="B92" s="81" t="s">
        <v>16</v>
      </c>
      <c r="C92" s="671">
        <f>SUM('PPPL FAB'!J122)</f>
        <v>0</v>
      </c>
      <c r="D92" s="671">
        <f>SUM('VENDOR FAB'!J125)</f>
        <v>432</v>
      </c>
      <c r="E92" s="676">
        <f t="shared" si="3"/>
        <v>-432</v>
      </c>
    </row>
    <row r="93" spans="1:5" ht="12.75">
      <c r="A93" s="213"/>
      <c r="B93" s="81" t="s">
        <v>1</v>
      </c>
      <c r="C93" s="671">
        <f>SUM('PPPL FAB'!J123)</f>
        <v>216</v>
      </c>
      <c r="D93" s="671">
        <f>SUM('VENDOR FAB'!J126)</f>
        <v>72</v>
      </c>
      <c r="E93" s="677">
        <f t="shared" si="3"/>
        <v>144</v>
      </c>
    </row>
    <row r="94" spans="1:5" ht="12.75">
      <c r="A94" s="213"/>
      <c r="B94" s="81" t="s">
        <v>17</v>
      </c>
      <c r="C94" s="672">
        <f>SUM('PPPL FAB'!J124)</f>
        <v>144</v>
      </c>
      <c r="D94" s="672">
        <f>SUM('VENDOR FAB'!J127)</f>
        <v>288</v>
      </c>
      <c r="E94" s="676">
        <f t="shared" si="3"/>
        <v>-144</v>
      </c>
    </row>
    <row r="95" spans="1:5" ht="12.75">
      <c r="A95" s="213"/>
      <c r="B95" s="82" t="s">
        <v>18</v>
      </c>
      <c r="C95" s="672">
        <f>SUM('PPPL FAB'!J125)</f>
        <v>72</v>
      </c>
      <c r="D95" s="672">
        <f>SUM('VENDOR FAB'!J128)</f>
        <v>144</v>
      </c>
      <c r="E95" s="676">
        <f t="shared" si="3"/>
        <v>-72</v>
      </c>
    </row>
    <row r="96" spans="1:5" ht="12.75">
      <c r="A96" s="213"/>
      <c r="B96" s="82" t="s">
        <v>0</v>
      </c>
      <c r="C96" s="672">
        <f>SUM('PPPL FAB'!J126)</f>
        <v>288</v>
      </c>
      <c r="D96" s="672">
        <f>SUM('VENDOR FAB'!J129)</f>
        <v>72</v>
      </c>
      <c r="E96" s="677">
        <f t="shared" si="3"/>
        <v>216</v>
      </c>
    </row>
    <row r="97" spans="1:5" ht="13.5" thickBot="1">
      <c r="A97" s="215"/>
      <c r="B97" s="97" t="s">
        <v>149</v>
      </c>
      <c r="C97" s="669">
        <f>SUM('PPPL FAB'!J127)</f>
        <v>576</v>
      </c>
      <c r="D97" s="669">
        <f>SUM('VENDOR FAB'!J130)</f>
        <v>144</v>
      </c>
      <c r="E97" s="677">
        <f t="shared" si="3"/>
        <v>432</v>
      </c>
    </row>
    <row r="98" spans="1:7" ht="12.75">
      <c r="A98" s="202">
        <v>10</v>
      </c>
      <c r="B98" s="203" t="s">
        <v>64</v>
      </c>
      <c r="C98" s="668"/>
      <c r="D98" s="668"/>
      <c r="E98" s="676"/>
      <c r="F98" s="695"/>
      <c r="G98" s="695"/>
    </row>
    <row r="99" spans="1:5" ht="12.75">
      <c r="A99" s="214"/>
      <c r="B99" s="100" t="s">
        <v>63</v>
      </c>
      <c r="C99" s="40">
        <f>SUM('PPPL FAB'!J130)</f>
        <v>288</v>
      </c>
      <c r="D99" s="40">
        <f>SUM('VENDOR FAB'!L133)</f>
        <v>288</v>
      </c>
      <c r="E99" s="678">
        <f>+C99-D99</f>
        <v>0</v>
      </c>
    </row>
    <row r="100" spans="1:5" ht="13.5" thickBot="1">
      <c r="A100" s="214"/>
      <c r="B100" s="82" t="s">
        <v>65</v>
      </c>
      <c r="C100" s="40"/>
      <c r="D100" s="40"/>
      <c r="E100" s="676"/>
    </row>
    <row r="101" spans="1:5" ht="16.5" thickBot="1">
      <c r="A101" s="761"/>
      <c r="B101" s="762" t="s">
        <v>231</v>
      </c>
      <c r="C101" s="763">
        <f>SUM(C6:C99)</f>
        <v>13080</v>
      </c>
      <c r="D101" s="763">
        <f>SUM(D6:D99)</f>
        <v>10328</v>
      </c>
      <c r="E101" s="764">
        <f>+C101-D101</f>
        <v>2752</v>
      </c>
    </row>
    <row r="102" spans="5:7" ht="12.75">
      <c r="E102" s="649"/>
      <c r="F102" s="696"/>
      <c r="G102" s="696"/>
    </row>
    <row r="103" ht="12.75">
      <c r="G103" s="696"/>
    </row>
  </sheetData>
  <printOptions gridLines="1"/>
  <pageMargins left="0.75" right="0.75" top="0.41" bottom="0.4" header="0.25" footer="0.2"/>
  <pageSetup fitToHeight="1" fitToWidth="1" horizontalDpi="600" verticalDpi="600" orientation="portrait" scale="96" r:id="rId1"/>
  <headerFooter alignWithMargins="0">
    <oddFooter>&amp;C&amp;F            &amp;A          &amp;D        &amp;T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zoomScale="75" zoomScaleNormal="75" workbookViewId="0" topLeftCell="A1">
      <selection activeCell="A110" sqref="A110:IV110"/>
    </sheetView>
  </sheetViews>
  <sheetFormatPr defaultColWidth="9.140625" defaultRowHeight="12.75"/>
  <cols>
    <col min="1" max="1" width="6.28125" style="358" customWidth="1"/>
    <col min="2" max="2" width="52.00390625" style="349" customWidth="1"/>
    <col min="3" max="3" width="7.8515625" style="350" customWidth="1"/>
    <col min="4" max="4" width="15.00390625" style="264" customWidth="1"/>
    <col min="5" max="5" width="14.7109375" style="264" customWidth="1"/>
    <col min="6" max="6" width="12.421875" style="264" customWidth="1"/>
    <col min="7" max="7" width="11.00390625" style="264" customWidth="1"/>
    <col min="8" max="10" width="12.28125" style="264" customWidth="1"/>
    <col min="11" max="11" width="14.00390625" style="264" customWidth="1"/>
    <col min="12" max="12" width="11.00390625" style="264" customWidth="1"/>
    <col min="13" max="13" width="13.57421875" style="355" customWidth="1"/>
    <col min="14" max="14" width="12.7109375" style="355" customWidth="1"/>
    <col min="15" max="15" width="13.7109375" style="356" customWidth="1"/>
    <col min="16" max="16" width="7.28125" style="355" customWidth="1"/>
    <col min="17" max="16384" width="9.140625" style="350" customWidth="1"/>
  </cols>
  <sheetData>
    <row r="1" spans="1:16" ht="30.75" thickBot="1">
      <c r="A1" s="709" t="s">
        <v>206</v>
      </c>
      <c r="H1" s="351"/>
      <c r="I1" s="352"/>
      <c r="J1" s="352"/>
      <c r="K1" s="352"/>
      <c r="P1" s="357"/>
    </row>
    <row r="2" spans="2:16" ht="16.5" thickBot="1">
      <c r="B2" s="359" t="s">
        <v>70</v>
      </c>
      <c r="H2" s="360"/>
      <c r="I2" s="361"/>
      <c r="J2" s="362" t="s">
        <v>204</v>
      </c>
      <c r="K2" s="353" t="s">
        <v>61</v>
      </c>
      <c r="L2" s="363" t="s">
        <v>57</v>
      </c>
      <c r="M2" s="364">
        <v>100</v>
      </c>
      <c r="P2" s="357"/>
    </row>
    <row r="3" spans="2:16" ht="15">
      <c r="B3" s="349" t="s">
        <v>72</v>
      </c>
      <c r="H3" s="360"/>
      <c r="I3" s="361"/>
      <c r="J3" s="361"/>
      <c r="K3" s="354" t="s">
        <v>197</v>
      </c>
      <c r="L3" s="365" t="s">
        <v>58</v>
      </c>
      <c r="M3" s="366">
        <v>65</v>
      </c>
      <c r="N3" s="367"/>
      <c r="P3" s="357"/>
    </row>
    <row r="4" spans="2:16" ht="15">
      <c r="B4" s="349" t="s">
        <v>71</v>
      </c>
      <c r="H4" s="360"/>
      <c r="I4" s="361"/>
      <c r="J4" s="361"/>
      <c r="K4" s="361"/>
      <c r="L4" s="365" t="s">
        <v>59</v>
      </c>
      <c r="M4" s="366">
        <v>55</v>
      </c>
      <c r="P4" s="357"/>
    </row>
    <row r="5" spans="2:16" ht="15.75" thickBot="1">
      <c r="B5" s="349" t="s">
        <v>73</v>
      </c>
      <c r="H5" s="360"/>
      <c r="I5" s="361"/>
      <c r="J5" s="361"/>
      <c r="K5" s="361"/>
      <c r="L5" s="368" t="s">
        <v>60</v>
      </c>
      <c r="M5" s="369">
        <v>76</v>
      </c>
      <c r="P5" s="357"/>
    </row>
    <row r="6" spans="2:16" ht="15.75" thickBot="1">
      <c r="B6" s="349" t="s">
        <v>74</v>
      </c>
      <c r="H6" s="370"/>
      <c r="I6" s="371"/>
      <c r="J6" s="372"/>
      <c r="K6" s="371"/>
      <c r="L6" s="373" t="s">
        <v>205</v>
      </c>
      <c r="M6" s="374">
        <v>0.21</v>
      </c>
      <c r="P6" s="357"/>
    </row>
    <row r="7" spans="1:16" ht="15">
      <c r="A7" s="375"/>
      <c r="B7" s="376"/>
      <c r="C7" s="377"/>
      <c r="D7" s="378" t="s">
        <v>39</v>
      </c>
      <c r="E7" s="379" t="s">
        <v>40</v>
      </c>
      <c r="F7" s="379" t="s">
        <v>41</v>
      </c>
      <c r="G7" s="378" t="s">
        <v>28</v>
      </c>
      <c r="H7" s="378" t="s">
        <v>106</v>
      </c>
      <c r="I7" s="378" t="s">
        <v>29</v>
      </c>
      <c r="J7" s="378" t="s">
        <v>30</v>
      </c>
      <c r="K7" s="378" t="s">
        <v>30</v>
      </c>
      <c r="L7" s="378" t="s">
        <v>27</v>
      </c>
      <c r="M7" s="380" t="s">
        <v>31</v>
      </c>
      <c r="N7" s="380"/>
      <c r="P7" s="357"/>
    </row>
    <row r="8" spans="1:16" ht="15">
      <c r="A8" s="381"/>
      <c r="B8" s="382" t="s">
        <v>13</v>
      </c>
      <c r="C8" s="383"/>
      <c r="D8" s="384"/>
      <c r="E8" s="385"/>
      <c r="F8" s="385"/>
      <c r="G8" s="384" t="s">
        <v>32</v>
      </c>
      <c r="H8" s="384" t="s">
        <v>35</v>
      </c>
      <c r="I8" s="384" t="s">
        <v>33</v>
      </c>
      <c r="J8" s="384"/>
      <c r="K8" s="386" t="s">
        <v>34</v>
      </c>
      <c r="L8" s="384" t="s">
        <v>35</v>
      </c>
      <c r="M8" s="387"/>
      <c r="N8" s="388">
        <v>0.21</v>
      </c>
      <c r="P8" s="357"/>
    </row>
    <row r="9" spans="1:16" ht="15.75" thickBot="1">
      <c r="A9" s="389"/>
      <c r="B9" s="390"/>
      <c r="C9" s="391"/>
      <c r="D9" s="392" t="s">
        <v>7</v>
      </c>
      <c r="E9" s="393"/>
      <c r="F9" s="393"/>
      <c r="G9" s="392" t="s">
        <v>36</v>
      </c>
      <c r="H9" s="392" t="s">
        <v>36</v>
      </c>
      <c r="I9" s="392" t="s">
        <v>36</v>
      </c>
      <c r="J9" s="392" t="s">
        <v>36</v>
      </c>
      <c r="K9" s="392" t="s">
        <v>36</v>
      </c>
      <c r="L9" s="392" t="s">
        <v>36</v>
      </c>
      <c r="M9" s="394" t="s">
        <v>37</v>
      </c>
      <c r="N9" s="394" t="s">
        <v>38</v>
      </c>
      <c r="P9" s="357"/>
    </row>
    <row r="10" spans="1:16" s="402" customFormat="1" ht="15">
      <c r="A10" s="395">
        <v>1</v>
      </c>
      <c r="B10" s="396" t="s">
        <v>56</v>
      </c>
      <c r="C10" s="397"/>
      <c r="D10" s="398"/>
      <c r="E10" s="399"/>
      <c r="F10" s="399"/>
      <c r="G10" s="398"/>
      <c r="H10" s="398"/>
      <c r="I10" s="398"/>
      <c r="J10" s="398"/>
      <c r="K10" s="398"/>
      <c r="L10" s="398"/>
      <c r="M10" s="400"/>
      <c r="N10" s="400"/>
      <c r="O10" s="401"/>
      <c r="P10" s="357"/>
    </row>
    <row r="11" spans="1:16" s="402" customFormat="1" ht="15">
      <c r="A11" s="403"/>
      <c r="B11" s="404" t="s">
        <v>136</v>
      </c>
      <c r="C11" s="405"/>
      <c r="D11" s="406"/>
      <c r="E11" s="407"/>
      <c r="F11" s="407"/>
      <c r="G11" s="408">
        <v>144</v>
      </c>
      <c r="H11" s="406"/>
      <c r="I11" s="408">
        <v>300</v>
      </c>
      <c r="J11" s="406"/>
      <c r="K11" s="406"/>
      <c r="L11" s="406"/>
      <c r="M11" s="717"/>
      <c r="N11" s="409"/>
      <c r="O11" s="401"/>
      <c r="P11" s="357"/>
    </row>
    <row r="12" spans="1:16" s="402" customFormat="1" ht="15">
      <c r="A12" s="403"/>
      <c r="B12" s="410" t="s">
        <v>243</v>
      </c>
      <c r="C12" s="405"/>
      <c r="D12" s="406"/>
      <c r="E12" s="411"/>
      <c r="F12" s="411"/>
      <c r="G12" s="408">
        <v>240</v>
      </c>
      <c r="H12" s="406"/>
      <c r="I12" s="406"/>
      <c r="J12" s="408">
        <v>0</v>
      </c>
      <c r="K12" s="406"/>
      <c r="L12" s="406"/>
      <c r="M12" s="717"/>
      <c r="N12" s="409"/>
      <c r="O12" s="401"/>
      <c r="P12" s="357"/>
    </row>
    <row r="13" spans="1:16" s="402" customFormat="1" ht="15.75" thickBot="1">
      <c r="A13" s="403"/>
      <c r="B13" s="410" t="s">
        <v>244</v>
      </c>
      <c r="C13" s="405"/>
      <c r="D13" s="406"/>
      <c r="E13" s="411"/>
      <c r="F13" s="411"/>
      <c r="G13" s="408">
        <v>576</v>
      </c>
      <c r="H13" s="406"/>
      <c r="I13" s="406"/>
      <c r="J13" s="408">
        <v>0</v>
      </c>
      <c r="K13" s="406"/>
      <c r="L13" s="406"/>
      <c r="M13" s="717"/>
      <c r="N13" s="409"/>
      <c r="O13" s="401"/>
      <c r="P13" s="357"/>
    </row>
    <row r="14" spans="1:16" s="402" customFormat="1" ht="15">
      <c r="A14" s="403"/>
      <c r="B14" s="410" t="s">
        <v>245</v>
      </c>
      <c r="C14" s="405"/>
      <c r="D14" s="406"/>
      <c r="E14" s="411"/>
      <c r="F14" s="411"/>
      <c r="G14" s="408">
        <v>144</v>
      </c>
      <c r="H14" s="406"/>
      <c r="I14" s="406"/>
      <c r="J14" s="408">
        <v>0</v>
      </c>
      <c r="K14" s="406"/>
      <c r="L14" s="406"/>
      <c r="M14" s="717"/>
      <c r="N14" s="409"/>
      <c r="O14" s="412" t="s">
        <v>137</v>
      </c>
      <c r="P14" s="357"/>
    </row>
    <row r="15" spans="1:16" s="402" customFormat="1" ht="15">
      <c r="A15" s="403"/>
      <c r="B15" s="413" t="s">
        <v>153</v>
      </c>
      <c r="C15" s="414"/>
      <c r="D15" s="415"/>
      <c r="E15" s="416"/>
      <c r="F15" s="416"/>
      <c r="G15" s="415">
        <f>SUM(G11:G14)</f>
        <v>1104</v>
      </c>
      <c r="H15" s="415"/>
      <c r="I15" s="415">
        <f>SUM(I11:I14)</f>
        <v>300</v>
      </c>
      <c r="J15" s="415">
        <f>SUM(J12:J14)</f>
        <v>0</v>
      </c>
      <c r="K15" s="415"/>
      <c r="L15" s="415"/>
      <c r="M15" s="718"/>
      <c r="N15" s="417"/>
      <c r="O15" s="718">
        <f>SUM(G16:L16)+N16</f>
        <v>133200</v>
      </c>
      <c r="P15" s="357"/>
    </row>
    <row r="16" spans="1:16" s="402" customFormat="1" ht="15.75" thickBot="1">
      <c r="A16" s="403"/>
      <c r="B16" s="418" t="s">
        <v>154</v>
      </c>
      <c r="C16" s="414"/>
      <c r="D16" s="415"/>
      <c r="E16" s="416"/>
      <c r="F16" s="416"/>
      <c r="G16" s="419">
        <f>G15*M2</f>
        <v>110400</v>
      </c>
      <c r="H16" s="420"/>
      <c r="I16" s="421">
        <f>I15*M5</f>
        <v>22800</v>
      </c>
      <c r="J16" s="421">
        <f>J15*M3</f>
        <v>0</v>
      </c>
      <c r="K16" s="422"/>
      <c r="L16" s="422"/>
      <c r="M16" s="719"/>
      <c r="N16" s="423"/>
      <c r="O16" s="422"/>
      <c r="P16" s="357"/>
    </row>
    <row r="17" spans="1:16" ht="15">
      <c r="A17" s="395">
        <v>2</v>
      </c>
      <c r="B17" s="424" t="s">
        <v>135</v>
      </c>
      <c r="C17" s="397"/>
      <c r="D17" s="398"/>
      <c r="E17" s="398"/>
      <c r="F17" s="425"/>
      <c r="G17" s="425"/>
      <c r="H17" s="426"/>
      <c r="I17" s="426"/>
      <c r="J17" s="426"/>
      <c r="K17" s="427"/>
      <c r="L17" s="427"/>
      <c r="M17" s="720"/>
      <c r="N17" s="428"/>
      <c r="P17" s="357"/>
    </row>
    <row r="18" spans="1:16" ht="15">
      <c r="A18" s="403"/>
      <c r="B18" s="429" t="s">
        <v>131</v>
      </c>
      <c r="C18" s="410"/>
      <c r="D18" s="430"/>
      <c r="E18" s="430"/>
      <c r="F18" s="430"/>
      <c r="G18" s="430"/>
      <c r="H18" s="408"/>
      <c r="I18" s="430"/>
      <c r="J18" s="430"/>
      <c r="K18" s="430">
        <v>0</v>
      </c>
      <c r="L18" s="430">
        <v>0</v>
      </c>
      <c r="M18" s="721"/>
      <c r="N18" s="431"/>
      <c r="P18" s="357"/>
    </row>
    <row r="19" spans="1:16" ht="15.75" thickBot="1">
      <c r="A19" s="403"/>
      <c r="B19" s="429" t="s">
        <v>132</v>
      </c>
      <c r="C19" s="410"/>
      <c r="D19" s="430"/>
      <c r="E19" s="430"/>
      <c r="F19" s="430"/>
      <c r="G19" s="430"/>
      <c r="H19" s="408"/>
      <c r="I19" s="408"/>
      <c r="J19" s="408"/>
      <c r="K19" s="430">
        <v>80</v>
      </c>
      <c r="L19" s="430"/>
      <c r="M19" s="721"/>
      <c r="N19" s="431"/>
      <c r="P19" s="432"/>
    </row>
    <row r="20" spans="1:16" ht="15">
      <c r="A20" s="403"/>
      <c r="B20" s="429" t="s">
        <v>140</v>
      </c>
      <c r="C20" s="410"/>
      <c r="D20" s="430"/>
      <c r="E20" s="430"/>
      <c r="F20" s="430"/>
      <c r="G20" s="430"/>
      <c r="H20" s="408"/>
      <c r="I20" s="430"/>
      <c r="J20" s="430"/>
      <c r="K20" s="430"/>
      <c r="L20" s="430">
        <v>60</v>
      </c>
      <c r="M20" s="721"/>
      <c r="N20" s="433"/>
      <c r="O20" s="434"/>
      <c r="P20" s="435"/>
    </row>
    <row r="21" spans="1:16" ht="15">
      <c r="A21" s="403"/>
      <c r="B21" s="429" t="s">
        <v>133</v>
      </c>
      <c r="C21" s="410"/>
      <c r="D21" s="430"/>
      <c r="E21" s="430"/>
      <c r="F21" s="430"/>
      <c r="G21" s="430"/>
      <c r="H21" s="408"/>
      <c r="I21" s="430"/>
      <c r="J21" s="430"/>
      <c r="K21" s="430"/>
      <c r="L21" s="430">
        <v>60</v>
      </c>
      <c r="M21" s="721"/>
      <c r="N21" s="433"/>
      <c r="O21" s="436" t="s">
        <v>138</v>
      </c>
      <c r="P21" s="432"/>
    </row>
    <row r="22" spans="1:16" ht="15">
      <c r="A22" s="403"/>
      <c r="B22" s="429" t="s">
        <v>246</v>
      </c>
      <c r="C22" s="410"/>
      <c r="D22" s="430"/>
      <c r="E22" s="430"/>
      <c r="F22" s="430"/>
      <c r="G22" s="430"/>
      <c r="H22" s="408"/>
      <c r="I22" s="430"/>
      <c r="J22" s="430">
        <v>80</v>
      </c>
      <c r="K22" s="430"/>
      <c r="L22" s="430"/>
      <c r="M22" s="721"/>
      <c r="N22" s="433"/>
      <c r="O22" s="437"/>
      <c r="P22" s="435"/>
    </row>
    <row r="23" spans="1:16" ht="15.75" thickBot="1">
      <c r="A23" s="403"/>
      <c r="B23" s="413" t="s">
        <v>153</v>
      </c>
      <c r="C23" s="414"/>
      <c r="D23" s="415"/>
      <c r="E23" s="415"/>
      <c r="F23" s="415"/>
      <c r="G23" s="420"/>
      <c r="H23" s="420"/>
      <c r="I23" s="420"/>
      <c r="J23" s="420">
        <f>SUM(J18:J22)</f>
        <v>80</v>
      </c>
      <c r="K23" s="415">
        <f>SUM(K18:K22)</f>
        <v>80</v>
      </c>
      <c r="L23" s="415">
        <f>SUM(L18:L22)</f>
        <v>120</v>
      </c>
      <c r="M23" s="718"/>
      <c r="N23" s="438"/>
      <c r="O23" s="731">
        <f>N24+L24+K24+J24+I24+H24+G24</f>
        <v>17000</v>
      </c>
      <c r="P23" s="432"/>
    </row>
    <row r="24" spans="1:16" ht="15.75" thickBot="1">
      <c r="A24" s="439"/>
      <c r="B24" s="418" t="s">
        <v>154</v>
      </c>
      <c r="C24" s="440"/>
      <c r="D24" s="421"/>
      <c r="E24" s="421"/>
      <c r="F24" s="421"/>
      <c r="G24" s="441"/>
      <c r="H24" s="441"/>
      <c r="I24" s="441"/>
      <c r="J24" s="421">
        <f>J23*M3</f>
        <v>5200</v>
      </c>
      <c r="K24" s="421">
        <f>K23*M3</f>
        <v>5200</v>
      </c>
      <c r="L24" s="421">
        <f>L23*M4</f>
        <v>6600</v>
      </c>
      <c r="M24" s="459"/>
      <c r="N24" s="421"/>
      <c r="P24" s="357"/>
    </row>
    <row r="25" spans="1:16" ht="15">
      <c r="A25" s="375"/>
      <c r="B25" s="376"/>
      <c r="C25" s="377"/>
      <c r="D25" s="378" t="s">
        <v>39</v>
      </c>
      <c r="E25" s="379" t="s">
        <v>40</v>
      </c>
      <c r="F25" s="379" t="s">
        <v>41</v>
      </c>
      <c r="G25" s="378" t="s">
        <v>28</v>
      </c>
      <c r="H25" s="378" t="s">
        <v>106</v>
      </c>
      <c r="I25" s="378" t="s">
        <v>29</v>
      </c>
      <c r="J25" s="378" t="s">
        <v>30</v>
      </c>
      <c r="K25" s="378" t="s">
        <v>30</v>
      </c>
      <c r="L25" s="378" t="s">
        <v>27</v>
      </c>
      <c r="M25" s="722" t="s">
        <v>31</v>
      </c>
      <c r="N25" s="380"/>
      <c r="P25" s="357"/>
    </row>
    <row r="26" spans="1:16" ht="15">
      <c r="A26" s="381"/>
      <c r="B26" s="382" t="s">
        <v>13</v>
      </c>
      <c r="C26" s="383"/>
      <c r="D26" s="384"/>
      <c r="E26" s="385"/>
      <c r="F26" s="385"/>
      <c r="G26" s="384" t="s">
        <v>32</v>
      </c>
      <c r="H26" s="384" t="s">
        <v>35</v>
      </c>
      <c r="I26" s="384" t="s">
        <v>33</v>
      </c>
      <c r="J26" s="384"/>
      <c r="K26" s="386" t="s">
        <v>34</v>
      </c>
      <c r="L26" s="384" t="s">
        <v>35</v>
      </c>
      <c r="M26" s="723"/>
      <c r="N26" s="387"/>
      <c r="P26" s="357"/>
    </row>
    <row r="27" spans="1:16" ht="15.75" thickBot="1">
      <c r="A27" s="389"/>
      <c r="B27" s="390"/>
      <c r="C27" s="391"/>
      <c r="D27" s="392" t="s">
        <v>7</v>
      </c>
      <c r="E27" s="393"/>
      <c r="F27" s="393"/>
      <c r="G27" s="392" t="s">
        <v>36</v>
      </c>
      <c r="H27" s="392" t="s">
        <v>36</v>
      </c>
      <c r="I27" s="392" t="s">
        <v>36</v>
      </c>
      <c r="J27" s="392" t="s">
        <v>36</v>
      </c>
      <c r="K27" s="392" t="s">
        <v>36</v>
      </c>
      <c r="L27" s="392" t="s">
        <v>36</v>
      </c>
      <c r="M27" s="724" t="s">
        <v>37</v>
      </c>
      <c r="N27" s="394" t="s">
        <v>38</v>
      </c>
      <c r="P27" s="357"/>
    </row>
    <row r="28" spans="1:16" s="402" customFormat="1" ht="15">
      <c r="A28" s="442">
        <v>3</v>
      </c>
      <c r="B28" s="443" t="s">
        <v>42</v>
      </c>
      <c r="C28" s="444"/>
      <c r="D28" s="445"/>
      <c r="E28" s="446"/>
      <c r="F28" s="446"/>
      <c r="G28" s="445"/>
      <c r="H28" s="445"/>
      <c r="I28" s="445"/>
      <c r="J28" s="445"/>
      <c r="K28" s="445"/>
      <c r="L28" s="445"/>
      <c r="M28" s="725"/>
      <c r="N28" s="447"/>
      <c r="O28" s="401"/>
      <c r="P28" s="357"/>
    </row>
    <row r="29" spans="1:16" ht="15">
      <c r="A29" s="448"/>
      <c r="B29" s="449" t="s">
        <v>26</v>
      </c>
      <c r="C29" s="410"/>
      <c r="D29" s="430"/>
      <c r="E29" s="450"/>
      <c r="F29" s="450"/>
      <c r="G29" s="430"/>
      <c r="H29" s="430"/>
      <c r="I29" s="430"/>
      <c r="J29" s="430"/>
      <c r="K29" s="430"/>
      <c r="L29" s="430"/>
      <c r="M29" s="721"/>
      <c r="N29" s="431"/>
      <c r="P29" s="357"/>
    </row>
    <row r="30" spans="1:16" ht="15">
      <c r="A30" s="448"/>
      <c r="B30" s="451" t="s">
        <v>111</v>
      </c>
      <c r="C30" s="410"/>
      <c r="D30" s="430"/>
      <c r="E30" s="430"/>
      <c r="F30" s="430"/>
      <c r="G30" s="430"/>
      <c r="H30" s="430"/>
      <c r="I30" s="430"/>
      <c r="J30" s="430"/>
      <c r="K30" s="430"/>
      <c r="L30" s="430">
        <v>0</v>
      </c>
      <c r="M30" s="721">
        <v>0</v>
      </c>
      <c r="N30" s="431"/>
      <c r="P30" s="357"/>
    </row>
    <row r="31" spans="1:16" ht="15">
      <c r="A31" s="448"/>
      <c r="B31" s="451" t="s">
        <v>112</v>
      </c>
      <c r="C31" s="410"/>
      <c r="D31" s="430"/>
      <c r="E31" s="430"/>
      <c r="F31" s="430"/>
      <c r="G31" s="430"/>
      <c r="H31" s="430"/>
      <c r="I31" s="430"/>
      <c r="J31" s="430"/>
      <c r="K31" s="430">
        <v>0</v>
      </c>
      <c r="L31" s="430">
        <v>0</v>
      </c>
      <c r="M31" s="721">
        <v>0</v>
      </c>
      <c r="N31" s="431"/>
      <c r="P31" s="357"/>
    </row>
    <row r="32" spans="1:16" ht="15">
      <c r="A32" s="448"/>
      <c r="B32" s="451" t="s">
        <v>126</v>
      </c>
      <c r="C32" s="410"/>
      <c r="D32" s="430"/>
      <c r="E32" s="430"/>
      <c r="F32" s="430"/>
      <c r="G32" s="430"/>
      <c r="H32" s="430"/>
      <c r="I32" s="430"/>
      <c r="J32" s="430"/>
      <c r="K32" s="430">
        <v>0</v>
      </c>
      <c r="L32" s="430">
        <v>0</v>
      </c>
      <c r="M32" s="721">
        <v>0</v>
      </c>
      <c r="N32" s="431"/>
      <c r="P32" s="357"/>
    </row>
    <row r="33" spans="1:16" ht="15">
      <c r="A33" s="448"/>
      <c r="B33" s="451" t="s">
        <v>127</v>
      </c>
      <c r="C33" s="410"/>
      <c r="D33" s="430"/>
      <c r="E33" s="430"/>
      <c r="F33" s="430"/>
      <c r="G33" s="430"/>
      <c r="H33" s="430"/>
      <c r="I33" s="430"/>
      <c r="J33" s="430"/>
      <c r="K33" s="430">
        <v>120</v>
      </c>
      <c r="L33" s="430">
        <v>160</v>
      </c>
      <c r="M33" s="721">
        <v>5000</v>
      </c>
      <c r="N33" s="431"/>
      <c r="P33" s="357"/>
    </row>
    <row r="34" spans="1:16" ht="15">
      <c r="A34" s="448"/>
      <c r="B34" s="451" t="s">
        <v>43</v>
      </c>
      <c r="C34" s="410"/>
      <c r="D34" s="430"/>
      <c r="E34" s="430"/>
      <c r="F34" s="430"/>
      <c r="G34" s="430"/>
      <c r="H34" s="430"/>
      <c r="I34" s="430"/>
      <c r="J34" s="430"/>
      <c r="K34" s="430"/>
      <c r="L34" s="430"/>
      <c r="M34" s="721">
        <v>3000</v>
      </c>
      <c r="N34" s="431"/>
      <c r="P34" s="357"/>
    </row>
    <row r="35" spans="1:16" ht="15.75" thickBot="1">
      <c r="A35" s="448"/>
      <c r="B35" s="451" t="s">
        <v>198</v>
      </c>
      <c r="C35" s="410"/>
      <c r="D35" s="430"/>
      <c r="E35" s="430"/>
      <c r="F35" s="430"/>
      <c r="G35" s="430"/>
      <c r="H35" s="430"/>
      <c r="I35" s="430"/>
      <c r="J35" s="430"/>
      <c r="K35" s="430">
        <v>180</v>
      </c>
      <c r="L35" s="430">
        <v>180</v>
      </c>
      <c r="M35" s="721">
        <v>5000</v>
      </c>
      <c r="N35" s="431"/>
      <c r="P35" s="357"/>
    </row>
    <row r="36" spans="1:16" ht="15">
      <c r="A36" s="448"/>
      <c r="B36" s="451" t="s">
        <v>129</v>
      </c>
      <c r="C36" s="410"/>
      <c r="D36" s="430"/>
      <c r="E36" s="430"/>
      <c r="F36" s="430"/>
      <c r="G36" s="430"/>
      <c r="H36" s="430"/>
      <c r="I36" s="430"/>
      <c r="J36" s="430"/>
      <c r="K36" s="430"/>
      <c r="L36" s="430"/>
      <c r="M36" s="721">
        <v>0</v>
      </c>
      <c r="N36" s="431"/>
      <c r="O36" s="412" t="s">
        <v>138</v>
      </c>
      <c r="P36" s="357"/>
    </row>
    <row r="37" spans="1:16" ht="15">
      <c r="A37" s="448"/>
      <c r="B37" s="413" t="s">
        <v>153</v>
      </c>
      <c r="C37" s="414"/>
      <c r="D37" s="420"/>
      <c r="E37" s="420"/>
      <c r="F37" s="420"/>
      <c r="G37" s="415"/>
      <c r="H37" s="415"/>
      <c r="I37" s="415"/>
      <c r="J37" s="415"/>
      <c r="K37" s="415">
        <f>SUM(K30:K36)</f>
        <v>300</v>
      </c>
      <c r="L37" s="415">
        <f>SUM(L30:L36)</f>
        <v>340</v>
      </c>
      <c r="M37" s="419"/>
      <c r="N37" s="417"/>
      <c r="O37" s="718">
        <f>SUM(G38:L38)+N38</f>
        <v>53930</v>
      </c>
      <c r="P37" s="357"/>
    </row>
    <row r="38" spans="1:16" ht="15.75" thickBot="1">
      <c r="A38" s="448"/>
      <c r="B38" s="418" t="s">
        <v>154</v>
      </c>
      <c r="C38" s="414"/>
      <c r="D38" s="420"/>
      <c r="E38" s="420"/>
      <c r="F38" s="420"/>
      <c r="G38" s="452"/>
      <c r="H38" s="415"/>
      <c r="I38" s="415"/>
      <c r="J38" s="452"/>
      <c r="K38" s="452">
        <f>K37*M3</f>
        <v>19500</v>
      </c>
      <c r="L38" s="419">
        <f>L37*M4</f>
        <v>18700</v>
      </c>
      <c r="M38" s="718">
        <f>SUM(M29:M36)</f>
        <v>13000</v>
      </c>
      <c r="N38" s="718">
        <f>M38*1.21</f>
        <v>15730</v>
      </c>
      <c r="O38" s="423"/>
      <c r="P38" s="357"/>
    </row>
    <row r="39" spans="1:16" ht="15">
      <c r="A39" s="442">
        <v>4</v>
      </c>
      <c r="B39" s="453" t="s">
        <v>44</v>
      </c>
      <c r="C39" s="444"/>
      <c r="D39" s="454"/>
      <c r="E39" s="454"/>
      <c r="F39" s="454"/>
      <c r="G39" s="454"/>
      <c r="H39" s="454"/>
      <c r="I39" s="454"/>
      <c r="J39" s="454"/>
      <c r="K39" s="454"/>
      <c r="L39" s="454"/>
      <c r="M39" s="726"/>
      <c r="N39" s="455"/>
      <c r="P39" s="357"/>
    </row>
    <row r="40" spans="1:16" ht="15">
      <c r="A40" s="448"/>
      <c r="B40" s="456" t="s">
        <v>199</v>
      </c>
      <c r="C40" s="410"/>
      <c r="D40" s="430"/>
      <c r="E40" s="430"/>
      <c r="F40" s="430"/>
      <c r="G40" s="430"/>
      <c r="H40" s="430"/>
      <c r="I40" s="430"/>
      <c r="J40" s="430">
        <v>0</v>
      </c>
      <c r="K40" s="430">
        <v>0</v>
      </c>
      <c r="L40" s="430">
        <v>120</v>
      </c>
      <c r="M40" s="721">
        <v>1000</v>
      </c>
      <c r="N40" s="431">
        <f>M40*1.21</f>
        <v>1210</v>
      </c>
      <c r="P40" s="357"/>
    </row>
    <row r="41" spans="1:16" ht="15">
      <c r="A41" s="448"/>
      <c r="B41" s="451" t="s">
        <v>107</v>
      </c>
      <c r="C41" s="410"/>
      <c r="D41" s="430"/>
      <c r="E41" s="430"/>
      <c r="F41" s="430"/>
      <c r="G41" s="430"/>
      <c r="H41" s="430"/>
      <c r="I41" s="430"/>
      <c r="J41" s="430"/>
      <c r="K41" s="430"/>
      <c r="L41" s="430"/>
      <c r="M41" s="721"/>
      <c r="N41" s="431"/>
      <c r="P41" s="357"/>
    </row>
    <row r="42" spans="1:16" ht="15">
      <c r="A42" s="448"/>
      <c r="B42" s="451" t="s">
        <v>108</v>
      </c>
      <c r="C42" s="410"/>
      <c r="D42" s="430"/>
      <c r="E42" s="450"/>
      <c r="F42" s="450"/>
      <c r="G42" s="430"/>
      <c r="H42" s="430"/>
      <c r="I42" s="430"/>
      <c r="J42" s="430"/>
      <c r="K42" s="430"/>
      <c r="L42" s="430"/>
      <c r="M42" s="721"/>
      <c r="N42" s="431"/>
      <c r="P42" s="357"/>
    </row>
    <row r="43" spans="1:16" ht="15">
      <c r="A43" s="448"/>
      <c r="B43" s="451" t="s">
        <v>109</v>
      </c>
      <c r="C43" s="410"/>
      <c r="D43" s="430"/>
      <c r="E43" s="430"/>
      <c r="F43" s="430"/>
      <c r="G43" s="430"/>
      <c r="H43" s="430"/>
      <c r="I43" s="430"/>
      <c r="J43" s="430"/>
      <c r="K43" s="430"/>
      <c r="L43" s="430"/>
      <c r="M43" s="721"/>
      <c r="N43" s="431"/>
      <c r="P43" s="357"/>
    </row>
    <row r="44" spans="1:16" ht="15.75" thickBot="1">
      <c r="A44" s="448"/>
      <c r="B44" s="451" t="s">
        <v>110</v>
      </c>
      <c r="C44" s="410"/>
      <c r="D44" s="430"/>
      <c r="E44" s="430"/>
      <c r="F44" s="430"/>
      <c r="G44" s="430"/>
      <c r="H44" s="430"/>
      <c r="I44" s="430"/>
      <c r="J44" s="430"/>
      <c r="K44" s="430"/>
      <c r="L44" s="430"/>
      <c r="M44" s="721"/>
      <c r="N44" s="431"/>
      <c r="P44" s="357"/>
    </row>
    <row r="45" spans="1:16" ht="15">
      <c r="A45" s="448"/>
      <c r="B45" s="457" t="s">
        <v>66</v>
      </c>
      <c r="C45" s="410"/>
      <c r="D45" s="430"/>
      <c r="E45" s="450"/>
      <c r="F45" s="450"/>
      <c r="G45" s="430"/>
      <c r="H45" s="430"/>
      <c r="I45" s="430"/>
      <c r="J45" s="430">
        <v>0</v>
      </c>
      <c r="K45" s="430"/>
      <c r="L45" s="430">
        <v>120</v>
      </c>
      <c r="M45" s="721">
        <v>10000</v>
      </c>
      <c r="N45" s="431">
        <f>M45*1.21</f>
        <v>12100</v>
      </c>
      <c r="O45" s="412" t="s">
        <v>137</v>
      </c>
      <c r="P45" s="357"/>
    </row>
    <row r="46" spans="1:16" ht="15">
      <c r="A46" s="448"/>
      <c r="B46" s="413" t="s">
        <v>153</v>
      </c>
      <c r="C46" s="414"/>
      <c r="D46" s="420"/>
      <c r="E46" s="420"/>
      <c r="F46" s="420"/>
      <c r="G46" s="420"/>
      <c r="H46" s="420"/>
      <c r="I46" s="420"/>
      <c r="J46" s="415">
        <f>SUM(J42:J45)</f>
        <v>0</v>
      </c>
      <c r="K46" s="415">
        <f>SUM(K41:K45)</f>
        <v>0</v>
      </c>
      <c r="L46" s="415">
        <f>SUM(L40:L45)</f>
        <v>240</v>
      </c>
      <c r="M46" s="419"/>
      <c r="N46" s="452"/>
      <c r="O46" s="732">
        <f>SUM(G47:L47)+N47</f>
        <v>26510</v>
      </c>
      <c r="P46" s="357"/>
    </row>
    <row r="47" spans="1:16" ht="15.75" thickBot="1">
      <c r="A47" s="458"/>
      <c r="B47" s="418" t="s">
        <v>154</v>
      </c>
      <c r="C47" s="440"/>
      <c r="D47" s="441"/>
      <c r="E47" s="441"/>
      <c r="F47" s="441"/>
      <c r="G47" s="441"/>
      <c r="H47" s="441"/>
      <c r="I47" s="441"/>
      <c r="J47" s="421">
        <f>J46*M4</f>
        <v>0</v>
      </c>
      <c r="K47" s="421">
        <f>K46*M3</f>
        <v>0</v>
      </c>
      <c r="L47" s="459">
        <f>L46*M4</f>
        <v>13200</v>
      </c>
      <c r="M47" s="459">
        <f>SUM(M40:M45)</f>
        <v>11000</v>
      </c>
      <c r="N47" s="733">
        <f>SUM(N45:N46,N40)</f>
        <v>13310</v>
      </c>
      <c r="O47" s="460"/>
      <c r="P47" s="357"/>
    </row>
    <row r="48" spans="1:16" ht="15">
      <c r="A48" s="461">
        <v>5</v>
      </c>
      <c r="B48" s="462" t="s">
        <v>53</v>
      </c>
      <c r="C48" s="463"/>
      <c r="D48" s="464"/>
      <c r="E48" s="464"/>
      <c r="F48" s="464"/>
      <c r="G48" s="464"/>
      <c r="H48" s="464"/>
      <c r="I48" s="464"/>
      <c r="J48" s="464"/>
      <c r="K48" s="464"/>
      <c r="L48" s="464"/>
      <c r="M48" s="727"/>
      <c r="N48" s="465"/>
      <c r="P48" s="357"/>
    </row>
    <row r="49" spans="1:16" ht="15">
      <c r="A49" s="466" t="s">
        <v>155</v>
      </c>
      <c r="B49" s="467" t="s">
        <v>52</v>
      </c>
      <c r="C49" s="410"/>
      <c r="D49" s="430"/>
      <c r="E49" s="430"/>
      <c r="F49" s="430"/>
      <c r="G49" s="430"/>
      <c r="H49" s="430"/>
      <c r="I49" s="430"/>
      <c r="J49" s="430"/>
      <c r="K49" s="430"/>
      <c r="L49" s="430"/>
      <c r="M49" s="721"/>
      <c r="N49" s="431"/>
      <c r="P49" s="357"/>
    </row>
    <row r="50" spans="1:16" ht="15">
      <c r="A50" s="468"/>
      <c r="B50" s="456" t="s">
        <v>164</v>
      </c>
      <c r="C50" s="410"/>
      <c r="D50" s="430"/>
      <c r="E50" s="430"/>
      <c r="F50" s="430"/>
      <c r="G50" s="430"/>
      <c r="H50" s="430"/>
      <c r="I50" s="430"/>
      <c r="J50" s="430"/>
      <c r="K50" s="430"/>
      <c r="L50" s="430"/>
      <c r="M50" s="721">
        <v>80000</v>
      </c>
      <c r="N50" s="431"/>
      <c r="P50" s="357"/>
    </row>
    <row r="51" spans="1:16" ht="15">
      <c r="A51" s="468"/>
      <c r="B51" s="456" t="s">
        <v>51</v>
      </c>
      <c r="C51" s="410"/>
      <c r="D51" s="430"/>
      <c r="E51" s="430"/>
      <c r="F51" s="430"/>
      <c r="G51" s="430"/>
      <c r="H51" s="430"/>
      <c r="I51" s="430"/>
      <c r="J51" s="430"/>
      <c r="K51" s="430"/>
      <c r="L51" s="430"/>
      <c r="M51" s="721">
        <v>60000</v>
      </c>
      <c r="N51" s="431"/>
      <c r="P51" s="357"/>
    </row>
    <row r="52" spans="1:16" ht="29.25">
      <c r="A52" s="468"/>
      <c r="B52" s="451" t="s">
        <v>150</v>
      </c>
      <c r="C52" s="410"/>
      <c r="D52" s="430"/>
      <c r="E52" s="430"/>
      <c r="F52" s="430"/>
      <c r="G52" s="430"/>
      <c r="H52" s="430"/>
      <c r="I52" s="430"/>
      <c r="J52" s="430"/>
      <c r="K52" s="430"/>
      <c r="L52" s="430"/>
      <c r="M52" s="721"/>
      <c r="N52" s="431"/>
      <c r="P52" s="357"/>
    </row>
    <row r="53" spans="1:16" ht="15">
      <c r="A53" s="468"/>
      <c r="B53" s="456" t="s">
        <v>45</v>
      </c>
      <c r="C53" s="410"/>
      <c r="D53" s="430"/>
      <c r="E53" s="430"/>
      <c r="F53" s="430"/>
      <c r="G53" s="430"/>
      <c r="H53" s="430"/>
      <c r="I53" s="430"/>
      <c r="J53" s="430"/>
      <c r="K53" s="430"/>
      <c r="L53" s="430"/>
      <c r="M53" s="721">
        <v>80000</v>
      </c>
      <c r="N53" s="431"/>
      <c r="P53" s="357"/>
    </row>
    <row r="54" spans="1:16" ht="29.25">
      <c r="A54" s="468"/>
      <c r="B54" s="456" t="s">
        <v>151</v>
      </c>
      <c r="C54" s="410"/>
      <c r="D54" s="430"/>
      <c r="E54" s="430"/>
      <c r="F54" s="430"/>
      <c r="G54" s="430"/>
      <c r="H54" s="430"/>
      <c r="I54" s="430"/>
      <c r="J54" s="430"/>
      <c r="K54" s="430">
        <f>12*40</f>
        <v>480</v>
      </c>
      <c r="L54" s="430">
        <v>80</v>
      </c>
      <c r="M54" s="721">
        <v>4000</v>
      </c>
      <c r="N54" s="431"/>
      <c r="P54" s="357"/>
    </row>
    <row r="55" spans="1:16" ht="15">
      <c r="A55" s="468"/>
      <c r="B55" s="456" t="s">
        <v>148</v>
      </c>
      <c r="C55" s="410"/>
      <c r="D55" s="430"/>
      <c r="E55" s="430"/>
      <c r="F55" s="430"/>
      <c r="G55" s="430"/>
      <c r="H55" s="430"/>
      <c r="I55" s="430"/>
      <c r="J55" s="430"/>
      <c r="K55" s="430">
        <f>36*4</f>
        <v>144</v>
      </c>
      <c r="L55" s="430">
        <v>40</v>
      </c>
      <c r="M55" s="721">
        <f>260*18</f>
        <v>4680</v>
      </c>
      <c r="N55" s="431"/>
      <c r="P55" s="357"/>
    </row>
    <row r="56" spans="1:16" ht="15">
      <c r="A56" s="468"/>
      <c r="B56" s="456" t="s">
        <v>50</v>
      </c>
      <c r="C56" s="410"/>
      <c r="D56" s="430"/>
      <c r="E56" s="430"/>
      <c r="F56" s="430"/>
      <c r="G56" s="430"/>
      <c r="H56" s="430"/>
      <c r="I56" s="430"/>
      <c r="J56" s="430"/>
      <c r="K56" s="430"/>
      <c r="L56" s="430"/>
      <c r="M56" s="721">
        <v>4000</v>
      </c>
      <c r="N56" s="431"/>
      <c r="P56" s="357"/>
    </row>
    <row r="57" spans="1:16" ht="29.25">
      <c r="A57" s="468"/>
      <c r="B57" s="456" t="s">
        <v>152</v>
      </c>
      <c r="C57" s="410"/>
      <c r="D57" s="430"/>
      <c r="E57" s="430"/>
      <c r="F57" s="430"/>
      <c r="G57" s="430"/>
      <c r="H57" s="430"/>
      <c r="I57" s="430"/>
      <c r="J57" s="430"/>
      <c r="K57" s="430"/>
      <c r="L57" s="430"/>
      <c r="M57" s="721">
        <v>8000</v>
      </c>
      <c r="N57" s="431"/>
      <c r="P57" s="357"/>
    </row>
    <row r="58" spans="1:16" ht="15.75" thickBot="1">
      <c r="A58" s="468"/>
      <c r="B58" s="456" t="s">
        <v>165</v>
      </c>
      <c r="C58" s="410"/>
      <c r="D58" s="430"/>
      <c r="E58" s="430"/>
      <c r="F58" s="430"/>
      <c r="G58" s="430"/>
      <c r="H58" s="430"/>
      <c r="I58" s="430"/>
      <c r="J58" s="430"/>
      <c r="K58" s="430"/>
      <c r="L58" s="430"/>
      <c r="M58" s="721">
        <v>8000</v>
      </c>
      <c r="N58" s="431"/>
      <c r="P58" s="357"/>
    </row>
    <row r="59" spans="1:16" ht="15">
      <c r="A59" s="461" t="s">
        <v>156</v>
      </c>
      <c r="B59" s="462" t="s">
        <v>48</v>
      </c>
      <c r="C59" s="463"/>
      <c r="D59" s="464"/>
      <c r="E59" s="464"/>
      <c r="F59" s="464"/>
      <c r="G59" s="464"/>
      <c r="H59" s="464"/>
      <c r="I59" s="464"/>
      <c r="J59" s="464"/>
      <c r="K59" s="464"/>
      <c r="L59" s="464"/>
      <c r="M59" s="727"/>
      <c r="N59" s="465"/>
      <c r="P59" s="357"/>
    </row>
    <row r="60" spans="1:16" ht="15">
      <c r="A60" s="468"/>
      <c r="B60" s="456" t="s">
        <v>120</v>
      </c>
      <c r="C60" s="410"/>
      <c r="D60" s="430"/>
      <c r="E60" s="430"/>
      <c r="F60" s="430"/>
      <c r="G60" s="430"/>
      <c r="H60" s="430"/>
      <c r="I60" s="430"/>
      <c r="J60" s="430"/>
      <c r="K60" s="430"/>
      <c r="L60" s="430"/>
      <c r="M60" s="721">
        <v>8000</v>
      </c>
      <c r="N60" s="431"/>
      <c r="P60" s="469"/>
    </row>
    <row r="61" spans="1:16" ht="15">
      <c r="A61" s="468"/>
      <c r="B61" s="456" t="s">
        <v>121</v>
      </c>
      <c r="C61" s="410"/>
      <c r="D61" s="430"/>
      <c r="E61" s="430"/>
      <c r="F61" s="430"/>
      <c r="G61" s="430"/>
      <c r="H61" s="430"/>
      <c r="I61" s="430"/>
      <c r="J61" s="430"/>
      <c r="K61" s="430"/>
      <c r="L61" s="430">
        <v>432</v>
      </c>
      <c r="M61" s="721"/>
      <c r="N61" s="431"/>
      <c r="O61" s="365"/>
      <c r="P61" s="432"/>
    </row>
    <row r="62" spans="1:16" ht="15">
      <c r="A62" s="468"/>
      <c r="B62" s="451" t="s">
        <v>46</v>
      </c>
      <c r="C62" s="410"/>
      <c r="D62" s="430"/>
      <c r="E62" s="430"/>
      <c r="F62" s="430"/>
      <c r="G62" s="430"/>
      <c r="H62" s="430"/>
      <c r="I62" s="430"/>
      <c r="J62" s="430"/>
      <c r="K62" s="430"/>
      <c r="L62" s="430"/>
      <c r="M62" s="721">
        <v>10000</v>
      </c>
      <c r="N62" s="431"/>
      <c r="O62" s="365"/>
      <c r="P62" s="432"/>
    </row>
    <row r="63" spans="1:16" ht="15.75" thickBot="1">
      <c r="A63" s="468"/>
      <c r="B63" s="451" t="s">
        <v>47</v>
      </c>
      <c r="C63" s="410"/>
      <c r="D63" s="430"/>
      <c r="E63" s="430"/>
      <c r="F63" s="430"/>
      <c r="G63" s="430"/>
      <c r="H63" s="430"/>
      <c r="I63" s="430"/>
      <c r="J63" s="430"/>
      <c r="K63" s="430"/>
      <c r="L63" s="430"/>
      <c r="M63" s="721">
        <v>20000</v>
      </c>
      <c r="N63" s="431"/>
      <c r="O63" s="365"/>
      <c r="P63" s="432"/>
    </row>
    <row r="64" spans="1:16" ht="15">
      <c r="A64" s="468"/>
      <c r="B64" s="451" t="s">
        <v>49</v>
      </c>
      <c r="C64" s="410"/>
      <c r="D64" s="430"/>
      <c r="E64" s="430"/>
      <c r="F64" s="430"/>
      <c r="G64" s="430"/>
      <c r="H64" s="430"/>
      <c r="I64" s="430"/>
      <c r="J64" s="430"/>
      <c r="K64" s="430"/>
      <c r="L64" s="430"/>
      <c r="M64" s="721">
        <v>5000</v>
      </c>
      <c r="N64" s="431"/>
      <c r="O64" s="412" t="s">
        <v>137</v>
      </c>
      <c r="P64" s="357"/>
    </row>
    <row r="65" spans="1:16" ht="15">
      <c r="A65" s="468"/>
      <c r="B65" s="413" t="s">
        <v>153</v>
      </c>
      <c r="C65" s="414"/>
      <c r="D65" s="420"/>
      <c r="E65" s="420"/>
      <c r="F65" s="420"/>
      <c r="G65" s="420"/>
      <c r="H65" s="420"/>
      <c r="I65" s="420"/>
      <c r="J65" s="420"/>
      <c r="K65" s="415">
        <f>SUM(K50:K64)</f>
        <v>624</v>
      </c>
      <c r="L65" s="415">
        <f>SUM(L50:L64)</f>
        <v>552</v>
      </c>
      <c r="M65" s="419">
        <f>SUM(M50:M64)</f>
        <v>291680</v>
      </c>
      <c r="N65" s="419">
        <f>M65*1.21</f>
        <v>352932.8</v>
      </c>
      <c r="O65" s="730">
        <f>N65+L66+K66</f>
        <v>423852.8</v>
      </c>
      <c r="P65" s="357"/>
    </row>
    <row r="66" spans="1:16" ht="15.75" thickBot="1">
      <c r="A66" s="470"/>
      <c r="B66" s="418" t="s">
        <v>154</v>
      </c>
      <c r="C66" s="440"/>
      <c r="D66" s="441"/>
      <c r="E66" s="441"/>
      <c r="F66" s="441"/>
      <c r="G66" s="441"/>
      <c r="H66" s="441"/>
      <c r="I66" s="441"/>
      <c r="J66" s="441"/>
      <c r="K66" s="421">
        <f>K65*M3</f>
        <v>40560</v>
      </c>
      <c r="L66" s="459">
        <f>L65*M4</f>
        <v>30360</v>
      </c>
      <c r="M66" s="459"/>
      <c r="N66" s="423"/>
      <c r="O66" s="471"/>
      <c r="P66" s="357"/>
    </row>
    <row r="67" ht="15.75" thickBot="1">
      <c r="P67" s="357"/>
    </row>
    <row r="68" spans="1:16" ht="15">
      <c r="A68" s="375" t="s">
        <v>11</v>
      </c>
      <c r="B68" s="472" t="s">
        <v>13</v>
      </c>
      <c r="C68" s="377"/>
      <c r="D68" s="473" t="s">
        <v>6</v>
      </c>
      <c r="E68" s="473" t="s">
        <v>4</v>
      </c>
      <c r="F68" s="473" t="s">
        <v>3</v>
      </c>
      <c r="G68" s="473" t="s">
        <v>27</v>
      </c>
      <c r="H68" s="474"/>
      <c r="I68" s="475"/>
      <c r="J68" s="476"/>
      <c r="P68" s="357"/>
    </row>
    <row r="69" spans="1:16" s="481" customFormat="1" ht="15.75" thickBot="1">
      <c r="A69" s="389" t="s">
        <v>12</v>
      </c>
      <c r="B69" s="477"/>
      <c r="C69" s="478"/>
      <c r="D69" s="479" t="s">
        <v>7</v>
      </c>
      <c r="E69" s="479" t="s">
        <v>5</v>
      </c>
      <c r="F69" s="479" t="s">
        <v>141</v>
      </c>
      <c r="G69" s="479" t="s">
        <v>23</v>
      </c>
      <c r="H69" s="479"/>
      <c r="I69" s="475"/>
      <c r="J69" s="476"/>
      <c r="K69" s="356"/>
      <c r="L69" s="356"/>
      <c r="M69" s="480"/>
      <c r="N69" s="480"/>
      <c r="O69" s="356"/>
      <c r="P69" s="469"/>
    </row>
    <row r="70" spans="1:16" ht="15.75" thickBot="1">
      <c r="A70" s="482">
        <v>6</v>
      </c>
      <c r="B70" s="483" t="s">
        <v>69</v>
      </c>
      <c r="C70" s="484"/>
      <c r="D70" s="485">
        <f>SUM(D71:D75)</f>
        <v>21</v>
      </c>
      <c r="E70" s="486" t="s">
        <v>10</v>
      </c>
      <c r="F70" s="487"/>
      <c r="G70" s="487"/>
      <c r="H70" s="488"/>
      <c r="I70" s="475"/>
      <c r="J70" s="476"/>
      <c r="P70" s="357"/>
    </row>
    <row r="71" spans="1:16" s="402" customFormat="1" ht="15">
      <c r="A71" s="489" t="s">
        <v>145</v>
      </c>
      <c r="B71" s="490" t="s">
        <v>68</v>
      </c>
      <c r="C71" s="491"/>
      <c r="D71" s="406"/>
      <c r="E71" s="408"/>
      <c r="F71" s="408"/>
      <c r="G71" s="492"/>
      <c r="H71" s="493"/>
      <c r="I71" s="494"/>
      <c r="J71" s="494" t="s">
        <v>102</v>
      </c>
      <c r="K71" s="494" t="s">
        <v>103</v>
      </c>
      <c r="L71" s="495"/>
      <c r="M71" s="496"/>
      <c r="N71" s="496"/>
      <c r="O71" s="401"/>
      <c r="P71" s="357"/>
    </row>
    <row r="72" spans="1:16" s="402" customFormat="1" ht="15">
      <c r="A72" s="497"/>
      <c r="B72" s="498" t="s">
        <v>8</v>
      </c>
      <c r="C72" s="491"/>
      <c r="D72" s="408">
        <v>3</v>
      </c>
      <c r="E72" s="408">
        <v>1</v>
      </c>
      <c r="F72" s="408">
        <v>1.5</v>
      </c>
      <c r="G72" s="499">
        <f>F72*E72*D72*8</f>
        <v>36</v>
      </c>
      <c r="H72" s="493"/>
      <c r="I72" s="415" t="s">
        <v>124</v>
      </c>
      <c r="J72" s="415">
        <f>G74+G73+G72</f>
        <v>180</v>
      </c>
      <c r="K72" s="718">
        <f>J72*M4</f>
        <v>9900</v>
      </c>
      <c r="L72" s="495"/>
      <c r="M72" s="496"/>
      <c r="N72" s="496"/>
      <c r="O72" s="401"/>
      <c r="P72" s="357"/>
    </row>
    <row r="73" spans="1:16" s="402" customFormat="1" ht="15.75" thickBot="1">
      <c r="A73" s="500" t="s">
        <v>143</v>
      </c>
      <c r="B73" s="490" t="s">
        <v>67</v>
      </c>
      <c r="C73" s="491"/>
      <c r="D73" s="408">
        <v>18</v>
      </c>
      <c r="E73" s="408">
        <v>1</v>
      </c>
      <c r="F73" s="408">
        <v>1</v>
      </c>
      <c r="G73" s="499">
        <f>F73*E73*D73*8</f>
        <v>144</v>
      </c>
      <c r="H73" s="493"/>
      <c r="I73" s="441"/>
      <c r="J73" s="441"/>
      <c r="K73" s="441"/>
      <c r="L73" s="495"/>
      <c r="M73" s="496"/>
      <c r="N73" s="496"/>
      <c r="O73" s="401"/>
      <c r="P73" s="357"/>
    </row>
    <row r="74" spans="1:16" s="402" customFormat="1" ht="15">
      <c r="A74" s="500" t="s">
        <v>144</v>
      </c>
      <c r="B74" s="490" t="s">
        <v>75</v>
      </c>
      <c r="C74" s="491"/>
      <c r="D74" s="408">
        <v>0</v>
      </c>
      <c r="E74" s="408">
        <v>0</v>
      </c>
      <c r="F74" s="408">
        <v>0</v>
      </c>
      <c r="G74" s="499">
        <f>F74*E74*D74*8</f>
        <v>0</v>
      </c>
      <c r="H74" s="493"/>
      <c r="I74" s="495"/>
      <c r="J74" s="495"/>
      <c r="K74" s="495"/>
      <c r="L74" s="495"/>
      <c r="M74" s="496"/>
      <c r="N74" s="496"/>
      <c r="O74" s="401"/>
      <c r="P74" s="357"/>
    </row>
    <row r="75" spans="1:16" s="402" customFormat="1" ht="15.75" thickBot="1">
      <c r="A75" s="501"/>
      <c r="B75" s="502"/>
      <c r="C75" s="503"/>
      <c r="D75" s="504"/>
      <c r="E75" s="504"/>
      <c r="F75" s="504"/>
      <c r="G75" s="505"/>
      <c r="H75" s="506"/>
      <c r="I75" s="495"/>
      <c r="J75" s="495"/>
      <c r="K75" s="260"/>
      <c r="L75" s="495"/>
      <c r="M75" s="496"/>
      <c r="N75" s="496"/>
      <c r="O75" s="401"/>
      <c r="P75" s="357"/>
    </row>
    <row r="76" spans="1:16" s="402" customFormat="1" ht="15">
      <c r="A76" s="507"/>
      <c r="B76" s="508"/>
      <c r="C76" s="491"/>
      <c r="D76" s="260"/>
      <c r="E76" s="260"/>
      <c r="F76" s="260"/>
      <c r="G76" s="260"/>
      <c r="H76" s="260"/>
      <c r="I76" s="495"/>
      <c r="J76" s="495"/>
      <c r="K76" s="495"/>
      <c r="L76" s="495"/>
      <c r="M76" s="496"/>
      <c r="N76" s="496"/>
      <c r="O76" s="401"/>
      <c r="P76" s="357"/>
    </row>
    <row r="77" spans="1:16" s="402" customFormat="1" ht="15.75" thickBot="1">
      <c r="A77" s="507"/>
      <c r="B77" s="508"/>
      <c r="C77" s="491"/>
      <c r="D77" s="509"/>
      <c r="E77" s="260"/>
      <c r="F77" s="260"/>
      <c r="G77" s="260"/>
      <c r="H77" s="260"/>
      <c r="I77" s="510"/>
      <c r="J77" s="495"/>
      <c r="K77" s="495"/>
      <c r="L77" s="495"/>
      <c r="M77" s="496"/>
      <c r="N77" s="496"/>
      <c r="O77" s="401"/>
      <c r="P77" s="357"/>
    </row>
    <row r="78" spans="1:16" s="402" customFormat="1" ht="15">
      <c r="A78" s="375" t="s">
        <v>11</v>
      </c>
      <c r="B78" s="472" t="s">
        <v>13</v>
      </c>
      <c r="C78" s="377"/>
      <c r="D78" s="473" t="s">
        <v>6</v>
      </c>
      <c r="E78" s="473" t="s">
        <v>4</v>
      </c>
      <c r="F78" s="473" t="s">
        <v>3</v>
      </c>
      <c r="G78" s="473" t="s">
        <v>3</v>
      </c>
      <c r="H78" s="474"/>
      <c r="I78" s="473" t="s">
        <v>6</v>
      </c>
      <c r="J78" s="473" t="s">
        <v>4</v>
      </c>
      <c r="K78" s="473" t="s">
        <v>3</v>
      </c>
      <c r="L78" s="473" t="s">
        <v>3</v>
      </c>
      <c r="M78" s="511" t="s">
        <v>3</v>
      </c>
      <c r="N78" s="511" t="s">
        <v>24</v>
      </c>
      <c r="O78" s="473" t="s">
        <v>21</v>
      </c>
      <c r="P78" s="512"/>
    </row>
    <row r="79" spans="1:16" s="402" customFormat="1" ht="15.75" thickBot="1">
      <c r="A79" s="389" t="s">
        <v>12</v>
      </c>
      <c r="B79" s="477"/>
      <c r="C79" s="478"/>
      <c r="D79" s="479" t="s">
        <v>7</v>
      </c>
      <c r="E79" s="479" t="s">
        <v>5</v>
      </c>
      <c r="F79" s="479" t="s">
        <v>2</v>
      </c>
      <c r="G79" s="479" t="s">
        <v>23</v>
      </c>
      <c r="H79" s="479"/>
      <c r="I79" s="479" t="s">
        <v>7</v>
      </c>
      <c r="J79" s="479" t="s">
        <v>5</v>
      </c>
      <c r="K79" s="479" t="s">
        <v>2</v>
      </c>
      <c r="L79" s="479" t="s">
        <v>23</v>
      </c>
      <c r="M79" s="513" t="s">
        <v>20</v>
      </c>
      <c r="N79" s="513" t="s">
        <v>25</v>
      </c>
      <c r="O79" s="479" t="s">
        <v>24</v>
      </c>
      <c r="P79" s="512"/>
    </row>
    <row r="80" spans="1:16" ht="15">
      <c r="A80" s="514">
        <v>7</v>
      </c>
      <c r="B80" s="483" t="s">
        <v>76</v>
      </c>
      <c r="C80" s="484"/>
      <c r="D80" s="515">
        <f>D81+D84</f>
        <v>14</v>
      </c>
      <c r="E80" s="486" t="s">
        <v>22</v>
      </c>
      <c r="F80" s="487"/>
      <c r="G80" s="487"/>
      <c r="H80" s="516"/>
      <c r="I80" s="485">
        <f>I81+I84</f>
        <v>7.5</v>
      </c>
      <c r="J80" s="486" t="s">
        <v>99</v>
      </c>
      <c r="K80" s="487"/>
      <c r="L80" s="487"/>
      <c r="M80" s="517"/>
      <c r="N80" s="517"/>
      <c r="O80" s="518"/>
      <c r="P80" s="357"/>
    </row>
    <row r="81" spans="1:16" s="402" customFormat="1" ht="15">
      <c r="A81" s="489" t="s">
        <v>142</v>
      </c>
      <c r="B81" s="508" t="s">
        <v>77</v>
      </c>
      <c r="C81" s="491"/>
      <c r="D81" s="406">
        <f>SUM(D82:D83)</f>
        <v>3</v>
      </c>
      <c r="E81" s="406"/>
      <c r="F81" s="408"/>
      <c r="G81" s="476">
        <f>SUM(G82:G83)</f>
        <v>72</v>
      </c>
      <c r="H81" s="519"/>
      <c r="I81" s="415">
        <f>SUM(I82:I83)</f>
        <v>1</v>
      </c>
      <c r="J81" s="420"/>
      <c r="K81" s="420"/>
      <c r="L81" s="415">
        <f>SUM(L82:L83)</f>
        <v>16</v>
      </c>
      <c r="M81" s="520">
        <v>17</v>
      </c>
      <c r="N81" s="521">
        <f>L81*M81</f>
        <v>272</v>
      </c>
      <c r="O81" s="522">
        <f>N81+G81</f>
        <v>344</v>
      </c>
      <c r="P81" s="357"/>
    </row>
    <row r="82" spans="1:16" ht="15">
      <c r="A82" s="500"/>
      <c r="B82" s="498" t="s">
        <v>78</v>
      </c>
      <c r="C82" s="523"/>
      <c r="D82" s="430">
        <v>3</v>
      </c>
      <c r="E82" s="430">
        <v>1</v>
      </c>
      <c r="F82" s="430">
        <v>3</v>
      </c>
      <c r="G82" s="361">
        <f>F82*E82*D82*8</f>
        <v>72</v>
      </c>
      <c r="H82" s="519"/>
      <c r="I82" s="430">
        <v>1</v>
      </c>
      <c r="J82" s="430">
        <v>1</v>
      </c>
      <c r="K82" s="430">
        <v>2</v>
      </c>
      <c r="L82" s="430">
        <f>K82*J82*I82*8</f>
        <v>16</v>
      </c>
      <c r="M82" s="524"/>
      <c r="N82" s="525"/>
      <c r="O82" s="522"/>
      <c r="P82" s="357"/>
    </row>
    <row r="83" spans="1:16" ht="15">
      <c r="A83" s="500"/>
      <c r="B83" s="498"/>
      <c r="C83" s="523"/>
      <c r="D83" s="430"/>
      <c r="E83" s="430"/>
      <c r="F83" s="430"/>
      <c r="G83" s="361"/>
      <c r="H83" s="519"/>
      <c r="I83" s="430"/>
      <c r="J83" s="430"/>
      <c r="K83" s="430"/>
      <c r="L83" s="430"/>
      <c r="M83" s="524"/>
      <c r="N83" s="525"/>
      <c r="O83" s="522"/>
      <c r="P83" s="357"/>
    </row>
    <row r="84" spans="1:16" s="481" customFormat="1" ht="15">
      <c r="A84" s="500" t="s">
        <v>157</v>
      </c>
      <c r="B84" s="490" t="s">
        <v>87</v>
      </c>
      <c r="C84" s="526"/>
      <c r="D84" s="527">
        <f>SUM(D85:D93)</f>
        <v>11</v>
      </c>
      <c r="E84" s="527"/>
      <c r="F84" s="527"/>
      <c r="G84" s="528">
        <f>SUM(G85:G92)</f>
        <v>160</v>
      </c>
      <c r="H84" s="529"/>
      <c r="I84" s="415">
        <f>SUM(I85:I93)</f>
        <v>6.5</v>
      </c>
      <c r="J84" s="415"/>
      <c r="K84" s="415"/>
      <c r="L84" s="415">
        <f>SUM(L85:L93)</f>
        <v>80</v>
      </c>
      <c r="M84" s="530">
        <v>17</v>
      </c>
      <c r="N84" s="521">
        <f>L84*M84</f>
        <v>1360</v>
      </c>
      <c r="O84" s="522">
        <f>N84+G84</f>
        <v>1520</v>
      </c>
      <c r="P84" s="469"/>
    </row>
    <row r="85" spans="1:16" s="402" customFormat="1" ht="15">
      <c r="A85" s="500"/>
      <c r="B85" s="498" t="s">
        <v>85</v>
      </c>
      <c r="C85" s="491"/>
      <c r="D85" s="408">
        <v>2</v>
      </c>
      <c r="E85" s="408">
        <v>1</v>
      </c>
      <c r="F85" s="408">
        <v>2</v>
      </c>
      <c r="G85" s="361">
        <f aca="true" t="shared" si="0" ref="G85:G93">F85*E85*D85*8</f>
        <v>32</v>
      </c>
      <c r="H85" s="519"/>
      <c r="I85" s="408">
        <v>1</v>
      </c>
      <c r="J85" s="408">
        <v>1</v>
      </c>
      <c r="K85" s="408">
        <v>1.5</v>
      </c>
      <c r="L85" s="430">
        <f aca="true" t="shared" si="1" ref="L85:L93">K85*J85*I85*8</f>
        <v>12</v>
      </c>
      <c r="M85" s="531">
        <v>17</v>
      </c>
      <c r="N85" s="532"/>
      <c r="O85" s="522"/>
      <c r="P85" s="357"/>
    </row>
    <row r="86" spans="1:16" ht="15">
      <c r="A86" s="500"/>
      <c r="B86" s="498" t="s">
        <v>86</v>
      </c>
      <c r="C86" s="523"/>
      <c r="D86" s="430">
        <v>0</v>
      </c>
      <c r="E86" s="430">
        <v>0</v>
      </c>
      <c r="F86" s="430">
        <v>0</v>
      </c>
      <c r="G86" s="361">
        <f t="shared" si="0"/>
        <v>0</v>
      </c>
      <c r="H86" s="519"/>
      <c r="I86" s="430">
        <v>0</v>
      </c>
      <c r="J86" s="430">
        <v>0</v>
      </c>
      <c r="K86" s="430">
        <v>0</v>
      </c>
      <c r="L86" s="430">
        <f t="shared" si="1"/>
        <v>0</v>
      </c>
      <c r="M86" s="524"/>
      <c r="N86" s="525"/>
      <c r="O86" s="522"/>
      <c r="P86" s="357"/>
    </row>
    <row r="87" spans="1:16" ht="15">
      <c r="A87" s="500"/>
      <c r="B87" s="498" t="s">
        <v>79</v>
      </c>
      <c r="C87" s="523"/>
      <c r="D87" s="430">
        <v>3</v>
      </c>
      <c r="E87" s="430">
        <v>1</v>
      </c>
      <c r="F87" s="430">
        <v>2</v>
      </c>
      <c r="G87" s="361">
        <f t="shared" si="0"/>
        <v>48</v>
      </c>
      <c r="H87" s="519"/>
      <c r="I87" s="430">
        <v>1</v>
      </c>
      <c r="J87" s="430">
        <v>1</v>
      </c>
      <c r="K87" s="430">
        <v>1.5</v>
      </c>
      <c r="L87" s="430">
        <f t="shared" si="1"/>
        <v>12</v>
      </c>
      <c r="M87" s="524"/>
      <c r="N87" s="525"/>
      <c r="O87" s="522"/>
      <c r="P87" s="357"/>
    </row>
    <row r="88" spans="1:16" ht="15">
      <c r="A88" s="497"/>
      <c r="B88" s="498" t="s">
        <v>80</v>
      </c>
      <c r="C88" s="523"/>
      <c r="D88" s="430">
        <v>1</v>
      </c>
      <c r="E88" s="430">
        <v>1</v>
      </c>
      <c r="F88" s="430">
        <v>2</v>
      </c>
      <c r="G88" s="361">
        <f t="shared" si="0"/>
        <v>16</v>
      </c>
      <c r="H88" s="519"/>
      <c r="I88" s="430">
        <v>0.5</v>
      </c>
      <c r="J88" s="430">
        <v>1</v>
      </c>
      <c r="K88" s="430">
        <v>1.5</v>
      </c>
      <c r="L88" s="430">
        <f t="shared" si="1"/>
        <v>6</v>
      </c>
      <c r="M88" s="524"/>
      <c r="N88" s="525"/>
      <c r="O88" s="522"/>
      <c r="P88" s="357"/>
    </row>
    <row r="89" spans="1:16" ht="15">
      <c r="A89" s="497"/>
      <c r="B89" s="498" t="s">
        <v>81</v>
      </c>
      <c r="C89" s="523"/>
      <c r="D89" s="430">
        <v>1</v>
      </c>
      <c r="E89" s="430">
        <v>1</v>
      </c>
      <c r="F89" s="430">
        <v>2</v>
      </c>
      <c r="G89" s="361">
        <f t="shared" si="0"/>
        <v>16</v>
      </c>
      <c r="H89" s="519"/>
      <c r="I89" s="430">
        <v>0.5</v>
      </c>
      <c r="J89" s="430">
        <v>1</v>
      </c>
      <c r="K89" s="430">
        <v>1.5</v>
      </c>
      <c r="L89" s="430">
        <f t="shared" si="1"/>
        <v>6</v>
      </c>
      <c r="M89" s="524"/>
      <c r="N89" s="525"/>
      <c r="O89" s="522"/>
      <c r="P89" s="357"/>
    </row>
    <row r="90" spans="1:16" ht="15">
      <c r="A90" s="497"/>
      <c r="B90" s="498" t="s">
        <v>82</v>
      </c>
      <c r="C90" s="523"/>
      <c r="D90" s="430">
        <v>1</v>
      </c>
      <c r="E90" s="430">
        <v>1</v>
      </c>
      <c r="F90" s="430">
        <v>2</v>
      </c>
      <c r="G90" s="361">
        <f t="shared" si="0"/>
        <v>16</v>
      </c>
      <c r="H90" s="519"/>
      <c r="I90" s="430">
        <v>1</v>
      </c>
      <c r="J90" s="430">
        <v>1</v>
      </c>
      <c r="K90" s="430">
        <v>1.5</v>
      </c>
      <c r="L90" s="430">
        <f t="shared" si="1"/>
        <v>12</v>
      </c>
      <c r="M90" s="524"/>
      <c r="N90" s="525"/>
      <c r="O90" s="522"/>
      <c r="P90" s="357"/>
    </row>
    <row r="91" spans="1:16" ht="15.75" thickBot="1">
      <c r="A91" s="497"/>
      <c r="B91" s="498" t="s">
        <v>83</v>
      </c>
      <c r="C91" s="523"/>
      <c r="D91" s="430">
        <v>1</v>
      </c>
      <c r="E91" s="430">
        <v>1</v>
      </c>
      <c r="F91" s="430">
        <v>2</v>
      </c>
      <c r="G91" s="361">
        <f t="shared" si="0"/>
        <v>16</v>
      </c>
      <c r="H91" s="519"/>
      <c r="I91" s="430">
        <v>1</v>
      </c>
      <c r="J91" s="430">
        <v>1</v>
      </c>
      <c r="K91" s="430">
        <v>1.5</v>
      </c>
      <c r="L91" s="430">
        <f t="shared" si="1"/>
        <v>12</v>
      </c>
      <c r="M91" s="524"/>
      <c r="N91" s="525"/>
      <c r="O91" s="522"/>
      <c r="P91" s="357"/>
    </row>
    <row r="92" spans="1:16" ht="15.75" thickBot="1">
      <c r="A92" s="497"/>
      <c r="B92" s="498" t="s">
        <v>84</v>
      </c>
      <c r="C92" s="523"/>
      <c r="D92" s="430">
        <v>1</v>
      </c>
      <c r="E92" s="430">
        <v>1</v>
      </c>
      <c r="F92" s="430">
        <v>2</v>
      </c>
      <c r="G92" s="361">
        <f t="shared" si="0"/>
        <v>16</v>
      </c>
      <c r="H92" s="519"/>
      <c r="I92" s="430">
        <v>1</v>
      </c>
      <c r="J92" s="430">
        <v>1</v>
      </c>
      <c r="K92" s="430">
        <v>1.5</v>
      </c>
      <c r="L92" s="430">
        <f t="shared" si="1"/>
        <v>12</v>
      </c>
      <c r="M92" s="524"/>
      <c r="N92" s="533"/>
      <c r="O92" s="534">
        <f>SUM(O81:O91)</f>
        <v>1864</v>
      </c>
      <c r="P92" s="357"/>
    </row>
    <row r="93" spans="1:16" ht="15">
      <c r="A93" s="497"/>
      <c r="B93" s="498" t="s">
        <v>88</v>
      </c>
      <c r="C93" s="523"/>
      <c r="D93" s="430">
        <v>1</v>
      </c>
      <c r="E93" s="430">
        <v>1</v>
      </c>
      <c r="F93" s="430">
        <v>3</v>
      </c>
      <c r="G93" s="361">
        <f t="shared" si="0"/>
        <v>24</v>
      </c>
      <c r="H93" s="519"/>
      <c r="I93" s="430">
        <v>0.5</v>
      </c>
      <c r="J93" s="430">
        <v>1</v>
      </c>
      <c r="K93" s="430">
        <v>2</v>
      </c>
      <c r="L93" s="430">
        <f t="shared" si="1"/>
        <v>8</v>
      </c>
      <c r="M93" s="524"/>
      <c r="N93" s="415" t="s">
        <v>21</v>
      </c>
      <c r="O93" s="718">
        <f>O92*M4</f>
        <v>102520</v>
      </c>
      <c r="P93" s="357"/>
    </row>
    <row r="94" spans="1:16" ht="15.75" thickBot="1">
      <c r="A94" s="501"/>
      <c r="B94" s="535"/>
      <c r="C94" s="536"/>
      <c r="D94" s="537"/>
      <c r="E94" s="537"/>
      <c r="F94" s="537"/>
      <c r="G94" s="370"/>
      <c r="H94" s="538"/>
      <c r="I94" s="537"/>
      <c r="J94" s="537"/>
      <c r="K94" s="537"/>
      <c r="L94" s="537"/>
      <c r="M94" s="539"/>
      <c r="N94" s="421"/>
      <c r="O94" s="422"/>
      <c r="P94" s="357"/>
    </row>
    <row r="95" spans="1:16" ht="30">
      <c r="A95" s="482">
        <v>8</v>
      </c>
      <c r="B95" s="540" t="s">
        <v>89</v>
      </c>
      <c r="C95" s="484"/>
      <c r="D95" s="485">
        <f>SUM(D96:D104)</f>
        <v>8</v>
      </c>
      <c r="E95" s="486" t="s">
        <v>22</v>
      </c>
      <c r="F95" s="487"/>
      <c r="G95" s="487"/>
      <c r="H95" s="516"/>
      <c r="I95" s="485">
        <f>SUM(I96:I104)</f>
        <v>5</v>
      </c>
      <c r="J95" s="486" t="s">
        <v>99</v>
      </c>
      <c r="K95" s="487"/>
      <c r="L95" s="487"/>
      <c r="M95" s="517"/>
      <c r="N95" s="517"/>
      <c r="O95" s="541"/>
      <c r="P95" s="357"/>
    </row>
    <row r="96" spans="1:16" s="402" customFormat="1" ht="15">
      <c r="A96" s="542" t="s">
        <v>158</v>
      </c>
      <c r="B96" s="508" t="s">
        <v>90</v>
      </c>
      <c r="C96" s="491"/>
      <c r="D96" s="406">
        <v>4</v>
      </c>
      <c r="E96" s="408">
        <v>1</v>
      </c>
      <c r="F96" s="408">
        <v>2</v>
      </c>
      <c r="G96" s="499">
        <f>F96*E96*D96*8</f>
        <v>64</v>
      </c>
      <c r="H96" s="293"/>
      <c r="I96" s="686">
        <v>3</v>
      </c>
      <c r="J96" s="408">
        <v>1</v>
      </c>
      <c r="K96" s="406">
        <v>2</v>
      </c>
      <c r="L96" s="408">
        <f>K96*J96*I96*8</f>
        <v>48</v>
      </c>
      <c r="M96" s="531">
        <v>17</v>
      </c>
      <c r="N96" s="544">
        <f>M96*L96</f>
        <v>816</v>
      </c>
      <c r="O96" s="521">
        <f>N96+G96</f>
        <v>880</v>
      </c>
      <c r="P96" s="357"/>
    </row>
    <row r="97" spans="1:16" s="402" customFormat="1" ht="15">
      <c r="A97" s="542"/>
      <c r="B97" s="508" t="s">
        <v>91</v>
      </c>
      <c r="C97" s="491"/>
      <c r="D97" s="406"/>
      <c r="E97" s="408"/>
      <c r="F97" s="408"/>
      <c r="G97" s="499"/>
      <c r="H97" s="293"/>
      <c r="I97" s="543"/>
      <c r="J97" s="408"/>
      <c r="K97" s="408"/>
      <c r="L97" s="408"/>
      <c r="M97" s="531"/>
      <c r="N97" s="544"/>
      <c r="O97" s="415"/>
      <c r="P97" s="357"/>
    </row>
    <row r="98" spans="1:16" s="402" customFormat="1" ht="29.25">
      <c r="A98" s="542"/>
      <c r="B98" s="508" t="s">
        <v>92</v>
      </c>
      <c r="C98" s="491"/>
      <c r="D98" s="406"/>
      <c r="E98" s="408"/>
      <c r="F98" s="408"/>
      <c r="G98" s="499"/>
      <c r="H98" s="293"/>
      <c r="I98" s="543"/>
      <c r="J98" s="408"/>
      <c r="K98" s="408"/>
      <c r="L98" s="408"/>
      <c r="M98" s="531"/>
      <c r="N98" s="544"/>
      <c r="O98" s="415"/>
      <c r="P98" s="357"/>
    </row>
    <row r="99" spans="1:16" s="402" customFormat="1" ht="29.25">
      <c r="A99" s="542"/>
      <c r="B99" s="508" t="s">
        <v>93</v>
      </c>
      <c r="C99" s="491"/>
      <c r="D99" s="406"/>
      <c r="E99" s="408"/>
      <c r="F99" s="408"/>
      <c r="G99" s="499"/>
      <c r="H99" s="293"/>
      <c r="I99" s="543"/>
      <c r="J99" s="408"/>
      <c r="K99" s="408"/>
      <c r="L99" s="408"/>
      <c r="M99" s="531"/>
      <c r="N99" s="544"/>
      <c r="O99" s="415"/>
      <c r="P99" s="357"/>
    </row>
    <row r="100" spans="1:16" s="402" customFormat="1" ht="15">
      <c r="A100" s="542"/>
      <c r="B100" s="508" t="s">
        <v>94</v>
      </c>
      <c r="C100" s="491"/>
      <c r="D100" s="406"/>
      <c r="E100" s="408"/>
      <c r="F100" s="408"/>
      <c r="G100" s="499"/>
      <c r="H100" s="293"/>
      <c r="I100" s="543"/>
      <c r="J100" s="408"/>
      <c r="K100" s="408"/>
      <c r="L100" s="408"/>
      <c r="M100" s="531"/>
      <c r="N100" s="544"/>
      <c r="O100" s="415"/>
      <c r="P100" s="357"/>
    </row>
    <row r="101" spans="1:16" s="402" customFormat="1" ht="29.25">
      <c r="A101" s="542"/>
      <c r="B101" s="508" t="s">
        <v>95</v>
      </c>
      <c r="C101" s="491"/>
      <c r="D101" s="406"/>
      <c r="E101" s="408"/>
      <c r="F101" s="408"/>
      <c r="G101" s="499"/>
      <c r="H101" s="293"/>
      <c r="I101" s="543"/>
      <c r="J101" s="408"/>
      <c r="K101" s="408"/>
      <c r="L101" s="408"/>
      <c r="M101" s="531"/>
      <c r="N101" s="544"/>
      <c r="O101" s="415"/>
      <c r="P101" s="357"/>
    </row>
    <row r="102" spans="1:16" s="402" customFormat="1" ht="29.25">
      <c r="A102" s="542"/>
      <c r="B102" s="508" t="s">
        <v>96</v>
      </c>
      <c r="C102" s="491"/>
      <c r="D102" s="408"/>
      <c r="E102" s="408"/>
      <c r="F102" s="408"/>
      <c r="G102" s="499"/>
      <c r="H102" s="293"/>
      <c r="I102" s="543"/>
      <c r="J102" s="408"/>
      <c r="K102" s="408"/>
      <c r="L102" s="408"/>
      <c r="M102" s="531"/>
      <c r="N102" s="544"/>
      <c r="O102" s="415"/>
      <c r="P102" s="357"/>
    </row>
    <row r="103" spans="1:16" s="402" customFormat="1" ht="15">
      <c r="A103" s="542"/>
      <c r="B103" s="508"/>
      <c r="C103" s="491"/>
      <c r="D103" s="406"/>
      <c r="E103" s="408"/>
      <c r="F103" s="408"/>
      <c r="G103" s="499"/>
      <c r="H103" s="293"/>
      <c r="I103" s="543"/>
      <c r="J103" s="408"/>
      <c r="K103" s="408"/>
      <c r="L103" s="408"/>
      <c r="M103" s="531"/>
      <c r="N103" s="544"/>
      <c r="O103" s="415"/>
      <c r="P103" s="357"/>
    </row>
    <row r="104" spans="1:16" s="402" customFormat="1" ht="15">
      <c r="A104" s="542" t="s">
        <v>159</v>
      </c>
      <c r="B104" s="490" t="s">
        <v>97</v>
      </c>
      <c r="C104" s="491"/>
      <c r="D104" s="408">
        <v>4</v>
      </c>
      <c r="E104" s="408">
        <v>1</v>
      </c>
      <c r="F104" s="408">
        <v>3</v>
      </c>
      <c r="G104" s="499">
        <f>F104*E104*D104*8</f>
        <v>96</v>
      </c>
      <c r="H104" s="293"/>
      <c r="I104" s="686">
        <v>2</v>
      </c>
      <c r="J104" s="408">
        <v>1</v>
      </c>
      <c r="K104" s="408">
        <v>2</v>
      </c>
      <c r="L104" s="408">
        <f>K104*J104*I104*8</f>
        <v>32</v>
      </c>
      <c r="M104" s="531">
        <v>17</v>
      </c>
      <c r="N104" s="544">
        <f>M104*L104</f>
        <v>544</v>
      </c>
      <c r="O104" s="521">
        <f>N104+G104</f>
        <v>640</v>
      </c>
      <c r="P104" s="357"/>
    </row>
    <row r="105" spans="1:16" s="402" customFormat="1" ht="15">
      <c r="A105" s="545"/>
      <c r="B105" s="546"/>
      <c r="C105" s="491"/>
      <c r="D105" s="408"/>
      <c r="E105" s="408"/>
      <c r="F105" s="408"/>
      <c r="G105" s="499"/>
      <c r="H105" s="293"/>
      <c r="I105" s="543"/>
      <c r="J105" s="408"/>
      <c r="K105" s="408"/>
      <c r="L105" s="408"/>
      <c r="M105" s="531"/>
      <c r="N105" s="544"/>
      <c r="O105" s="415"/>
      <c r="P105" s="357"/>
    </row>
    <row r="106" spans="1:16" s="402" customFormat="1" ht="15.75" thickBot="1">
      <c r="A106" s="545"/>
      <c r="B106" s="546"/>
      <c r="C106" s="491"/>
      <c r="D106" s="408"/>
      <c r="E106" s="408"/>
      <c r="F106" s="408"/>
      <c r="G106" s="499"/>
      <c r="H106" s="293"/>
      <c r="I106" s="547"/>
      <c r="J106" s="504"/>
      <c r="K106" s="504"/>
      <c r="L106" s="504"/>
      <c r="M106" s="548"/>
      <c r="N106" s="549"/>
      <c r="O106" s="422"/>
      <c r="P106" s="357"/>
    </row>
    <row r="107" spans="1:16" s="402" customFormat="1" ht="15.75" thickBot="1">
      <c r="A107" s="550"/>
      <c r="B107" s="551"/>
      <c r="C107" s="552"/>
      <c r="D107" s="553"/>
      <c r="E107" s="553"/>
      <c r="F107" s="553"/>
      <c r="G107" s="553"/>
      <c r="H107" s="553"/>
      <c r="I107" s="260"/>
      <c r="J107" s="260"/>
      <c r="K107" s="260"/>
      <c r="L107" s="260"/>
      <c r="M107" s="554"/>
      <c r="N107" s="533"/>
      <c r="O107" s="555">
        <f>SUM(O96:O106)</f>
        <v>1520</v>
      </c>
      <c r="P107" s="357"/>
    </row>
    <row r="108" spans="1:16" s="402" customFormat="1" ht="15">
      <c r="A108" s="556"/>
      <c r="B108" s="490"/>
      <c r="C108" s="491"/>
      <c r="D108" s="260"/>
      <c r="E108" s="260"/>
      <c r="F108" s="260"/>
      <c r="G108" s="260"/>
      <c r="H108" s="260"/>
      <c r="I108" s="260"/>
      <c r="J108" s="260"/>
      <c r="K108" s="260"/>
      <c r="L108" s="260"/>
      <c r="M108" s="554"/>
      <c r="N108" s="415" t="s">
        <v>21</v>
      </c>
      <c r="O108" s="718">
        <f>O107*M4</f>
        <v>83600</v>
      </c>
      <c r="P108" s="357"/>
    </row>
    <row r="109" spans="1:16" s="402" customFormat="1" ht="15">
      <c r="A109" s="556"/>
      <c r="B109" s="490"/>
      <c r="C109" s="491"/>
      <c r="D109" s="260"/>
      <c r="E109" s="260"/>
      <c r="F109" s="260"/>
      <c r="G109" s="260"/>
      <c r="H109" s="260"/>
      <c r="I109" s="260"/>
      <c r="J109" s="260"/>
      <c r="K109" s="260"/>
      <c r="L109" s="260"/>
      <c r="M109" s="554"/>
      <c r="N109" s="415"/>
      <c r="O109" s="718"/>
      <c r="P109" s="357"/>
    </row>
    <row r="110" spans="1:16" s="402" customFormat="1" ht="24.75" customHeight="1">
      <c r="A110" s="556"/>
      <c r="B110" s="490"/>
      <c r="C110" s="491"/>
      <c r="D110" s="260"/>
      <c r="E110" s="260"/>
      <c r="F110" s="260"/>
      <c r="G110" s="260"/>
      <c r="H110" s="260"/>
      <c r="I110" s="260"/>
      <c r="J110" s="260"/>
      <c r="K110" s="260"/>
      <c r="L110" s="260"/>
      <c r="M110" s="554"/>
      <c r="N110" s="571"/>
      <c r="O110" s="745"/>
      <c r="P110" s="357"/>
    </row>
    <row r="111" spans="1:16" s="402" customFormat="1" ht="27.75" customHeight="1" thickBot="1">
      <c r="A111" s="556"/>
      <c r="B111" s="490"/>
      <c r="C111" s="491"/>
      <c r="D111" s="260"/>
      <c r="E111" s="260"/>
      <c r="F111" s="260"/>
      <c r="G111" s="260"/>
      <c r="H111" s="260"/>
      <c r="I111" s="260"/>
      <c r="J111" s="260"/>
      <c r="K111" s="260"/>
      <c r="L111" s="260"/>
      <c r="M111" s="554"/>
      <c r="N111" s="476"/>
      <c r="O111" s="785"/>
      <c r="P111" s="357"/>
    </row>
    <row r="112" spans="1:16" s="402" customFormat="1" ht="15">
      <c r="A112" s="375" t="s">
        <v>11</v>
      </c>
      <c r="B112" s="472" t="s">
        <v>13</v>
      </c>
      <c r="C112" s="377"/>
      <c r="D112" s="473" t="s">
        <v>6</v>
      </c>
      <c r="E112" s="473" t="s">
        <v>4</v>
      </c>
      <c r="F112" s="473" t="s">
        <v>3</v>
      </c>
      <c r="G112" s="473" t="s">
        <v>3</v>
      </c>
      <c r="H112" s="474"/>
      <c r="I112" s="473" t="s">
        <v>3</v>
      </c>
      <c r="J112" s="473" t="s">
        <v>21</v>
      </c>
      <c r="K112" s="495"/>
      <c r="L112" s="495"/>
      <c r="M112" s="496"/>
      <c r="N112" s="557"/>
      <c r="O112" s="476"/>
      <c r="P112" s="357"/>
    </row>
    <row r="113" spans="1:16" s="402" customFormat="1" ht="15.75" thickBot="1">
      <c r="A113" s="389" t="s">
        <v>12</v>
      </c>
      <c r="B113" s="477"/>
      <c r="C113" s="478"/>
      <c r="D113" s="479" t="s">
        <v>7</v>
      </c>
      <c r="E113" s="479" t="s">
        <v>5</v>
      </c>
      <c r="F113" s="479" t="s">
        <v>2</v>
      </c>
      <c r="G113" s="479" t="s">
        <v>23</v>
      </c>
      <c r="H113" s="479"/>
      <c r="I113" s="479" t="s">
        <v>20</v>
      </c>
      <c r="J113" s="479" t="s">
        <v>62</v>
      </c>
      <c r="K113" s="495"/>
      <c r="L113" s="495"/>
      <c r="M113" s="496"/>
      <c r="N113" s="496"/>
      <c r="O113" s="401"/>
      <c r="P113" s="357"/>
    </row>
    <row r="114" spans="1:16" s="402" customFormat="1" ht="15.75" thickBot="1">
      <c r="A114" s="514">
        <v>9</v>
      </c>
      <c r="B114" s="540" t="s">
        <v>101</v>
      </c>
      <c r="C114" s="484"/>
      <c r="D114" s="485">
        <f>D117+D119+D122</f>
        <v>7.5</v>
      </c>
      <c r="E114" s="486" t="s">
        <v>9</v>
      </c>
      <c r="F114" s="487"/>
      <c r="G114" s="487"/>
      <c r="H114" s="516"/>
      <c r="I114" s="558"/>
      <c r="J114" s="559"/>
      <c r="K114" s="495"/>
      <c r="L114" s="495"/>
      <c r="M114" s="496"/>
      <c r="N114" s="496"/>
      <c r="O114" s="401"/>
      <c r="P114" s="357"/>
    </row>
    <row r="115" spans="1:16" s="402" customFormat="1" ht="15">
      <c r="A115" s="497"/>
      <c r="B115" s="546" t="s">
        <v>200</v>
      </c>
      <c r="C115" s="560"/>
      <c r="D115" s="406"/>
      <c r="E115" s="561"/>
      <c r="F115" s="408"/>
      <c r="G115" s="562"/>
      <c r="H115" s="563"/>
      <c r="I115" s="564"/>
      <c r="J115" s="406"/>
      <c r="K115" s="495"/>
      <c r="L115" s="495"/>
      <c r="M115" s="496"/>
      <c r="N115" s="496"/>
      <c r="O115" s="401"/>
      <c r="P115" s="357"/>
    </row>
    <row r="116" spans="1:16" s="402" customFormat="1" ht="15">
      <c r="A116" s="497"/>
      <c r="B116" s="565"/>
      <c r="C116" s="566"/>
      <c r="D116" s="406"/>
      <c r="E116" s="561"/>
      <c r="F116" s="408"/>
      <c r="G116" s="562"/>
      <c r="H116" s="563"/>
      <c r="I116" s="406"/>
      <c r="J116" s="406"/>
      <c r="K116" s="495"/>
      <c r="L116" s="495"/>
      <c r="M116" s="496"/>
      <c r="N116" s="496"/>
      <c r="O116" s="401"/>
      <c r="P116" s="357"/>
    </row>
    <row r="117" spans="1:16" s="402" customFormat="1" ht="15">
      <c r="A117" s="500" t="s">
        <v>161</v>
      </c>
      <c r="B117" s="567" t="s">
        <v>115</v>
      </c>
      <c r="C117" s="491"/>
      <c r="D117" s="408">
        <v>1</v>
      </c>
      <c r="E117" s="408">
        <v>1</v>
      </c>
      <c r="F117" s="408">
        <v>2</v>
      </c>
      <c r="G117" s="562">
        <f>F117*E117*D117*8</f>
        <v>16</v>
      </c>
      <c r="H117" s="563"/>
      <c r="I117" s="408">
        <v>18</v>
      </c>
      <c r="J117" s="495">
        <f>I117*G117</f>
        <v>288</v>
      </c>
      <c r="K117" s="562"/>
      <c r="L117" s="260"/>
      <c r="M117" s="557"/>
      <c r="N117" s="496"/>
      <c r="O117" s="401"/>
      <c r="P117" s="357"/>
    </row>
    <row r="118" spans="1:16" s="402" customFormat="1" ht="15">
      <c r="A118" s="500"/>
      <c r="B118" s="508"/>
      <c r="C118" s="491"/>
      <c r="D118" s="408"/>
      <c r="E118" s="408"/>
      <c r="F118" s="408"/>
      <c r="G118" s="562"/>
      <c r="H118" s="563"/>
      <c r="I118" s="408"/>
      <c r="J118" s="495"/>
      <c r="K118" s="562"/>
      <c r="L118" s="260"/>
      <c r="M118" s="557"/>
      <c r="N118" s="557"/>
      <c r="O118" s="401"/>
      <c r="P118" s="357"/>
    </row>
    <row r="119" spans="1:16" s="402" customFormat="1" ht="15">
      <c r="A119" s="500" t="s">
        <v>162</v>
      </c>
      <c r="B119" s="567" t="s">
        <v>100</v>
      </c>
      <c r="C119" s="491"/>
      <c r="D119" s="406"/>
      <c r="E119" s="406"/>
      <c r="F119" s="408"/>
      <c r="G119" s="562"/>
      <c r="H119" s="563"/>
      <c r="I119" s="408"/>
      <c r="J119" s="495">
        <f aca="true" t="shared" si="2" ref="J119:J130">I119*G119</f>
        <v>0</v>
      </c>
      <c r="K119" s="562"/>
      <c r="L119" s="260"/>
      <c r="M119" s="557"/>
      <c r="N119" s="557"/>
      <c r="O119" s="401"/>
      <c r="P119" s="357"/>
    </row>
    <row r="120" spans="1:16" s="402" customFormat="1" ht="29.25">
      <c r="A120" s="500"/>
      <c r="B120" s="568" t="s">
        <v>19</v>
      </c>
      <c r="C120" s="491"/>
      <c r="D120" s="408">
        <v>1.5</v>
      </c>
      <c r="E120" s="408">
        <v>1</v>
      </c>
      <c r="F120" s="408">
        <v>2</v>
      </c>
      <c r="G120" s="562">
        <f>F120*E120*D120*8</f>
        <v>24</v>
      </c>
      <c r="H120" s="563"/>
      <c r="I120" s="408">
        <v>18</v>
      </c>
      <c r="J120" s="495">
        <f t="shared" si="2"/>
        <v>432</v>
      </c>
      <c r="K120" s="562"/>
      <c r="L120" s="260"/>
      <c r="M120" s="557"/>
      <c r="N120" s="557"/>
      <c r="O120" s="401"/>
      <c r="P120" s="357"/>
    </row>
    <row r="121" spans="1:16" s="402" customFormat="1" ht="15">
      <c r="A121" s="500"/>
      <c r="B121" s="568"/>
      <c r="C121" s="491"/>
      <c r="D121" s="408"/>
      <c r="E121" s="408"/>
      <c r="F121" s="408"/>
      <c r="G121" s="562"/>
      <c r="H121" s="563"/>
      <c r="I121" s="408"/>
      <c r="J121" s="495">
        <f t="shared" si="2"/>
        <v>0</v>
      </c>
      <c r="K121" s="562"/>
      <c r="L121" s="260"/>
      <c r="M121" s="557"/>
      <c r="N121" s="557"/>
      <c r="O121" s="401"/>
      <c r="P121" s="357"/>
    </row>
    <row r="122" spans="1:16" s="402" customFormat="1" ht="15">
      <c r="A122" s="500" t="s">
        <v>163</v>
      </c>
      <c r="B122" s="567" t="s">
        <v>104</v>
      </c>
      <c r="C122" s="491"/>
      <c r="D122" s="406">
        <f>D123+D124+D125+D127+D128+D129+D130</f>
        <v>6.5</v>
      </c>
      <c r="E122" s="406"/>
      <c r="F122" s="408"/>
      <c r="G122" s="562"/>
      <c r="H122" s="563"/>
      <c r="I122" s="408"/>
      <c r="J122" s="495">
        <f t="shared" si="2"/>
        <v>0</v>
      </c>
      <c r="K122" s="562"/>
      <c r="L122" s="260"/>
      <c r="M122" s="557"/>
      <c r="N122" s="557"/>
      <c r="O122" s="401"/>
      <c r="P122" s="357"/>
    </row>
    <row r="123" spans="1:16" s="402" customFormat="1" ht="15">
      <c r="A123" s="497"/>
      <c r="B123" s="568" t="s">
        <v>14</v>
      </c>
      <c r="C123" s="491"/>
      <c r="D123" s="408">
        <v>1</v>
      </c>
      <c r="E123" s="408">
        <v>1</v>
      </c>
      <c r="F123" s="408">
        <v>2</v>
      </c>
      <c r="G123" s="562">
        <f aca="true" t="shared" si="3" ref="G123:G130">F123*E123*D123*8</f>
        <v>16</v>
      </c>
      <c r="H123" s="563"/>
      <c r="I123" s="408">
        <v>18</v>
      </c>
      <c r="J123" s="495">
        <f t="shared" si="2"/>
        <v>288</v>
      </c>
      <c r="K123" s="562"/>
      <c r="L123" s="260"/>
      <c r="M123" s="557"/>
      <c r="N123" s="557"/>
      <c r="O123" s="401"/>
      <c r="P123" s="357"/>
    </row>
    <row r="124" spans="1:16" s="402" customFormat="1" ht="15">
      <c r="A124" s="497"/>
      <c r="B124" s="568" t="s">
        <v>15</v>
      </c>
      <c r="C124" s="491"/>
      <c r="D124" s="408">
        <v>1</v>
      </c>
      <c r="E124" s="408">
        <v>2</v>
      </c>
      <c r="F124" s="408">
        <v>2</v>
      </c>
      <c r="G124" s="562">
        <f t="shared" si="3"/>
        <v>32</v>
      </c>
      <c r="H124" s="563"/>
      <c r="I124" s="408">
        <v>18</v>
      </c>
      <c r="J124" s="495">
        <f t="shared" si="2"/>
        <v>576</v>
      </c>
      <c r="K124" s="562"/>
      <c r="L124" s="260"/>
      <c r="M124" s="557"/>
      <c r="N124" s="557"/>
      <c r="O124" s="401"/>
      <c r="P124" s="357"/>
    </row>
    <row r="125" spans="1:16" s="402" customFormat="1" ht="15">
      <c r="A125" s="497"/>
      <c r="B125" s="568" t="s">
        <v>16</v>
      </c>
      <c r="C125" s="491"/>
      <c r="D125" s="408">
        <v>1</v>
      </c>
      <c r="E125" s="408">
        <v>3</v>
      </c>
      <c r="F125" s="408">
        <v>1</v>
      </c>
      <c r="G125" s="562">
        <f t="shared" si="3"/>
        <v>24</v>
      </c>
      <c r="H125" s="563"/>
      <c r="I125" s="408">
        <v>18</v>
      </c>
      <c r="J125" s="495">
        <f t="shared" si="2"/>
        <v>432</v>
      </c>
      <c r="K125" s="562"/>
      <c r="L125" s="260"/>
      <c r="M125" s="557"/>
      <c r="N125" s="557"/>
      <c r="O125" s="401"/>
      <c r="P125" s="357"/>
    </row>
    <row r="126" spans="1:16" s="402" customFormat="1" ht="15">
      <c r="A126" s="497"/>
      <c r="B126" s="568" t="s">
        <v>1</v>
      </c>
      <c r="C126" s="260"/>
      <c r="D126" s="408">
        <v>0.5</v>
      </c>
      <c r="E126" s="408">
        <v>1</v>
      </c>
      <c r="F126" s="408">
        <v>1</v>
      </c>
      <c r="G126" s="562">
        <f t="shared" si="3"/>
        <v>4</v>
      </c>
      <c r="H126" s="563"/>
      <c r="I126" s="408">
        <v>18</v>
      </c>
      <c r="J126" s="495">
        <f t="shared" si="2"/>
        <v>72</v>
      </c>
      <c r="K126" s="562"/>
      <c r="L126" s="260"/>
      <c r="M126" s="557"/>
      <c r="N126" s="557"/>
      <c r="O126" s="401"/>
      <c r="P126" s="357"/>
    </row>
    <row r="127" spans="1:16" s="402" customFormat="1" ht="15.75" thickBot="1">
      <c r="A127" s="497"/>
      <c r="B127" s="568" t="s">
        <v>17</v>
      </c>
      <c r="C127" s="523"/>
      <c r="D127" s="430">
        <v>1</v>
      </c>
      <c r="E127" s="430">
        <v>2</v>
      </c>
      <c r="F127" s="430">
        <v>1</v>
      </c>
      <c r="G127" s="562">
        <f t="shared" si="3"/>
        <v>16</v>
      </c>
      <c r="H127" s="563"/>
      <c r="I127" s="408">
        <v>18</v>
      </c>
      <c r="J127" s="495">
        <f t="shared" si="2"/>
        <v>288</v>
      </c>
      <c r="K127" s="360"/>
      <c r="L127" s="361"/>
      <c r="M127" s="569"/>
      <c r="N127" s="557"/>
      <c r="O127" s="401"/>
      <c r="P127" s="357"/>
    </row>
    <row r="128" spans="1:16" ht="15">
      <c r="A128" s="497"/>
      <c r="B128" s="498" t="s">
        <v>18</v>
      </c>
      <c r="C128" s="523"/>
      <c r="D128" s="430">
        <v>1</v>
      </c>
      <c r="E128" s="430">
        <v>1</v>
      </c>
      <c r="F128" s="430">
        <v>1</v>
      </c>
      <c r="G128" s="562">
        <f t="shared" si="3"/>
        <v>8</v>
      </c>
      <c r="H128" s="563"/>
      <c r="I128" s="408">
        <v>18</v>
      </c>
      <c r="J128" s="495">
        <f t="shared" si="2"/>
        <v>144</v>
      </c>
      <c r="K128" s="570"/>
      <c r="L128" s="296" t="s">
        <v>102</v>
      </c>
      <c r="M128" s="297" t="s">
        <v>103</v>
      </c>
      <c r="N128" s="569"/>
      <c r="P128" s="357"/>
    </row>
    <row r="129" spans="1:16" ht="15">
      <c r="A129" s="497"/>
      <c r="B129" s="498" t="s">
        <v>0</v>
      </c>
      <c r="C129" s="523"/>
      <c r="D129" s="430">
        <v>0.5</v>
      </c>
      <c r="E129" s="430">
        <v>1</v>
      </c>
      <c r="F129" s="430">
        <v>1</v>
      </c>
      <c r="G129" s="562">
        <f t="shared" si="3"/>
        <v>4</v>
      </c>
      <c r="H129" s="563"/>
      <c r="I129" s="408">
        <v>18</v>
      </c>
      <c r="J129" s="495">
        <f t="shared" si="2"/>
        <v>72</v>
      </c>
      <c r="K129" s="436" t="s">
        <v>21</v>
      </c>
      <c r="L129" s="571">
        <f>SUM(J117:J130)</f>
        <v>2736</v>
      </c>
      <c r="M129" s="728">
        <f>L129*M4</f>
        <v>150480</v>
      </c>
      <c r="P129" s="357"/>
    </row>
    <row r="130" spans="1:16" ht="15.75" thickBot="1">
      <c r="A130" s="501"/>
      <c r="B130" s="572" t="s">
        <v>149</v>
      </c>
      <c r="C130" s="573"/>
      <c r="D130" s="504">
        <v>1</v>
      </c>
      <c r="E130" s="504">
        <v>1</v>
      </c>
      <c r="F130" s="504">
        <v>1</v>
      </c>
      <c r="G130" s="574">
        <f t="shared" si="3"/>
        <v>8</v>
      </c>
      <c r="H130" s="575"/>
      <c r="I130" s="537">
        <v>18</v>
      </c>
      <c r="J130" s="371">
        <f t="shared" si="2"/>
        <v>144</v>
      </c>
      <c r="K130" s="576"/>
      <c r="L130" s="306"/>
      <c r="M130" s="729"/>
      <c r="P130" s="357"/>
    </row>
    <row r="131" spans="1:16" ht="15">
      <c r="A131" s="750">
        <v>10</v>
      </c>
      <c r="B131" s="742" t="s">
        <v>64</v>
      </c>
      <c r="C131" s="743"/>
      <c r="D131" s="751">
        <f>SUM(D132:D134)</f>
        <v>1</v>
      </c>
      <c r="E131" s="752"/>
      <c r="F131" s="752"/>
      <c r="G131" s="752"/>
      <c r="H131" s="752"/>
      <c r="I131" s="751"/>
      <c r="J131" s="752"/>
      <c r="K131" s="296"/>
      <c r="L131" s="296"/>
      <c r="M131" s="756"/>
      <c r="P131" s="357"/>
    </row>
    <row r="132" spans="1:16" ht="15">
      <c r="A132" s="500"/>
      <c r="B132" s="498"/>
      <c r="C132" s="523"/>
      <c r="D132" s="430"/>
      <c r="E132" s="430"/>
      <c r="F132" s="430"/>
      <c r="G132" s="408"/>
      <c r="H132" s="408"/>
      <c r="I132" s="430"/>
      <c r="J132" s="430"/>
      <c r="K132" s="744"/>
      <c r="L132" s="299" t="s">
        <v>102</v>
      </c>
      <c r="M132" s="747"/>
      <c r="N132" s="476"/>
      <c r="P132" s="357"/>
    </row>
    <row r="133" spans="1:16" ht="15">
      <c r="A133" s="500" t="s">
        <v>248</v>
      </c>
      <c r="B133" s="577" t="s">
        <v>63</v>
      </c>
      <c r="C133" s="523"/>
      <c r="D133" s="430">
        <v>1</v>
      </c>
      <c r="E133" s="430">
        <v>1</v>
      </c>
      <c r="F133" s="430">
        <v>2</v>
      </c>
      <c r="G133" s="408">
        <f>F133*8</f>
        <v>16</v>
      </c>
      <c r="H133" s="408">
        <v>0</v>
      </c>
      <c r="I133" s="408">
        <v>18</v>
      </c>
      <c r="J133" s="430">
        <f>I133*G133</f>
        <v>288</v>
      </c>
      <c r="K133" s="299"/>
      <c r="L133" s="571">
        <f>J133</f>
        <v>288</v>
      </c>
      <c r="M133" s="747"/>
      <c r="N133" s="264"/>
      <c r="P133" s="357"/>
    </row>
    <row r="134" spans="1:16" ht="15">
      <c r="A134" s="500"/>
      <c r="B134" s="498" t="s">
        <v>65</v>
      </c>
      <c r="C134" s="523"/>
      <c r="D134" s="430"/>
      <c r="E134" s="430"/>
      <c r="F134" s="430"/>
      <c r="G134" s="408"/>
      <c r="H134" s="408"/>
      <c r="I134" s="430"/>
      <c r="J134" s="430"/>
      <c r="K134" s="744"/>
      <c r="L134" s="299"/>
      <c r="M134" s="746" t="s">
        <v>103</v>
      </c>
      <c r="N134" s="264"/>
      <c r="P134" s="357"/>
    </row>
    <row r="135" spans="1:14" ht="15.75" thickBot="1">
      <c r="A135" s="755" t="s">
        <v>249</v>
      </c>
      <c r="B135" s="754" t="s">
        <v>247</v>
      </c>
      <c r="C135" s="573"/>
      <c r="D135" s="537"/>
      <c r="E135" s="537"/>
      <c r="F135" s="537"/>
      <c r="G135" s="537"/>
      <c r="H135" s="537"/>
      <c r="I135" s="537"/>
      <c r="J135" s="753">
        <f>9*3000</f>
        <v>27000</v>
      </c>
      <c r="K135" s="749" t="s">
        <v>21</v>
      </c>
      <c r="L135" s="306"/>
      <c r="M135" s="748">
        <f>(L133*M4)+J135</f>
        <v>42840</v>
      </c>
      <c r="N135" s="264"/>
    </row>
    <row r="136" spans="2:11" ht="15.75" thickBot="1">
      <c r="B136" s="578"/>
      <c r="G136" s="260"/>
      <c r="H136" s="260"/>
      <c r="I136" s="260"/>
      <c r="J136" s="260"/>
      <c r="K136" s="260"/>
    </row>
    <row r="137" spans="2:11" ht="15">
      <c r="B137" s="280" t="s">
        <v>139</v>
      </c>
      <c r="C137" s="287"/>
      <c r="D137" s="710">
        <f>O15</f>
        <v>133200</v>
      </c>
      <c r="E137" s="288"/>
      <c r="J137" s="260"/>
      <c r="K137" s="288"/>
    </row>
    <row r="138" spans="2:11" ht="15">
      <c r="B138" s="281" t="s">
        <v>113</v>
      </c>
      <c r="C138" s="289"/>
      <c r="D138" s="711">
        <f>O23</f>
        <v>17000</v>
      </c>
      <c r="E138" s="288"/>
      <c r="J138" s="260"/>
      <c r="K138" s="288"/>
    </row>
    <row r="139" spans="2:11" ht="15">
      <c r="B139" s="282" t="s">
        <v>146</v>
      </c>
      <c r="C139" s="290"/>
      <c r="D139" s="712">
        <f>O37</f>
        <v>53930</v>
      </c>
      <c r="E139" s="288"/>
      <c r="J139" s="260"/>
      <c r="K139" s="288"/>
    </row>
    <row r="140" spans="2:11" ht="15">
      <c r="B140" s="282" t="s">
        <v>147</v>
      </c>
      <c r="C140" s="291"/>
      <c r="D140" s="712">
        <f>O46</f>
        <v>26510</v>
      </c>
      <c r="E140" s="288"/>
      <c r="J140" s="260"/>
      <c r="K140" s="288"/>
    </row>
    <row r="141" spans="2:11" ht="15">
      <c r="B141" s="283" t="s">
        <v>114</v>
      </c>
      <c r="C141" s="292"/>
      <c r="D141" s="713">
        <f>O65</f>
        <v>423852.8</v>
      </c>
      <c r="E141" s="288"/>
      <c r="J141" s="260"/>
      <c r="K141" s="260"/>
    </row>
    <row r="142" spans="2:11" ht="15">
      <c r="B142" s="284" t="s">
        <v>130</v>
      </c>
      <c r="C142" s="293"/>
      <c r="D142" s="714">
        <f>K72</f>
        <v>9900</v>
      </c>
      <c r="E142" s="288"/>
      <c r="J142" s="260"/>
      <c r="K142" s="260"/>
    </row>
    <row r="143" spans="2:11" ht="15">
      <c r="B143" s="284" t="s">
        <v>119</v>
      </c>
      <c r="C143" s="293"/>
      <c r="D143" s="714">
        <f>O93</f>
        <v>102520</v>
      </c>
      <c r="E143" s="288"/>
      <c r="J143" s="260"/>
      <c r="K143" s="260"/>
    </row>
    <row r="144" spans="2:11" ht="15">
      <c r="B144" s="284" t="s">
        <v>118</v>
      </c>
      <c r="C144" s="293"/>
      <c r="D144" s="714">
        <f>O108</f>
        <v>83600</v>
      </c>
      <c r="E144" s="288"/>
      <c r="J144" s="260"/>
      <c r="K144" s="579"/>
    </row>
    <row r="145" spans="2:11" ht="15">
      <c r="B145" s="284" t="s">
        <v>117</v>
      </c>
      <c r="C145" s="293"/>
      <c r="D145" s="714">
        <f>M129</f>
        <v>150480</v>
      </c>
      <c r="E145" s="288"/>
      <c r="J145" s="260"/>
      <c r="K145" s="260"/>
    </row>
    <row r="146" spans="2:11" ht="15.75" thickBot="1">
      <c r="B146" s="285" t="s">
        <v>250</v>
      </c>
      <c r="C146" s="294"/>
      <c r="D146" s="715">
        <f>M135</f>
        <v>42840</v>
      </c>
      <c r="E146" s="288"/>
      <c r="H146" s="580" t="s">
        <v>203</v>
      </c>
      <c r="J146" s="260"/>
      <c r="K146" s="260"/>
    </row>
    <row r="147" spans="2:9" ht="15">
      <c r="B147" s="295"/>
      <c r="C147" s="296"/>
      <c r="D147" s="297"/>
      <c r="E147" s="260"/>
      <c r="H147" s="580" t="s">
        <v>201</v>
      </c>
      <c r="I147" s="350"/>
    </row>
    <row r="148" spans="2:13" ht="15">
      <c r="B148" s="298" t="s">
        <v>190</v>
      </c>
      <c r="C148" s="299"/>
      <c r="D148" s="758">
        <f>SUM(D137:D147)</f>
        <v>1043832.8</v>
      </c>
      <c r="E148" s="301"/>
      <c r="H148" s="580" t="s">
        <v>202</v>
      </c>
      <c r="I148" s="350"/>
      <c r="M148" s="350"/>
    </row>
    <row r="149" spans="2:13" ht="15.75">
      <c r="B149" s="302" t="s">
        <v>191</v>
      </c>
      <c r="C149" s="757">
        <v>0.2</v>
      </c>
      <c r="D149" s="758">
        <f>+C149*D148</f>
        <v>208766.56000000003</v>
      </c>
      <c r="E149" s="301"/>
      <c r="I149" s="350"/>
      <c r="M149" s="350"/>
    </row>
    <row r="150" spans="2:13" ht="16.5" thickBot="1">
      <c r="B150" s="302" t="s">
        <v>192</v>
      </c>
      <c r="C150" s="757">
        <v>0.1</v>
      </c>
      <c r="D150" s="759">
        <f>(+D149+D148)*C150</f>
        <v>125259.93600000002</v>
      </c>
      <c r="E150" s="301"/>
      <c r="M150" s="350"/>
    </row>
    <row r="151" spans="2:5" ht="15.75" thickBot="1">
      <c r="B151" s="305" t="s">
        <v>193</v>
      </c>
      <c r="C151" s="306"/>
      <c r="D151" s="307">
        <f>SUM(D148:D150)</f>
        <v>1377859.296</v>
      </c>
      <c r="E151" s="260"/>
    </row>
    <row r="152" spans="2:5" ht="15">
      <c r="B152" s="257"/>
      <c r="C152" s="258"/>
      <c r="D152" s="259"/>
      <c r="E152" s="260"/>
    </row>
    <row r="153" spans="2:4" ht="15">
      <c r="B153" s="261" t="s">
        <v>172</v>
      </c>
      <c r="C153" s="688" t="s">
        <v>238</v>
      </c>
      <c r="D153" s="263">
        <f>(0.25*349000)+(0.4*151000)</f>
        <v>147650</v>
      </c>
    </row>
    <row r="154" spans="2:5" ht="15.75">
      <c r="B154" s="261" t="s">
        <v>173</v>
      </c>
      <c r="C154" s="262">
        <v>0.13</v>
      </c>
      <c r="D154" s="265">
        <f>+C154*D153</f>
        <v>19194.5</v>
      </c>
      <c r="E154" s="716" t="s">
        <v>174</v>
      </c>
    </row>
    <row r="155" spans="2:5" ht="15.75">
      <c r="B155" s="267" t="s">
        <v>175</v>
      </c>
      <c r="C155" s="268"/>
      <c r="D155" s="269">
        <f>SUM(D151:D154)</f>
        <v>1544703.796</v>
      </c>
      <c r="E155" s="697">
        <v>1162679</v>
      </c>
    </row>
    <row r="156" spans="2:5" ht="15.75">
      <c r="B156" s="261"/>
      <c r="C156" s="268"/>
      <c r="D156" s="263"/>
      <c r="E156" s="698"/>
    </row>
    <row r="157" spans="2:5" ht="15.75">
      <c r="B157" s="261" t="s">
        <v>251</v>
      </c>
      <c r="C157" s="270"/>
      <c r="D157" s="263">
        <f>SUM('PPPL FAB'!D149)</f>
        <v>145173.6</v>
      </c>
      <c r="E157" s="697">
        <v>113900</v>
      </c>
    </row>
    <row r="158" spans="2:5" ht="15.75">
      <c r="B158" s="261" t="s">
        <v>176</v>
      </c>
      <c r="C158" s="268"/>
      <c r="D158" s="263"/>
      <c r="E158" s="698"/>
    </row>
    <row r="159" spans="2:5" ht="15.75">
      <c r="B159" s="261" t="s">
        <v>252</v>
      </c>
      <c r="C159" s="268"/>
      <c r="D159" s="263">
        <f>3*8*171.6*17</f>
        <v>70012.79999999999</v>
      </c>
      <c r="E159" s="698"/>
    </row>
    <row r="160" spans="2:5" ht="15.75">
      <c r="B160" s="261" t="s">
        <v>177</v>
      </c>
      <c r="C160" s="268"/>
      <c r="D160" s="265">
        <f>17*1500*1.5*1.13</f>
        <v>43222.49999999999</v>
      </c>
      <c r="E160" s="699">
        <v>1E-05</v>
      </c>
    </row>
    <row r="161" spans="2:5" ht="15.75">
      <c r="B161" s="261"/>
      <c r="C161" s="268"/>
      <c r="D161" s="263"/>
      <c r="E161" s="698"/>
    </row>
    <row r="162" spans="2:5" ht="18">
      <c r="B162" s="271" t="s">
        <v>178</v>
      </c>
      <c r="C162" s="272"/>
      <c r="D162" s="273">
        <f>SUM(D155:D160)</f>
        <v>1803112.6960000002</v>
      </c>
      <c r="E162" s="700">
        <f>SUM(E155:E160)</f>
        <v>1276579.00001</v>
      </c>
    </row>
    <row r="163" spans="2:11" ht="18">
      <c r="B163" s="274"/>
      <c r="C163" s="275"/>
      <c r="D163" s="276"/>
      <c r="K163" s="581"/>
    </row>
    <row r="164" spans="2:4" ht="18">
      <c r="B164" s="271" t="s">
        <v>179</v>
      </c>
      <c r="C164" s="272"/>
      <c r="D164" s="273">
        <f>+D162-E162</f>
        <v>526533.6959900002</v>
      </c>
    </row>
    <row r="165" spans="2:4" ht="15.75" thickBot="1">
      <c r="B165" s="277"/>
      <c r="C165" s="278"/>
      <c r="D165" s="279"/>
    </row>
    <row r="166" ht="15">
      <c r="F166" s="582"/>
    </row>
    <row r="167" ht="15">
      <c r="F167" s="582"/>
    </row>
    <row r="168" ht="15">
      <c r="F168" s="582"/>
    </row>
  </sheetData>
  <printOptions gridLines="1"/>
  <pageMargins left="0.29" right="0.4" top="0.44" bottom="0.41" header="0.32" footer="0.21"/>
  <pageSetup fitToHeight="4" fitToWidth="1" horizontalDpi="600" verticalDpi="600" orientation="landscape" scale="59" r:id="rId1"/>
  <headerFooter alignWithMargins="0">
    <oddHeader>&amp;L&amp;14M.Kalish</oddHeader>
    <oddFooter>&amp;L&amp;"Arial,Bold"&amp;20VENDOR&amp;C&amp;F                  &amp;A            &amp;D          &amp;T     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0"/>
  <sheetViews>
    <sheetView workbookViewId="0" topLeftCell="A1">
      <selection activeCell="AD23" sqref="AD23"/>
    </sheetView>
  </sheetViews>
  <sheetFormatPr defaultColWidth="9.140625" defaultRowHeight="12.75"/>
  <cols>
    <col min="1" max="13" width="22.57421875" style="788" customWidth="1"/>
    <col min="16" max="16" width="2.8515625" style="0" customWidth="1"/>
    <col min="17" max="17" width="2.57421875" style="0" customWidth="1"/>
    <col min="18" max="18" width="27.28125" style="0" customWidth="1"/>
    <col min="19" max="19" width="2.57421875" style="0" customWidth="1"/>
    <col min="20" max="20" width="7.140625" style="0" customWidth="1"/>
    <col min="21" max="21" width="7.8515625" style="0" customWidth="1"/>
    <col min="22" max="22" width="7.140625" style="0" customWidth="1"/>
    <col min="23" max="23" width="7.8515625" style="0" customWidth="1"/>
    <col min="24" max="24" width="3.140625" style="0" customWidth="1"/>
    <col min="25" max="25" width="6.421875" style="0" customWidth="1"/>
    <col min="26" max="26" width="8.00390625" style="0" customWidth="1"/>
    <col min="27" max="27" width="5.57421875" style="0" customWidth="1"/>
    <col min="28" max="28" width="9.140625" style="0" customWidth="1"/>
    <col min="29" max="29" width="1.8515625" style="622" customWidth="1"/>
    <col min="30" max="30" width="6.7109375" style="0" customWidth="1"/>
    <col min="31" max="31" width="19.28125" style="0" customWidth="1"/>
    <col min="33" max="33" width="12.421875" style="0" customWidth="1"/>
    <col min="34" max="34" width="14.140625" style="0" customWidth="1"/>
    <col min="36" max="36" width="28.421875" style="0" customWidth="1"/>
    <col min="37" max="37" width="18.8515625" style="0" customWidth="1"/>
    <col min="38" max="16384" width="28.8515625" style="0" customWidth="1"/>
  </cols>
  <sheetData>
    <row r="1" s="788" customFormat="1" ht="12.75">
      <c r="AC1" s="791"/>
    </row>
    <row r="2" s="788" customFormat="1" ht="12.75">
      <c r="AC2" s="791"/>
    </row>
    <row r="3" s="788" customFormat="1" ht="12.75">
      <c r="AC3" s="791"/>
    </row>
    <row r="4" s="788" customFormat="1" ht="12.75">
      <c r="AC4" s="791"/>
    </row>
    <row r="5" s="788" customFormat="1" ht="12.75">
      <c r="AC5" s="791"/>
    </row>
    <row r="6" s="788" customFormat="1" ht="12.75">
      <c r="AC6" s="791"/>
    </row>
    <row r="7" s="788" customFormat="1" ht="12.75">
      <c r="AC7" s="791"/>
    </row>
    <row r="8" s="788" customFormat="1" ht="12.75">
      <c r="AC8" s="791"/>
    </row>
    <row r="9" s="788" customFormat="1" ht="12.75">
      <c r="AC9" s="791"/>
    </row>
    <row r="10" s="788" customFormat="1" ht="12.75">
      <c r="AC10" s="791"/>
    </row>
    <row r="11" s="788" customFormat="1" ht="12.75">
      <c r="AC11" s="791"/>
    </row>
    <row r="12" s="788" customFormat="1" ht="12.75">
      <c r="AC12" s="791"/>
    </row>
    <row r="13" s="788" customFormat="1" ht="12.75">
      <c r="AC13" s="791"/>
    </row>
    <row r="14" s="788" customFormat="1" ht="12.75">
      <c r="AC14" s="791"/>
    </row>
    <row r="15" s="788" customFormat="1" ht="12.75">
      <c r="AC15" s="791"/>
    </row>
    <row r="16" s="788" customFormat="1" ht="12.75">
      <c r="AC16" s="791"/>
    </row>
    <row r="17" s="788" customFormat="1" ht="12.75">
      <c r="AC17" s="791"/>
    </row>
    <row r="18" s="788" customFormat="1" ht="12.75">
      <c r="AC18" s="791"/>
    </row>
    <row r="19" s="788" customFormat="1" ht="12.75">
      <c r="AC19" s="791"/>
    </row>
    <row r="20" s="788" customFormat="1" ht="12.75">
      <c r="AC20" s="791"/>
    </row>
    <row r="21" s="788" customFormat="1" ht="12.75">
      <c r="AC21" s="791"/>
    </row>
    <row r="22" s="788" customFormat="1" ht="12.75">
      <c r="AC22" s="791"/>
    </row>
    <row r="23" s="788" customFormat="1" ht="12.75">
      <c r="AC23" s="791"/>
    </row>
    <row r="24" s="788" customFormat="1" ht="12.75">
      <c r="AC24" s="791"/>
    </row>
    <row r="25" s="788" customFormat="1" ht="12.75">
      <c r="AC25" s="791"/>
    </row>
    <row r="26" s="788" customFormat="1" ht="12.75">
      <c r="AC26" s="791"/>
    </row>
    <row r="27" s="788" customFormat="1" ht="12.75">
      <c r="AC27" s="791"/>
    </row>
    <row r="28" s="788" customFormat="1" ht="12.75">
      <c r="AC28" s="791"/>
    </row>
    <row r="29" s="788" customFormat="1" ht="12.75">
      <c r="AC29" s="791"/>
    </row>
    <row r="30" s="788" customFormat="1" ht="12.75">
      <c r="AC30" s="791"/>
    </row>
    <row r="31" s="788" customFormat="1" ht="12.75">
      <c r="AC31" s="791"/>
    </row>
    <row r="32" s="788" customFormat="1" ht="12.75">
      <c r="AC32" s="791"/>
    </row>
    <row r="33" s="788" customFormat="1" ht="12.75">
      <c r="AC33" s="791"/>
    </row>
    <row r="34" s="788" customFormat="1" ht="12.75">
      <c r="AC34" s="791"/>
    </row>
    <row r="35" s="788" customFormat="1" ht="12.75">
      <c r="AC35" s="791"/>
    </row>
    <row r="36" s="788" customFormat="1" ht="12.75">
      <c r="AC36" s="791"/>
    </row>
    <row r="37" s="788" customFormat="1" ht="12.75">
      <c r="AC37" s="791"/>
    </row>
    <row r="38" s="788" customFormat="1" ht="12.75">
      <c r="AC38" s="791"/>
    </row>
    <row r="39" s="788" customFormat="1" ht="12.75">
      <c r="AC39" s="791"/>
    </row>
    <row r="40" s="788" customFormat="1" ht="12.75">
      <c r="AC40" s="791"/>
    </row>
    <row r="41" s="788" customFormat="1" ht="12.75">
      <c r="AC41" s="791"/>
    </row>
    <row r="42" s="788" customFormat="1" ht="12.75">
      <c r="AC42" s="791"/>
    </row>
    <row r="43" s="788" customFormat="1" ht="12.75">
      <c r="AC43" s="791"/>
    </row>
    <row r="44" s="788" customFormat="1" ht="12.75">
      <c r="AC44" s="791"/>
    </row>
    <row r="45" s="788" customFormat="1" ht="12.75">
      <c r="AC45" s="791"/>
    </row>
    <row r="46" s="788" customFormat="1" ht="12.75">
      <c r="AC46" s="791"/>
    </row>
    <row r="47" s="788" customFormat="1" ht="12.75">
      <c r="AC47" s="791"/>
    </row>
    <row r="48" s="788" customFormat="1" ht="12.75">
      <c r="AC48" s="791"/>
    </row>
    <row r="49" s="788" customFormat="1" ht="12.75">
      <c r="AC49" s="791"/>
    </row>
    <row r="50" s="788" customFormat="1" ht="12.75">
      <c r="AC50" s="791"/>
    </row>
    <row r="51" s="788" customFormat="1" ht="12.75">
      <c r="AC51" s="791"/>
    </row>
    <row r="52" s="788" customFormat="1" ht="12.75">
      <c r="AC52" s="791"/>
    </row>
    <row r="53" s="788" customFormat="1" ht="12.75">
      <c r="AC53" s="791"/>
    </row>
    <row r="54" s="788" customFormat="1" ht="12.75">
      <c r="AC54" s="791"/>
    </row>
    <row r="55" s="788" customFormat="1" ht="12.75">
      <c r="AC55" s="791"/>
    </row>
    <row r="56" s="788" customFormat="1" ht="12.75">
      <c r="AC56" s="791"/>
    </row>
    <row r="57" s="788" customFormat="1" ht="12.75">
      <c r="AC57" s="791"/>
    </row>
    <row r="58" s="788" customFormat="1" ht="12.75">
      <c r="AC58" s="791"/>
    </row>
    <row r="59" s="788" customFormat="1" ht="12.75">
      <c r="AC59" s="791"/>
    </row>
    <row r="60" s="788" customFormat="1" ht="12.75">
      <c r="AC60" s="791"/>
    </row>
    <row r="61" s="788" customFormat="1" ht="12.75">
      <c r="AC61" s="791"/>
    </row>
    <row r="62" s="788" customFormat="1" ht="12.75">
      <c r="AC62" s="791"/>
    </row>
    <row r="63" ht="30.75" thickBot="1">
      <c r="AC63" s="787" t="s">
        <v>259</v>
      </c>
    </row>
    <row r="64" spans="1:37" s="313" customFormat="1" ht="23.25">
      <c r="A64" s="789"/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P64" s="600" t="s">
        <v>212</v>
      </c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2"/>
      <c r="AC64" s="620"/>
      <c r="AD64" s="600" t="s">
        <v>217</v>
      </c>
      <c r="AE64" s="601"/>
      <c r="AF64" s="601"/>
      <c r="AG64" s="601"/>
      <c r="AH64" s="601"/>
      <c r="AI64" s="601"/>
      <c r="AJ64" s="601"/>
      <c r="AK64" s="602"/>
    </row>
    <row r="65" spans="1:37" s="597" customFormat="1" ht="18.75" thickBot="1">
      <c r="A65" s="790"/>
      <c r="B65" s="790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P65" s="603"/>
      <c r="Q65" s="604" t="s">
        <v>211</v>
      </c>
      <c r="R65" s="605"/>
      <c r="S65" s="605"/>
      <c r="T65" s="605"/>
      <c r="U65" s="605"/>
      <c r="V65" s="605"/>
      <c r="W65" s="605"/>
      <c r="X65" s="605"/>
      <c r="Y65" s="605"/>
      <c r="Z65" s="605"/>
      <c r="AA65" s="605"/>
      <c r="AB65" s="606"/>
      <c r="AC65" s="621"/>
      <c r="AD65" s="603"/>
      <c r="AE65" s="605"/>
      <c r="AF65" s="605"/>
      <c r="AG65" s="605"/>
      <c r="AH65" s="605"/>
      <c r="AI65" s="605"/>
      <c r="AJ65" s="605"/>
      <c r="AK65" s="606"/>
    </row>
    <row r="66" spans="16:37" ht="12.75">
      <c r="P66" s="607"/>
      <c r="Q66" s="608"/>
      <c r="R66" s="76" t="s">
        <v>13</v>
      </c>
      <c r="S66" s="63"/>
      <c r="T66" s="4" t="s">
        <v>6</v>
      </c>
      <c r="U66" s="4" t="s">
        <v>4</v>
      </c>
      <c r="V66" s="4" t="s">
        <v>3</v>
      </c>
      <c r="W66" s="4" t="s">
        <v>3</v>
      </c>
      <c r="X66" s="77"/>
      <c r="Y66" s="4" t="s">
        <v>3</v>
      </c>
      <c r="Z66" s="4" t="s">
        <v>21</v>
      </c>
      <c r="AA66" s="45"/>
      <c r="AB66" s="99"/>
      <c r="AC66" s="45"/>
      <c r="AD66" s="607"/>
      <c r="AE66" s="608"/>
      <c r="AF66" s="608"/>
      <c r="AG66" s="608"/>
      <c r="AH66" s="608"/>
      <c r="AI66" s="608"/>
      <c r="AJ66" s="608"/>
      <c r="AK66" s="610"/>
    </row>
    <row r="67" spans="16:37" ht="13.5" thickBot="1">
      <c r="P67" s="607"/>
      <c r="Q67" s="608"/>
      <c r="R67" s="78"/>
      <c r="S67" s="79"/>
      <c r="T67" s="5" t="s">
        <v>7</v>
      </c>
      <c r="U67" s="5" t="s">
        <v>5</v>
      </c>
      <c r="V67" s="5" t="s">
        <v>2</v>
      </c>
      <c r="W67" s="5" t="s">
        <v>23</v>
      </c>
      <c r="X67" s="5"/>
      <c r="Y67" s="5" t="s">
        <v>20</v>
      </c>
      <c r="Z67" s="5" t="s">
        <v>62</v>
      </c>
      <c r="AA67" s="45"/>
      <c r="AB67" s="99"/>
      <c r="AC67" s="45"/>
      <c r="AD67" s="607"/>
      <c r="AE67" s="608"/>
      <c r="AF67" s="608"/>
      <c r="AG67" s="608"/>
      <c r="AH67" s="608"/>
      <c r="AI67" s="608"/>
      <c r="AJ67" s="608"/>
      <c r="AK67" s="610"/>
    </row>
    <row r="68" spans="16:37" ht="13.5" thickBot="1">
      <c r="P68" s="607"/>
      <c r="Q68" s="608"/>
      <c r="R68" s="81"/>
      <c r="S68" s="80"/>
      <c r="T68" s="45"/>
      <c r="U68" s="45"/>
      <c r="V68" s="45"/>
      <c r="W68" s="45"/>
      <c r="X68" s="99"/>
      <c r="Y68" s="45"/>
      <c r="Z68" s="45"/>
      <c r="AA68" s="45"/>
      <c r="AB68" s="99"/>
      <c r="AC68" s="45"/>
      <c r="AD68" s="607"/>
      <c r="AE68" s="608"/>
      <c r="AF68" s="608"/>
      <c r="AG68" s="608"/>
      <c r="AH68" s="608"/>
      <c r="AI68" s="608"/>
      <c r="AJ68" s="608"/>
      <c r="AK68" s="610"/>
    </row>
    <row r="69" spans="16:37" ht="13.5" thickBot="1">
      <c r="P69" s="607"/>
      <c r="Q69" s="608"/>
      <c r="R69" s="583" t="s">
        <v>207</v>
      </c>
      <c r="S69" s="584"/>
      <c r="T69" s="585">
        <f>T70+T72+T75</f>
        <v>12</v>
      </c>
      <c r="U69" s="586" t="s">
        <v>9</v>
      </c>
      <c r="V69" s="587"/>
      <c r="W69" s="587"/>
      <c r="X69" s="588"/>
      <c r="Y69" s="589"/>
      <c r="Z69" s="589"/>
      <c r="AA69" s="45"/>
      <c r="AB69" s="99"/>
      <c r="AC69" s="45"/>
      <c r="AD69" s="607"/>
      <c r="AE69" s="608"/>
      <c r="AF69" s="608"/>
      <c r="AG69" s="608"/>
      <c r="AH69" s="608"/>
      <c r="AI69" s="608"/>
      <c r="AJ69" s="608"/>
      <c r="AK69" s="610"/>
    </row>
    <row r="70" spans="16:37" ht="22.5">
      <c r="P70" s="607"/>
      <c r="Q70" s="608"/>
      <c r="R70" s="93" t="s">
        <v>208</v>
      </c>
      <c r="S70" s="80"/>
      <c r="T70" s="18">
        <v>1</v>
      </c>
      <c r="U70" s="22">
        <v>1</v>
      </c>
      <c r="V70" s="22">
        <v>4</v>
      </c>
      <c r="W70" s="55">
        <f>V70*U70*T70*8</f>
        <v>32</v>
      </c>
      <c r="X70" s="590"/>
      <c r="Y70" s="591">
        <v>18</v>
      </c>
      <c r="Z70" s="45">
        <f>Y70*W70</f>
        <v>576</v>
      </c>
      <c r="AA70" s="129"/>
      <c r="AB70" s="99"/>
      <c r="AC70" s="45"/>
      <c r="AD70" s="607"/>
      <c r="AE70" s="608"/>
      <c r="AF70" s="608"/>
      <c r="AG70" s="608"/>
      <c r="AH70" s="608"/>
      <c r="AI70" s="608"/>
      <c r="AJ70" s="608"/>
      <c r="AK70" s="610"/>
    </row>
    <row r="71" spans="16:37" ht="12.75">
      <c r="P71" s="607"/>
      <c r="Q71" s="608"/>
      <c r="R71" s="87"/>
      <c r="S71" s="80"/>
      <c r="T71" s="22"/>
      <c r="U71" s="22"/>
      <c r="V71" s="22"/>
      <c r="W71" s="55"/>
      <c r="X71" s="590"/>
      <c r="Y71" s="22"/>
      <c r="Z71" s="45">
        <f aca="true" t="shared" si="0" ref="Z71:Z82">Y71*W71</f>
        <v>0</v>
      </c>
      <c r="AA71" s="129"/>
      <c r="AB71" s="99"/>
      <c r="AC71" s="45"/>
      <c r="AD71" s="607"/>
      <c r="AE71" s="608"/>
      <c r="AF71" s="608"/>
      <c r="AG71" s="608"/>
      <c r="AH71" s="608"/>
      <c r="AI71" s="608"/>
      <c r="AJ71" s="608"/>
      <c r="AK71" s="610"/>
    </row>
    <row r="72" spans="16:37" ht="12.75">
      <c r="P72" s="607"/>
      <c r="Q72" s="608"/>
      <c r="R72" s="93" t="s">
        <v>209</v>
      </c>
      <c r="S72" s="80"/>
      <c r="T72" s="18">
        <v>3</v>
      </c>
      <c r="U72" s="18"/>
      <c r="V72" s="22"/>
      <c r="W72" s="55"/>
      <c r="X72" s="590"/>
      <c r="Y72" s="22"/>
      <c r="Z72" s="45">
        <f t="shared" si="0"/>
        <v>0</v>
      </c>
      <c r="AA72" s="129"/>
      <c r="AB72" s="99"/>
      <c r="AC72" s="45"/>
      <c r="AD72" s="607"/>
      <c r="AE72" s="608"/>
      <c r="AF72" s="608"/>
      <c r="AG72" s="608"/>
      <c r="AH72" s="608"/>
      <c r="AI72" s="608"/>
      <c r="AJ72" s="608"/>
      <c r="AK72" s="610"/>
    </row>
    <row r="73" spans="16:37" ht="33.75">
      <c r="P73" s="607"/>
      <c r="Q73" s="608"/>
      <c r="R73" s="81" t="s">
        <v>19</v>
      </c>
      <c r="S73" s="80"/>
      <c r="T73" s="22">
        <v>3</v>
      </c>
      <c r="U73" s="22">
        <v>1</v>
      </c>
      <c r="V73" s="22">
        <v>4</v>
      </c>
      <c r="W73" s="55">
        <f>V73*U73*T73*8</f>
        <v>96</v>
      </c>
      <c r="X73" s="590"/>
      <c r="Y73" s="22">
        <v>18</v>
      </c>
      <c r="Z73" s="45">
        <f t="shared" si="0"/>
        <v>1728</v>
      </c>
      <c r="AA73" s="129"/>
      <c r="AB73" s="99"/>
      <c r="AC73" s="45"/>
      <c r="AD73" s="607"/>
      <c r="AE73" s="608"/>
      <c r="AF73" s="608"/>
      <c r="AG73" s="608"/>
      <c r="AH73" s="608"/>
      <c r="AI73" s="608"/>
      <c r="AJ73" s="608"/>
      <c r="AK73" s="610"/>
    </row>
    <row r="74" spans="16:37" ht="12.75">
      <c r="P74" s="607"/>
      <c r="Q74" s="608"/>
      <c r="R74" s="81"/>
      <c r="S74" s="80"/>
      <c r="T74" s="22"/>
      <c r="U74" s="22"/>
      <c r="V74" s="22"/>
      <c r="W74" s="55"/>
      <c r="X74" s="590"/>
      <c r="Y74" s="22"/>
      <c r="Z74" s="45">
        <f t="shared" si="0"/>
        <v>0</v>
      </c>
      <c r="AA74" s="129"/>
      <c r="AB74" s="99"/>
      <c r="AC74" s="45"/>
      <c r="AD74" s="607"/>
      <c r="AE74" s="608"/>
      <c r="AF74" s="608"/>
      <c r="AG74" s="608"/>
      <c r="AH74" s="608"/>
      <c r="AI74" s="608"/>
      <c r="AJ74" s="608"/>
      <c r="AK74" s="610"/>
    </row>
    <row r="75" spans="16:37" ht="12.75">
      <c r="P75" s="607"/>
      <c r="Q75" s="608"/>
      <c r="R75" s="93" t="s">
        <v>210</v>
      </c>
      <c r="S75" s="80"/>
      <c r="T75" s="18">
        <f>SUM(T76:T82)</f>
        <v>8</v>
      </c>
      <c r="U75" s="18"/>
      <c r="V75" s="22"/>
      <c r="W75" s="55"/>
      <c r="X75" s="590"/>
      <c r="Y75" s="22"/>
      <c r="Z75" s="45">
        <f t="shared" si="0"/>
        <v>0</v>
      </c>
      <c r="AA75" s="129"/>
      <c r="AB75" s="99"/>
      <c r="AC75" s="45"/>
      <c r="AD75" s="607"/>
      <c r="AE75" s="608"/>
      <c r="AF75" s="608"/>
      <c r="AG75" s="608"/>
      <c r="AH75" s="608"/>
      <c r="AI75" s="608"/>
      <c r="AJ75" s="608"/>
      <c r="AK75" s="610"/>
    </row>
    <row r="76" spans="16:37" ht="22.5">
      <c r="P76" s="607"/>
      <c r="Q76" s="608"/>
      <c r="R76" s="81" t="s">
        <v>14</v>
      </c>
      <c r="S76" s="80"/>
      <c r="T76" s="22">
        <v>1</v>
      </c>
      <c r="U76" s="22">
        <v>1</v>
      </c>
      <c r="V76" s="22">
        <v>3</v>
      </c>
      <c r="W76" s="55">
        <f aca="true" t="shared" si="1" ref="W76:W82">V76*U76*T76*8</f>
        <v>24</v>
      </c>
      <c r="X76" s="590"/>
      <c r="Y76" s="22">
        <v>18</v>
      </c>
      <c r="Z76" s="45">
        <f t="shared" si="0"/>
        <v>432</v>
      </c>
      <c r="AA76" s="129"/>
      <c r="AB76" s="99"/>
      <c r="AC76" s="45"/>
      <c r="AD76" s="607"/>
      <c r="AE76" s="608"/>
      <c r="AF76" s="608"/>
      <c r="AG76" s="608"/>
      <c r="AH76" s="608"/>
      <c r="AI76" s="608"/>
      <c r="AJ76" s="608"/>
      <c r="AK76" s="610"/>
    </row>
    <row r="77" spans="16:37" ht="12.75">
      <c r="P77" s="607"/>
      <c r="Q77" s="608"/>
      <c r="R77" s="81" t="s">
        <v>15</v>
      </c>
      <c r="S77" s="80"/>
      <c r="T77" s="22">
        <v>1</v>
      </c>
      <c r="U77" s="22">
        <v>3</v>
      </c>
      <c r="V77" s="22">
        <v>4</v>
      </c>
      <c r="W77" s="55">
        <f t="shared" si="1"/>
        <v>96</v>
      </c>
      <c r="X77" s="590"/>
      <c r="Y77" s="22">
        <v>18</v>
      </c>
      <c r="Z77" s="45">
        <f t="shared" si="0"/>
        <v>1728</v>
      </c>
      <c r="AA77" s="129"/>
      <c r="AB77" s="99"/>
      <c r="AC77" s="45"/>
      <c r="AD77" s="607"/>
      <c r="AE77" s="608"/>
      <c r="AF77" s="608"/>
      <c r="AG77" s="608"/>
      <c r="AH77" s="608"/>
      <c r="AI77" s="608"/>
      <c r="AJ77" s="608"/>
      <c r="AK77" s="610"/>
    </row>
    <row r="78" spans="16:37" ht="12.75">
      <c r="P78" s="607"/>
      <c r="Q78" s="608"/>
      <c r="R78" s="81" t="s">
        <v>16</v>
      </c>
      <c r="S78" s="80"/>
      <c r="T78" s="22">
        <v>1</v>
      </c>
      <c r="U78" s="22">
        <v>3</v>
      </c>
      <c r="V78" s="22">
        <v>3</v>
      </c>
      <c r="W78" s="55">
        <f t="shared" si="1"/>
        <v>72</v>
      </c>
      <c r="X78" s="590"/>
      <c r="Y78" s="22">
        <v>18</v>
      </c>
      <c r="Z78" s="45">
        <f t="shared" si="0"/>
        <v>1296</v>
      </c>
      <c r="AA78" s="129"/>
      <c r="AB78" s="99"/>
      <c r="AC78" s="45"/>
      <c r="AD78" s="607"/>
      <c r="AE78" s="608"/>
      <c r="AF78" s="608"/>
      <c r="AG78" s="608"/>
      <c r="AH78" s="608"/>
      <c r="AI78" s="608"/>
      <c r="AJ78" s="608"/>
      <c r="AK78" s="610"/>
    </row>
    <row r="79" spans="16:37" ht="22.5">
      <c r="P79" s="607"/>
      <c r="Q79" s="608"/>
      <c r="R79" s="81" t="s">
        <v>1</v>
      </c>
      <c r="S79" s="45"/>
      <c r="T79" s="22">
        <v>1</v>
      </c>
      <c r="U79" s="22">
        <v>1</v>
      </c>
      <c r="V79" s="22">
        <v>3</v>
      </c>
      <c r="W79" s="55">
        <f t="shared" si="1"/>
        <v>24</v>
      </c>
      <c r="X79" s="590"/>
      <c r="Y79" s="22">
        <v>18</v>
      </c>
      <c r="Z79" s="45">
        <f t="shared" si="0"/>
        <v>432</v>
      </c>
      <c r="AA79" s="129"/>
      <c r="AB79" s="99"/>
      <c r="AC79" s="45"/>
      <c r="AD79" s="607"/>
      <c r="AE79" s="608"/>
      <c r="AF79" s="608"/>
      <c r="AG79" s="608"/>
      <c r="AH79" s="608"/>
      <c r="AI79" s="608"/>
      <c r="AJ79" s="608"/>
      <c r="AK79" s="610"/>
    </row>
    <row r="80" spans="16:37" ht="23.25" thickBot="1">
      <c r="P80" s="607"/>
      <c r="Q80" s="608"/>
      <c r="R80" s="81" t="s">
        <v>17</v>
      </c>
      <c r="S80" s="83"/>
      <c r="T80" s="41">
        <v>1</v>
      </c>
      <c r="U80" s="41">
        <v>2</v>
      </c>
      <c r="V80" s="41">
        <v>2</v>
      </c>
      <c r="W80" s="55">
        <f t="shared" si="1"/>
        <v>32</v>
      </c>
      <c r="X80" s="590"/>
      <c r="Y80" s="22">
        <v>18</v>
      </c>
      <c r="Z80" s="45">
        <f t="shared" si="0"/>
        <v>576</v>
      </c>
      <c r="AA80" s="129"/>
      <c r="AB80" s="132"/>
      <c r="AC80" s="45"/>
      <c r="AD80" s="607"/>
      <c r="AE80" s="608"/>
      <c r="AF80" s="608"/>
      <c r="AG80" s="608"/>
      <c r="AH80" s="608"/>
      <c r="AI80" s="608"/>
      <c r="AJ80" s="608"/>
      <c r="AK80" s="610"/>
    </row>
    <row r="81" spans="16:37" ht="12.75">
      <c r="P81" s="607"/>
      <c r="Q81" s="608"/>
      <c r="R81" s="82" t="s">
        <v>18</v>
      </c>
      <c r="S81" s="83"/>
      <c r="T81" s="41">
        <v>1</v>
      </c>
      <c r="U81" s="41">
        <v>1</v>
      </c>
      <c r="V81" s="41">
        <v>1</v>
      </c>
      <c r="W81" s="55">
        <f t="shared" si="1"/>
        <v>8</v>
      </c>
      <c r="X81" s="590"/>
      <c r="Y81" s="22">
        <v>18</v>
      </c>
      <c r="Z81" s="45">
        <f t="shared" si="0"/>
        <v>144</v>
      </c>
      <c r="AA81" s="592"/>
      <c r="AB81" s="131"/>
      <c r="AC81" s="45"/>
      <c r="AD81" s="607"/>
      <c r="AE81" s="608"/>
      <c r="AF81" s="608"/>
      <c r="AG81" s="608"/>
      <c r="AH81" s="608"/>
      <c r="AI81" s="608"/>
      <c r="AJ81" s="608"/>
      <c r="AK81" s="610"/>
    </row>
    <row r="82" spans="16:37" ht="12.75">
      <c r="P82" s="607"/>
      <c r="Q82" s="608"/>
      <c r="R82" s="82" t="s">
        <v>0</v>
      </c>
      <c r="S82" s="83"/>
      <c r="T82" s="41">
        <v>2</v>
      </c>
      <c r="U82" s="41">
        <v>1</v>
      </c>
      <c r="V82" s="41">
        <v>4</v>
      </c>
      <c r="W82" s="55">
        <f t="shared" si="1"/>
        <v>64</v>
      </c>
      <c r="X82" s="590"/>
      <c r="Y82" s="22">
        <v>18</v>
      </c>
      <c r="Z82" s="45">
        <f t="shared" si="0"/>
        <v>1152</v>
      </c>
      <c r="AA82" s="593" t="s">
        <v>21</v>
      </c>
      <c r="AB82" s="609">
        <f>SUM(Z70:Z83)</f>
        <v>8064</v>
      </c>
      <c r="AC82" s="6"/>
      <c r="AD82" s="607"/>
      <c r="AE82" s="608"/>
      <c r="AF82" s="608"/>
      <c r="AG82" s="608"/>
      <c r="AH82" s="608"/>
      <c r="AI82" s="608"/>
      <c r="AJ82" s="608"/>
      <c r="AK82" s="610"/>
    </row>
    <row r="83" spans="16:37" ht="13.5" thickBot="1">
      <c r="P83" s="607"/>
      <c r="Q83" s="608"/>
      <c r="R83" s="97"/>
      <c r="S83" s="88"/>
      <c r="T83" s="594"/>
      <c r="U83" s="85"/>
      <c r="V83" s="85"/>
      <c r="W83" s="56"/>
      <c r="X83" s="595"/>
      <c r="Y83" s="54"/>
      <c r="Z83" s="47"/>
      <c r="AA83" s="596"/>
      <c r="AB83" s="89"/>
      <c r="AC83" s="45"/>
      <c r="AD83" s="607"/>
      <c r="AE83" s="608"/>
      <c r="AF83" s="608"/>
      <c r="AG83" s="608"/>
      <c r="AH83" s="608"/>
      <c r="AI83" s="608"/>
      <c r="AJ83" s="608"/>
      <c r="AK83" s="610"/>
    </row>
    <row r="84" spans="16:37" ht="12.75">
      <c r="P84" s="607"/>
      <c r="Q84" s="608"/>
      <c r="R84" s="608"/>
      <c r="S84" s="608"/>
      <c r="T84" s="608"/>
      <c r="U84" s="608"/>
      <c r="V84" s="608"/>
      <c r="W84" s="608">
        <f>SUM(W70:W82)</f>
        <v>448</v>
      </c>
      <c r="X84" s="608"/>
      <c r="Y84" s="608"/>
      <c r="Z84" s="608"/>
      <c r="AA84" s="608"/>
      <c r="AB84" s="610"/>
      <c r="AD84" s="607"/>
      <c r="AE84" s="608"/>
      <c r="AF84" s="608"/>
      <c r="AG84" s="608"/>
      <c r="AH84" s="608"/>
      <c r="AI84" s="608"/>
      <c r="AJ84" s="608"/>
      <c r="AK84" s="610"/>
    </row>
    <row r="85" spans="16:37" ht="18.75" thickBot="1">
      <c r="P85" s="607"/>
      <c r="Q85" s="604" t="s">
        <v>213</v>
      </c>
      <c r="R85" s="608"/>
      <c r="S85" s="608"/>
      <c r="T85" s="608"/>
      <c r="U85" s="608"/>
      <c r="V85" s="608"/>
      <c r="W85" s="608"/>
      <c r="X85" s="608"/>
      <c r="Y85" s="608"/>
      <c r="Z85" s="608"/>
      <c r="AA85" s="608"/>
      <c r="AB85" s="610"/>
      <c r="AD85" s="607"/>
      <c r="AE85" s="608"/>
      <c r="AF85" s="608"/>
      <c r="AG85" s="608"/>
      <c r="AH85" s="608"/>
      <c r="AI85" s="608"/>
      <c r="AJ85" s="608"/>
      <c r="AK85" s="610"/>
    </row>
    <row r="86" spans="16:37" ht="12.75">
      <c r="P86" s="607"/>
      <c r="Q86" s="608"/>
      <c r="R86" s="76" t="s">
        <v>13</v>
      </c>
      <c r="S86" s="63"/>
      <c r="T86" s="4" t="s">
        <v>6</v>
      </c>
      <c r="U86" s="4" t="s">
        <v>4</v>
      </c>
      <c r="V86" s="4" t="s">
        <v>3</v>
      </c>
      <c r="W86" s="4" t="s">
        <v>3</v>
      </c>
      <c r="X86" s="77"/>
      <c r="Y86" s="4" t="s">
        <v>3</v>
      </c>
      <c r="Z86" s="4" t="s">
        <v>21</v>
      </c>
      <c r="AA86" s="45"/>
      <c r="AB86" s="99"/>
      <c r="AC86" s="45"/>
      <c r="AD86" s="607"/>
      <c r="AE86" s="608"/>
      <c r="AF86" s="608"/>
      <c r="AG86" s="608"/>
      <c r="AH86" s="608"/>
      <c r="AI86" s="608"/>
      <c r="AJ86" s="608"/>
      <c r="AK86" s="610"/>
    </row>
    <row r="87" spans="16:37" ht="13.5" thickBot="1">
      <c r="P87" s="607"/>
      <c r="Q87" s="608"/>
      <c r="R87" s="78"/>
      <c r="S87" s="79"/>
      <c r="T87" s="5" t="s">
        <v>7</v>
      </c>
      <c r="U87" s="5" t="s">
        <v>5</v>
      </c>
      <c r="V87" s="5" t="s">
        <v>2</v>
      </c>
      <c r="W87" s="5" t="s">
        <v>23</v>
      </c>
      <c r="X87" s="5"/>
      <c r="Y87" s="5" t="s">
        <v>20</v>
      </c>
      <c r="Z87" s="5" t="s">
        <v>62</v>
      </c>
      <c r="AA87" s="45"/>
      <c r="AB87" s="99"/>
      <c r="AC87" s="45"/>
      <c r="AD87" s="607"/>
      <c r="AE87" s="608"/>
      <c r="AF87" s="608"/>
      <c r="AG87" s="608"/>
      <c r="AH87" s="608"/>
      <c r="AI87" s="608"/>
      <c r="AJ87" s="608"/>
      <c r="AK87" s="610"/>
    </row>
    <row r="88" spans="16:37" ht="13.5" thickBot="1">
      <c r="P88" s="607"/>
      <c r="Q88" s="608"/>
      <c r="R88" s="203" t="s">
        <v>101</v>
      </c>
      <c r="S88" s="204"/>
      <c r="T88" s="205">
        <f>T91+T93+T96</f>
        <v>9</v>
      </c>
      <c r="U88" s="210" t="s">
        <v>9</v>
      </c>
      <c r="V88" s="206"/>
      <c r="W88" s="206"/>
      <c r="X88" s="136"/>
      <c r="Y88" s="211"/>
      <c r="Z88" s="212"/>
      <c r="AA88" s="45"/>
      <c r="AB88" s="99"/>
      <c r="AC88" s="45"/>
      <c r="AD88" s="607"/>
      <c r="AE88" s="608"/>
      <c r="AF88" s="608"/>
      <c r="AG88" s="608"/>
      <c r="AH88" s="608"/>
      <c r="AI88" s="608"/>
      <c r="AJ88" s="608"/>
      <c r="AK88" s="610"/>
    </row>
    <row r="89" spans="16:37" ht="22.5">
      <c r="P89" s="607"/>
      <c r="Q89" s="608"/>
      <c r="R89" s="141" t="s">
        <v>122</v>
      </c>
      <c r="S89" s="154"/>
      <c r="T89" s="18"/>
      <c r="U89" s="152"/>
      <c r="V89" s="22"/>
      <c r="W89" s="129"/>
      <c r="X89" s="158"/>
      <c r="Y89" s="24"/>
      <c r="Z89" s="18"/>
      <c r="AA89" s="45"/>
      <c r="AB89" s="99"/>
      <c r="AC89" s="45"/>
      <c r="AD89" s="607"/>
      <c r="AE89" s="608"/>
      <c r="AF89" s="608"/>
      <c r="AG89" s="608"/>
      <c r="AH89" s="608"/>
      <c r="AI89" s="608"/>
      <c r="AJ89" s="608"/>
      <c r="AK89" s="610"/>
    </row>
    <row r="90" spans="16:37" ht="12.75">
      <c r="P90" s="607"/>
      <c r="Q90" s="608"/>
      <c r="R90" s="153"/>
      <c r="S90" s="155"/>
      <c r="T90" s="18"/>
      <c r="U90" s="152"/>
      <c r="V90" s="22"/>
      <c r="W90" s="129"/>
      <c r="X90" s="158"/>
      <c r="Y90" s="18"/>
      <c r="Z90" s="18"/>
      <c r="AA90" s="45"/>
      <c r="AB90" s="99"/>
      <c r="AC90" s="45"/>
      <c r="AD90" s="607"/>
      <c r="AE90" s="608"/>
      <c r="AF90" s="608"/>
      <c r="AG90" s="608"/>
      <c r="AH90" s="608"/>
      <c r="AI90" s="608"/>
      <c r="AJ90" s="608"/>
      <c r="AK90" s="610"/>
    </row>
    <row r="91" spans="15:37" ht="12.75">
      <c r="O91">
        <v>288</v>
      </c>
      <c r="P91" s="607"/>
      <c r="Q91" s="608"/>
      <c r="R91" s="93" t="s">
        <v>115</v>
      </c>
      <c r="S91" s="80"/>
      <c r="T91" s="22">
        <v>1</v>
      </c>
      <c r="U91" s="22">
        <v>1</v>
      </c>
      <c r="V91" s="22">
        <v>4</v>
      </c>
      <c r="W91" s="129">
        <f>V91*U91*T91*8</f>
        <v>32</v>
      </c>
      <c r="X91" s="158"/>
      <c r="Y91" s="22">
        <v>9</v>
      </c>
      <c r="Z91" s="45">
        <f>Y91*W91</f>
        <v>288</v>
      </c>
      <c r="AA91" s="129"/>
      <c r="AB91" s="99"/>
      <c r="AC91" s="45"/>
      <c r="AD91" s="607"/>
      <c r="AE91" s="608"/>
      <c r="AF91" s="608"/>
      <c r="AG91" s="608"/>
      <c r="AH91" s="608"/>
      <c r="AI91" s="608"/>
      <c r="AJ91" s="608"/>
      <c r="AK91" s="610"/>
    </row>
    <row r="92" spans="16:37" ht="12.75">
      <c r="P92" s="607"/>
      <c r="Q92" s="608"/>
      <c r="R92" s="87"/>
      <c r="S92" s="80"/>
      <c r="T92" s="22"/>
      <c r="U92" s="22"/>
      <c r="V92" s="22"/>
      <c r="W92" s="129"/>
      <c r="X92" s="158"/>
      <c r="Y92" s="22"/>
      <c r="Z92" s="45"/>
      <c r="AA92" s="129"/>
      <c r="AB92" s="99"/>
      <c r="AC92" s="45"/>
      <c r="AD92" s="607"/>
      <c r="AE92" s="608"/>
      <c r="AF92" s="608"/>
      <c r="AG92" s="608"/>
      <c r="AH92" s="608"/>
      <c r="AI92" s="608"/>
      <c r="AJ92" s="608"/>
      <c r="AK92" s="610"/>
    </row>
    <row r="93" spans="15:37" ht="12.75">
      <c r="O93">
        <v>0</v>
      </c>
      <c r="P93" s="607"/>
      <c r="Q93" s="608"/>
      <c r="R93" s="93" t="s">
        <v>100</v>
      </c>
      <c r="S93" s="80"/>
      <c r="T93" s="18"/>
      <c r="U93" s="18"/>
      <c r="V93" s="22"/>
      <c r="W93" s="129"/>
      <c r="X93" s="158"/>
      <c r="Y93" s="22"/>
      <c r="Z93" s="45">
        <f aca="true" t="shared" si="2" ref="Z93:Z104">Y93*W93</f>
        <v>0</v>
      </c>
      <c r="AA93" s="129"/>
      <c r="AB93" s="99"/>
      <c r="AC93" s="45"/>
      <c r="AD93" s="607"/>
      <c r="AE93" s="608"/>
      <c r="AF93" s="608"/>
      <c r="AG93" s="608"/>
      <c r="AH93" s="608"/>
      <c r="AI93" s="608"/>
      <c r="AJ93" s="608"/>
      <c r="AK93" s="610"/>
    </row>
    <row r="94" spans="15:37" ht="33.75">
      <c r="O94">
        <v>576</v>
      </c>
      <c r="P94" s="607"/>
      <c r="Q94" s="608"/>
      <c r="R94" s="81" t="s">
        <v>19</v>
      </c>
      <c r="S94" s="80"/>
      <c r="T94" s="22">
        <v>2</v>
      </c>
      <c r="U94" s="22">
        <v>1</v>
      </c>
      <c r="V94" s="22">
        <v>2</v>
      </c>
      <c r="W94" s="129">
        <f>V94*U94*T94*8</f>
        <v>32</v>
      </c>
      <c r="X94" s="158"/>
      <c r="Y94" s="22">
        <v>18</v>
      </c>
      <c r="Z94" s="45">
        <f t="shared" si="2"/>
        <v>576</v>
      </c>
      <c r="AA94" s="129"/>
      <c r="AB94" s="99"/>
      <c r="AC94" s="45"/>
      <c r="AD94" s="607"/>
      <c r="AE94" s="608"/>
      <c r="AF94" s="608"/>
      <c r="AG94" s="608"/>
      <c r="AH94" s="608"/>
      <c r="AI94" s="608"/>
      <c r="AJ94" s="608"/>
      <c r="AK94" s="610"/>
    </row>
    <row r="95" spans="15:37" ht="12.75">
      <c r="O95">
        <v>0</v>
      </c>
      <c r="P95" s="607"/>
      <c r="Q95" s="608"/>
      <c r="R95" s="81"/>
      <c r="S95" s="80"/>
      <c r="T95" s="22"/>
      <c r="U95" s="22"/>
      <c r="V95" s="22"/>
      <c r="W95" s="129"/>
      <c r="X95" s="158"/>
      <c r="Y95" s="22"/>
      <c r="Z95" s="45">
        <f t="shared" si="2"/>
        <v>0</v>
      </c>
      <c r="AA95" s="129"/>
      <c r="AB95" s="99"/>
      <c r="AC95" s="45"/>
      <c r="AD95" s="607"/>
      <c r="AE95" s="608"/>
      <c r="AF95" s="608"/>
      <c r="AG95" s="608"/>
      <c r="AH95" s="608"/>
      <c r="AI95" s="608"/>
      <c r="AJ95" s="608"/>
      <c r="AK95" s="610"/>
    </row>
    <row r="96" spans="15:37" ht="12.75">
      <c r="O96">
        <v>0</v>
      </c>
      <c r="P96" s="607"/>
      <c r="Q96" s="608"/>
      <c r="R96" s="93" t="s">
        <v>104</v>
      </c>
      <c r="S96" s="80"/>
      <c r="T96" s="18">
        <f>T97+T98+T99+T101+T102+T103+T104</f>
        <v>8</v>
      </c>
      <c r="U96" s="18"/>
      <c r="V96" s="22"/>
      <c r="W96" s="129"/>
      <c r="X96" s="158"/>
      <c r="Y96" s="22"/>
      <c r="Z96" s="45">
        <f t="shared" si="2"/>
        <v>0</v>
      </c>
      <c r="AA96" s="129"/>
      <c r="AB96" s="99"/>
      <c r="AC96" s="45"/>
      <c r="AD96" s="607"/>
      <c r="AE96" s="608"/>
      <c r="AF96" s="608"/>
      <c r="AG96" s="608"/>
      <c r="AH96" s="608"/>
      <c r="AI96" s="608"/>
      <c r="AJ96" s="608"/>
      <c r="AK96" s="610"/>
    </row>
    <row r="97" spans="15:37" ht="22.5">
      <c r="O97">
        <v>216</v>
      </c>
      <c r="P97" s="607"/>
      <c r="Q97" s="608"/>
      <c r="R97" s="81" t="s">
        <v>14</v>
      </c>
      <c r="S97" s="80"/>
      <c r="T97" s="22">
        <v>1</v>
      </c>
      <c r="U97" s="22">
        <v>1</v>
      </c>
      <c r="V97" s="22">
        <v>3</v>
      </c>
      <c r="W97" s="129">
        <f aca="true" t="shared" si="3" ref="W97:W104">V97*U97*T97*8</f>
        <v>24</v>
      </c>
      <c r="X97" s="158"/>
      <c r="Y97" s="22">
        <v>9</v>
      </c>
      <c r="Z97" s="45">
        <f t="shared" si="2"/>
        <v>216</v>
      </c>
      <c r="AA97" s="129"/>
      <c r="AB97" s="99"/>
      <c r="AC97" s="45"/>
      <c r="AD97" s="607"/>
      <c r="AE97" s="608"/>
      <c r="AF97" s="608"/>
      <c r="AG97" s="608"/>
      <c r="AH97" s="608"/>
      <c r="AI97" s="608"/>
      <c r="AJ97" s="608"/>
      <c r="AK97" s="610"/>
    </row>
    <row r="98" spans="15:37" ht="12.75">
      <c r="O98">
        <v>432</v>
      </c>
      <c r="P98" s="607"/>
      <c r="Q98" s="608"/>
      <c r="R98" s="81" t="s">
        <v>15</v>
      </c>
      <c r="S98" s="80"/>
      <c r="T98" s="22">
        <v>1</v>
      </c>
      <c r="U98" s="22">
        <v>2</v>
      </c>
      <c r="V98" s="22">
        <v>3</v>
      </c>
      <c r="W98" s="129">
        <f t="shared" si="3"/>
        <v>48</v>
      </c>
      <c r="X98" s="158"/>
      <c r="Y98" s="22">
        <v>9</v>
      </c>
      <c r="Z98" s="45">
        <f t="shared" si="2"/>
        <v>432</v>
      </c>
      <c r="AA98" s="129"/>
      <c r="AB98" s="99"/>
      <c r="AC98" s="45"/>
      <c r="AD98" s="607"/>
      <c r="AE98" s="608"/>
      <c r="AF98" s="608"/>
      <c r="AG98" s="608"/>
      <c r="AH98" s="608"/>
      <c r="AI98" s="608"/>
      <c r="AJ98" s="608"/>
      <c r="AK98" s="610"/>
    </row>
    <row r="99" spans="15:37" ht="12.75">
      <c r="O99">
        <v>0</v>
      </c>
      <c r="P99" s="607"/>
      <c r="Q99" s="608"/>
      <c r="R99" s="81" t="s">
        <v>16</v>
      </c>
      <c r="S99" s="80"/>
      <c r="T99" s="22">
        <v>0</v>
      </c>
      <c r="U99" s="22">
        <v>0</v>
      </c>
      <c r="V99" s="22">
        <v>0</v>
      </c>
      <c r="W99" s="129">
        <f t="shared" si="3"/>
        <v>0</v>
      </c>
      <c r="X99" s="158"/>
      <c r="Y99" s="22">
        <v>9</v>
      </c>
      <c r="Z99" s="45">
        <f t="shared" si="2"/>
        <v>0</v>
      </c>
      <c r="AA99" s="129"/>
      <c r="AB99" s="99"/>
      <c r="AC99" s="45"/>
      <c r="AD99" s="607"/>
      <c r="AE99" s="608"/>
      <c r="AF99" s="608"/>
      <c r="AG99" s="608"/>
      <c r="AH99" s="608"/>
      <c r="AI99" s="608"/>
      <c r="AJ99" s="608"/>
      <c r="AK99" s="610"/>
    </row>
    <row r="100" spans="15:37" ht="22.5">
      <c r="O100">
        <v>216</v>
      </c>
      <c r="P100" s="607"/>
      <c r="Q100" s="608"/>
      <c r="R100" s="81" t="s">
        <v>1</v>
      </c>
      <c r="S100" s="45"/>
      <c r="T100" s="22">
        <v>1</v>
      </c>
      <c r="U100" s="22">
        <v>1</v>
      </c>
      <c r="V100" s="22">
        <v>3</v>
      </c>
      <c r="W100" s="129">
        <f t="shared" si="3"/>
        <v>24</v>
      </c>
      <c r="X100" s="158"/>
      <c r="Y100" s="22">
        <v>9</v>
      </c>
      <c r="Z100" s="45">
        <f t="shared" si="2"/>
        <v>216</v>
      </c>
      <c r="AA100" s="129"/>
      <c r="AB100" s="99"/>
      <c r="AC100" s="45"/>
      <c r="AD100" s="607"/>
      <c r="AE100" s="608"/>
      <c r="AF100" s="608"/>
      <c r="AG100" s="608"/>
      <c r="AH100" s="608"/>
      <c r="AI100" s="608"/>
      <c r="AJ100" s="608"/>
      <c r="AK100" s="610"/>
    </row>
    <row r="101" spans="15:37" ht="23.25" thickBot="1">
      <c r="O101">
        <v>144</v>
      </c>
      <c r="P101" s="607"/>
      <c r="Q101" s="608"/>
      <c r="R101" s="81" t="s">
        <v>17</v>
      </c>
      <c r="S101" s="83"/>
      <c r="T101" s="41">
        <v>1</v>
      </c>
      <c r="U101" s="41">
        <v>2</v>
      </c>
      <c r="V101" s="41">
        <v>1</v>
      </c>
      <c r="W101" s="129">
        <f t="shared" si="3"/>
        <v>16</v>
      </c>
      <c r="X101" s="158"/>
      <c r="Y101" s="22">
        <v>9</v>
      </c>
      <c r="Z101" s="45">
        <f t="shared" si="2"/>
        <v>144</v>
      </c>
      <c r="AA101" s="130"/>
      <c r="AB101" s="132"/>
      <c r="AC101" s="45"/>
      <c r="AD101" s="607"/>
      <c r="AE101" s="608"/>
      <c r="AF101" s="608"/>
      <c r="AG101" s="608"/>
      <c r="AH101" s="608"/>
      <c r="AI101" s="608"/>
      <c r="AJ101" s="608"/>
      <c r="AK101" s="610"/>
    </row>
    <row r="102" spans="15:37" ht="12.75">
      <c r="O102">
        <v>72</v>
      </c>
      <c r="P102" s="607"/>
      <c r="Q102" s="608"/>
      <c r="R102" s="82" t="s">
        <v>18</v>
      </c>
      <c r="S102" s="83"/>
      <c r="T102" s="41">
        <v>1</v>
      </c>
      <c r="U102" s="41">
        <v>1</v>
      </c>
      <c r="V102" s="41">
        <v>1</v>
      </c>
      <c r="W102" s="129">
        <f t="shared" si="3"/>
        <v>8</v>
      </c>
      <c r="X102" s="158"/>
      <c r="Y102" s="22">
        <v>9</v>
      </c>
      <c r="Z102" s="45">
        <f t="shared" si="2"/>
        <v>72</v>
      </c>
      <c r="AA102" s="192"/>
      <c r="AB102" s="92" t="s">
        <v>102</v>
      </c>
      <c r="AC102" s="45"/>
      <c r="AD102" s="607"/>
      <c r="AE102" s="608"/>
      <c r="AF102" s="608"/>
      <c r="AG102" s="608"/>
      <c r="AH102" s="608"/>
      <c r="AI102" s="608"/>
      <c r="AJ102" s="608"/>
      <c r="AK102" s="610"/>
    </row>
    <row r="103" spans="15:37" ht="12.75">
      <c r="O103">
        <v>288</v>
      </c>
      <c r="P103" s="607"/>
      <c r="Q103" s="608"/>
      <c r="R103" s="82" t="s">
        <v>0</v>
      </c>
      <c r="S103" s="83"/>
      <c r="T103" s="41">
        <v>2</v>
      </c>
      <c r="U103" s="41">
        <v>1</v>
      </c>
      <c r="V103" s="41">
        <v>2</v>
      </c>
      <c r="W103" s="129">
        <f t="shared" si="3"/>
        <v>32</v>
      </c>
      <c r="X103" s="158"/>
      <c r="Y103" s="22">
        <v>9</v>
      </c>
      <c r="Z103" s="45">
        <f t="shared" si="2"/>
        <v>288</v>
      </c>
      <c r="AA103" s="193" t="s">
        <v>21</v>
      </c>
      <c r="AB103" s="121">
        <f>SUM(Z91:Z104)</f>
        <v>2808</v>
      </c>
      <c r="AC103" s="6"/>
      <c r="AD103" s="607"/>
      <c r="AE103" s="608"/>
      <c r="AF103" s="608"/>
      <c r="AG103" s="608"/>
      <c r="AH103" s="608"/>
      <c r="AI103" s="608"/>
      <c r="AJ103" s="608"/>
      <c r="AK103" s="610"/>
    </row>
    <row r="104" spans="15:37" ht="23.25" thickBot="1">
      <c r="O104">
        <v>576</v>
      </c>
      <c r="P104" s="607"/>
      <c r="Q104" s="608"/>
      <c r="R104" s="97" t="s">
        <v>149</v>
      </c>
      <c r="S104" s="88"/>
      <c r="T104" s="85">
        <v>2</v>
      </c>
      <c r="U104" s="85">
        <v>1</v>
      </c>
      <c r="V104" s="85">
        <v>2</v>
      </c>
      <c r="W104" s="133">
        <f t="shared" si="3"/>
        <v>32</v>
      </c>
      <c r="X104" s="159"/>
      <c r="Y104" s="54">
        <v>18</v>
      </c>
      <c r="Z104" s="47">
        <f t="shared" si="2"/>
        <v>576</v>
      </c>
      <c r="AA104" s="195"/>
      <c r="AB104" s="197"/>
      <c r="AC104" s="45"/>
      <c r="AD104" s="607"/>
      <c r="AE104" s="608"/>
      <c r="AF104" s="608"/>
      <c r="AG104" s="608"/>
      <c r="AH104" s="608"/>
      <c r="AI104" s="608"/>
      <c r="AJ104" s="608"/>
      <c r="AK104" s="610"/>
    </row>
    <row r="105" spans="16:37" ht="12.75">
      <c r="P105" s="607"/>
      <c r="Q105" s="608"/>
      <c r="R105" s="608"/>
      <c r="S105" s="608"/>
      <c r="T105" s="608"/>
      <c r="U105" s="608"/>
      <c r="V105" s="608"/>
      <c r="W105" s="608"/>
      <c r="X105" s="608"/>
      <c r="Y105" s="608"/>
      <c r="Z105" s="608"/>
      <c r="AA105" s="608"/>
      <c r="AB105" s="610"/>
      <c r="AD105" s="607"/>
      <c r="AE105" s="608"/>
      <c r="AF105" s="608"/>
      <c r="AG105" s="608"/>
      <c r="AH105" s="608"/>
      <c r="AI105" s="608"/>
      <c r="AJ105" s="608"/>
      <c r="AK105" s="610"/>
    </row>
    <row r="106" spans="16:37" ht="15">
      <c r="P106" s="607"/>
      <c r="Q106" s="608"/>
      <c r="R106" s="608"/>
      <c r="S106" s="608"/>
      <c r="T106" s="608"/>
      <c r="U106" s="608"/>
      <c r="V106" s="608"/>
      <c r="W106" s="608"/>
      <c r="X106" s="608"/>
      <c r="Y106" s="608"/>
      <c r="Z106" s="608"/>
      <c r="AA106" s="608"/>
      <c r="AB106" s="610"/>
      <c r="AD106" s="607"/>
      <c r="AE106" s="612"/>
      <c r="AF106" s="612"/>
      <c r="AG106" s="608"/>
      <c r="AH106" s="608"/>
      <c r="AI106" s="613" t="s">
        <v>215</v>
      </c>
      <c r="AJ106" s="614">
        <f>4*15.5*21*8</f>
        <v>10416</v>
      </c>
      <c r="AK106" s="624" t="s">
        <v>36</v>
      </c>
    </row>
    <row r="107" spans="16:37" ht="15">
      <c r="P107" s="607"/>
      <c r="Q107" s="608"/>
      <c r="R107" s="608"/>
      <c r="S107" s="608"/>
      <c r="T107" s="608"/>
      <c r="U107" s="608"/>
      <c r="V107" s="608"/>
      <c r="W107" s="608"/>
      <c r="X107" s="608"/>
      <c r="Y107" s="608"/>
      <c r="Z107" s="608"/>
      <c r="AA107" s="608"/>
      <c r="AB107" s="610"/>
      <c r="AD107" s="607"/>
      <c r="AE107" s="612"/>
      <c r="AF107" s="612"/>
      <c r="AG107" s="608"/>
      <c r="AH107" s="608"/>
      <c r="AI107" s="613" t="s">
        <v>216</v>
      </c>
      <c r="AJ107" s="615">
        <f>80*8*4</f>
        <v>2560</v>
      </c>
      <c r="AK107" s="624" t="s">
        <v>36</v>
      </c>
    </row>
    <row r="108" spans="16:37" ht="23.25" thickBot="1">
      <c r="P108" s="339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611" t="s">
        <v>214</v>
      </c>
      <c r="AB108" s="786">
        <f>SUM(AB82,AB103)</f>
        <v>10872</v>
      </c>
      <c r="AC108" s="623"/>
      <c r="AD108" s="339"/>
      <c r="AE108" s="616"/>
      <c r="AF108" s="616"/>
      <c r="AG108" s="340"/>
      <c r="AH108" s="340"/>
      <c r="AI108" s="617" t="s">
        <v>214</v>
      </c>
      <c r="AJ108" s="618">
        <f>SUM(AJ106:AJ107)</f>
        <v>12976</v>
      </c>
      <c r="AK108" s="625"/>
    </row>
    <row r="109" spans="31:35" ht="15">
      <c r="AE109" s="598"/>
      <c r="AF109" s="598"/>
      <c r="AG109" s="598"/>
      <c r="AH109" s="598"/>
      <c r="AI109" s="598"/>
    </row>
    <row r="110" ht="23.25">
      <c r="AD110" s="599" t="s">
        <v>260</v>
      </c>
    </row>
  </sheetData>
  <printOptions/>
  <pageMargins left="0.3" right="0.19" top="0.85" bottom="0.78" header="0.5" footer="0.5"/>
  <pageSetup fitToHeight="1" fitToWidth="1" horizontalDpi="300" verticalDpi="300" orientation="landscape" scale="61" r:id="rId2"/>
  <headerFooter alignWithMargins="0">
    <oddFooter xml:space="preserve">&amp;C &amp;F              &amp;A         &amp;D      &amp;T     Page &amp;P of &amp;N     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7:D75"/>
  <sheetViews>
    <sheetView workbookViewId="0" topLeftCell="A51">
      <selection activeCell="B75" sqref="B75"/>
    </sheetView>
  </sheetViews>
  <sheetFormatPr defaultColWidth="9.140625" defaultRowHeight="12.75"/>
  <cols>
    <col min="1" max="1" width="9.7109375" style="0" customWidth="1"/>
    <col min="2" max="4" width="15.8515625" style="0" customWidth="1"/>
    <col min="5" max="5" width="7.140625" style="0" customWidth="1"/>
    <col min="6" max="16384" width="15.8515625" style="0" customWidth="1"/>
  </cols>
  <sheetData>
    <row r="57" spans="2:4" ht="15">
      <c r="B57" s="598"/>
      <c r="C57" s="598"/>
      <c r="D57" s="598"/>
    </row>
    <row r="58" spans="2:4" ht="15">
      <c r="B58" s="598"/>
      <c r="C58" s="598"/>
      <c r="D58" s="598"/>
    </row>
    <row r="59" spans="2:4" ht="15.75">
      <c r="B59" s="598"/>
      <c r="C59" s="783" t="s">
        <v>233</v>
      </c>
      <c r="D59" s="598"/>
    </row>
    <row r="60" spans="2:4" ht="15.75">
      <c r="B60" s="598"/>
      <c r="C60" s="783"/>
      <c r="D60" s="598"/>
    </row>
    <row r="61" spans="2:4" ht="15.75">
      <c r="B61" s="598"/>
      <c r="C61" s="783" t="s">
        <v>234</v>
      </c>
      <c r="D61" s="598"/>
    </row>
    <row r="62" spans="2:4" ht="15.75">
      <c r="B62" s="598"/>
      <c r="C62" s="783"/>
      <c r="D62" s="598"/>
    </row>
    <row r="63" spans="2:4" ht="15.75">
      <c r="B63" s="598"/>
      <c r="C63" s="783" t="s">
        <v>237</v>
      </c>
      <c r="D63" s="598"/>
    </row>
    <row r="64" spans="2:4" ht="15.75">
      <c r="B64" s="598"/>
      <c r="C64" s="783"/>
      <c r="D64" s="598"/>
    </row>
    <row r="65" spans="2:4" ht="15.75">
      <c r="B65" s="598"/>
      <c r="C65" s="784">
        <v>38407</v>
      </c>
      <c r="D65" s="598"/>
    </row>
    <row r="66" spans="2:4" ht="15.75">
      <c r="B66" s="598"/>
      <c r="C66" s="783"/>
      <c r="D66" s="598"/>
    </row>
    <row r="67" spans="2:4" ht="15.75">
      <c r="B67" s="598"/>
      <c r="C67" s="783" t="s">
        <v>235</v>
      </c>
      <c r="D67" s="598"/>
    </row>
    <row r="68" spans="2:4" ht="15.75">
      <c r="B68" s="598"/>
      <c r="C68" s="783" t="s">
        <v>236</v>
      </c>
      <c r="D68" s="598"/>
    </row>
    <row r="69" spans="2:4" ht="15.75">
      <c r="B69" s="598"/>
      <c r="C69" s="783"/>
      <c r="D69" s="598"/>
    </row>
    <row r="70" spans="2:4" ht="15">
      <c r="B70" s="598" t="s">
        <v>254</v>
      </c>
      <c r="C70" s="598"/>
      <c r="D70" s="598"/>
    </row>
    <row r="71" spans="2:4" ht="15">
      <c r="B71" s="598" t="s">
        <v>255</v>
      </c>
      <c r="C71" s="598"/>
      <c r="D71" s="598"/>
    </row>
    <row r="72" spans="2:4" ht="15">
      <c r="B72" s="598" t="s">
        <v>256</v>
      </c>
      <c r="C72" s="598"/>
      <c r="D72" s="598"/>
    </row>
    <row r="73" spans="2:4" ht="15">
      <c r="B73" s="598" t="s">
        <v>257</v>
      </c>
      <c r="C73" s="598"/>
      <c r="D73" s="598"/>
    </row>
    <row r="74" spans="2:4" ht="15">
      <c r="B74" s="598" t="s">
        <v>258</v>
      </c>
      <c r="C74" s="598"/>
      <c r="D74" s="598"/>
    </row>
    <row r="75" spans="2:4" ht="15">
      <c r="B75" s="598"/>
      <c r="C75" s="598"/>
      <c r="D75" s="598"/>
    </row>
  </sheetData>
  <printOptions horizontalCentered="1" verticalCentered="1"/>
  <pageMargins left="0.75" right="0.75" top="1" bottom="0.78" header="0.5" footer="0.37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rstrykowsky</cp:lastModifiedBy>
  <cp:lastPrinted>2005-02-24T13:53:40Z</cp:lastPrinted>
  <dcterms:created xsi:type="dcterms:W3CDTF">2003-03-28T13:53:34Z</dcterms:created>
  <dcterms:modified xsi:type="dcterms:W3CDTF">2005-02-24T13:54:33Z</dcterms:modified>
  <cp:category/>
  <cp:version/>
  <cp:contentType/>
  <cp:contentStatus/>
</cp:coreProperties>
</file>