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9200" windowHeight="11400" activeTab="1"/>
  </bookViews>
  <sheets>
    <sheet name="Sheet2" sheetId="1" r:id="rId1"/>
    <sheet name="Sheet1" sheetId="2" r:id="rId2"/>
    <sheet name="P3" sheetId="3" r:id="rId3"/>
  </sheets>
  <definedNames>
    <definedName name="_xlnm.Print_Area" localSheetId="1">'Sheet1'!$A$1:$F$123</definedName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<sst xmlns="http://schemas.openxmlformats.org/spreadsheetml/2006/main" count="1088" uniqueCount="367">
  <si>
    <t>Job: 1101 - Limiter  Adv Conc/Prel Dsn-**CLOSED*</t>
  </si>
  <si>
    <t>Job: 1201 - Vacuum Vessel  Prelim Dsn-**CLOSED**</t>
  </si>
  <si>
    <t>Job: 1202 - Vacuum Vessel R&amp;D</t>
  </si>
  <si>
    <t xml:space="preserve">Job: 1206 - VV Field Weld Joint R&amp;D-**CLOSED**  </t>
  </si>
  <si>
    <t xml:space="preserve">Job: 1203 - Vacuum Vessel Final Dsn-GORANSON    </t>
  </si>
  <si>
    <t xml:space="preserve">Job:1204-VV Sys Procurements (non VVSA)-DUDEK   </t>
  </si>
  <si>
    <t xml:space="preserve">Job: 1250 - Vacuum Vessel Fabrication-VIOLA     </t>
  </si>
  <si>
    <t>Job: 1301 - TF Design-KALISH</t>
  </si>
  <si>
    <t xml:space="preserve">Job: 1350 TF Coil Fab Preparation-CHRZANOWSKI   </t>
  </si>
  <si>
    <t xml:space="preserve">Job: 1351 - TF Coil Fabr Supplies-KALISH        </t>
  </si>
  <si>
    <t xml:space="preserve">Job: 1361 -  TF Fabrication-KALISH              </t>
  </si>
  <si>
    <t xml:space="preserve">Job: 1302 - PF  Design -KALISH                  </t>
  </si>
  <si>
    <t xml:space="preserve">Job: 1352 - PF Coil Procurement-KALISH          </t>
  </si>
  <si>
    <t>Job: 1354 - Trim Coil Design &amp;Procurement-KALISH</t>
  </si>
  <si>
    <t>Job: 1303 -Centrol Solenoid Support Dsn-DAHLGREN</t>
  </si>
  <si>
    <t xml:space="preserve">Job: 1353 - CS Structure Procurement-DAHLGREN   </t>
  </si>
  <si>
    <t>Job: 1355 - WBS 13 I&amp;C Proc &amp;</t>
  </si>
  <si>
    <t xml:space="preserve">Job: 1401 - Mod Coil  Prel.Dsn**CLOSED**        </t>
  </si>
  <si>
    <t xml:space="preserve">Job: 1402 - Mod.Coil Analyses**CLOSED**         </t>
  </si>
  <si>
    <t xml:space="preserve">Job:1404-MCWF R&amp;D &amp; 1st Prod Casting**CLOSED**  </t>
  </si>
  <si>
    <t xml:space="preserve">Job: 1413 -MCWF Fracture Analysis-**CLOSED**    </t>
  </si>
  <si>
    <t xml:space="preserve">Job: 1405-Mod Coil Winding R&amp;D Prep-**CLOSED**  </t>
  </si>
  <si>
    <t xml:space="preserve">Job: 1407 -Mod Coil Winding Facility-**CLOSED** </t>
  </si>
  <si>
    <t>Job: 1412 - Complete Winding Facilities-*CLOSED*</t>
  </si>
  <si>
    <t>Job: 1406 - Mod. Coil Winding</t>
  </si>
  <si>
    <t xml:space="preserve">Job: 1410 MC Twisted Racetrack Fabr-**CLOSED**  </t>
  </si>
  <si>
    <t>Job: 1409 - Coil Test Stand-GETTELFINGER*CLOSED*</t>
  </si>
  <si>
    <t>Job: 1415 Dim Cntrl Testing-RAFTOPOLOUS*CLOSED**</t>
  </si>
  <si>
    <t xml:space="preserve">Job: 1419-Winding Fac. Mods-CHRZANOWSKI*CLOSED* </t>
  </si>
  <si>
    <t>Job: 1403 - Modular Coil Final Design-WILLIAMSON</t>
  </si>
  <si>
    <t>Job: 1416-Mod Coil Type A&amp;B Final Dsn-WILLIAMSON</t>
  </si>
  <si>
    <t xml:space="preserve">Job:1408-Mod Coil Winding Supplies-CHRZANOWSKI  </t>
  </si>
  <si>
    <t>Job: 1411-MCWF Fabrication S005242-HEITZENROEDER</t>
  </si>
  <si>
    <t xml:space="preserve">Job: 1451 - Mod Coil Winding-CHRZANOWSKI        </t>
  </si>
  <si>
    <t xml:space="preserve">Job: 1414 Coil Testing-Gettelfinger             </t>
  </si>
  <si>
    <t>Job: 1421-Mod Coil Interface Hardware-WILLIAMSON</t>
  </si>
  <si>
    <t xml:space="preserve">Job: 1501 - Structures  Design- DAHLGREN        </t>
  </si>
  <si>
    <t xml:space="preserve">Job:1550 - Structures Procurement -DAHLGREN     </t>
  </si>
  <si>
    <t xml:space="preserve">Job: 1601 - Coil Services  Design-WILLIAMSON    </t>
  </si>
  <si>
    <t>Job:1701-Cryost&amp;Base Sprt Strct Dsn-GETTLEFINGER</t>
  </si>
  <si>
    <t xml:space="preserve">Job: 1751 - Cryostat Procurement                </t>
  </si>
  <si>
    <t xml:space="preserve">Job: 1752 - Base Support Structure Procurement  </t>
  </si>
  <si>
    <t>Job: 1801-Field Period Assly -CHRZANOWSKI (ORNL)</t>
  </si>
  <si>
    <t xml:space="preserve">Job: 1802 - FP Assy Oversight&amp;Support-VIOLA     </t>
  </si>
  <si>
    <t xml:space="preserve">Job: 1803- FP Assy Toolg/Constructability-BROWN </t>
  </si>
  <si>
    <t>Job: 1804-FP Assy Measurement</t>
  </si>
  <si>
    <t xml:space="preserve">Job:1810 - Field Period Assembly-VIOLA          </t>
  </si>
  <si>
    <t>Job: 1901 - Stellarator Core Mngtt&amp;Integr-NELSON</t>
  </si>
  <si>
    <t xml:space="preserve">Job: 2001-VPS Gas&amp; Cond Sys Oversight-BLANCHARD </t>
  </si>
  <si>
    <t>Job: 2101 - Fueling Systems</t>
  </si>
  <si>
    <t xml:space="preserve">Job: 2201 - Vacuum Pumping Systems              </t>
  </si>
  <si>
    <t>Job: 2501 - Neutral Beam Refurbishment-STEVENSON</t>
  </si>
  <si>
    <t xml:space="preserve">Job: 3101 Magnetic Diagnostics                  </t>
  </si>
  <si>
    <t>Job: 3601 - Edge and Divertor</t>
  </si>
  <si>
    <t xml:space="preserve">Job: 3801 - Electron Beam Mapping               </t>
  </si>
  <si>
    <t xml:space="preserve">Job: 3901 - Diagnostics sys Integration-JOHNSON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</si>
  <si>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</si>
  <si>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</si>
  <si>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</si>
  <si>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</si>
  <si>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4601 - FCPC Bldg Mods-RAMAKRISHNAN         </t>
  </si>
  <si>
    <t xml:space="preserve">Job: 5101 - TCP/IP Infrastructure Systems       </t>
  </si>
  <si>
    <t>5201 - I&amp;C Systems</t>
  </si>
  <si>
    <t>5301 - Data Acquisition</t>
  </si>
  <si>
    <t>Job: 5401 - Facility Timing &amp;</t>
  </si>
  <si>
    <t xml:space="preserve">5501 - Real Time Control System                 </t>
  </si>
  <si>
    <t xml:space="preserve">Job: 5601 - Central Safety Interlock Systems    </t>
  </si>
  <si>
    <t>Job: 5801 -Central I&amp;C Integr</t>
  </si>
  <si>
    <t>Job:6101 - Water Systems</t>
  </si>
  <si>
    <t>Job: 6201 - Cryogenic Systems</t>
  </si>
  <si>
    <t>Job: 6301 - Utility Systems</t>
  </si>
  <si>
    <t xml:space="preserve">Job: 6163 - Facility Systems Support FY04       </t>
  </si>
  <si>
    <t xml:space="preserve">Job: 6501 - Facility Systems Integration-DUDEK  </t>
  </si>
  <si>
    <t>Job: 7101 - Shield Wall Modif</t>
  </si>
  <si>
    <t>Job: 7301 - Platform Design &amp;</t>
  </si>
  <si>
    <t xml:space="preserve">Job: 7401 - TC Prep &amp; Mach Assy Planning-PERRY  </t>
  </si>
  <si>
    <t xml:space="preserve">7501 - Construction Support Crew                </t>
  </si>
  <si>
    <t>7503 - Machine Assembly</t>
  </si>
  <si>
    <t xml:space="preserve">Job: 7601 - Tooling Design &amp; Fabrication      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</si>
  <si>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</si>
  <si>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</si>
  <si>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</si>
  <si>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</si>
  <si>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</si>
  <si>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Coordination    </t>
  </si>
  <si>
    <t xml:space="preserve">Job: 8401 - Project Physcis-ZARNSTORFF          </t>
  </si>
  <si>
    <t xml:space="preserve">Job: 8402 - Project Physics MIE ORNL-LYON       </t>
  </si>
  <si>
    <t xml:space="preserve">Job: 8501 - Integrated Systems Testing          </t>
  </si>
  <si>
    <t>Job: 8998 - Allocations</t>
  </si>
  <si>
    <t>Rate Adjustments FY06</t>
  </si>
  <si>
    <t>ecp44</t>
  </si>
  <si>
    <t>ecp45</t>
  </si>
  <si>
    <t>Job:1204-VV Sys Procurements (non VVSA)-GORANSON</t>
  </si>
  <si>
    <t xml:space="preserve">Job: 1361 -  TF Fabrication-CHRZANOWSKI         </t>
  </si>
  <si>
    <t xml:space="preserve">Job: 1302 - PF and CS Design -KALISH            </t>
  </si>
  <si>
    <t xml:space="preserve">Job: 1353 - CS Structure Procurement-KALISH     </t>
  </si>
  <si>
    <t xml:space="preserve">Job: 1354 - Trim Coil Procurement-KALISH        </t>
  </si>
  <si>
    <t xml:space="preserve">Job: 1501 - Structures  Design- Kalish          </t>
  </si>
  <si>
    <t xml:space="preserve">Job:1550 - Structures Procurement -KALISH       </t>
  </si>
  <si>
    <t xml:space="preserve">Job: 7201 - Control Room Walls&amp;Floors-PERRY     </t>
  </si>
  <si>
    <t xml:space="preserve">7502 - Test Cell Facility Preparations          </t>
  </si>
  <si>
    <t>ecp43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</si>
  <si>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</si>
  <si>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</si>
  <si>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</si>
  <si>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</si>
  <si>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</si>
  <si>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</si>
  <si>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</si>
  <si>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</si>
  <si>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</si>
  <si>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</si>
  <si>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</si>
  <si>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</si>
  <si>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</si>
  <si>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</si>
  <si>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</si>
  <si>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</si>
  <si>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</si>
  <si>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</si>
  <si>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</si>
  <si>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</si>
  <si>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</si>
  <si>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</si>
  <si>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</si>
  <si>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</si>
  <si>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</si>
  <si>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</si>
  <si>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</si>
  <si>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</si>
  <si>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</si>
  <si>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</si>
  <si>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</si>
  <si>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</si>
  <si>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</si>
  <si>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</si>
  <si>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</si>
  <si>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</si>
  <si>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</si>
  <si>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</si>
  <si>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</si>
  <si>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</si>
  <si>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</si>
  <si>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Contingency</t>
  </si>
  <si>
    <t>DCMA</t>
  </si>
  <si>
    <t>Misc Adjustments</t>
  </si>
  <si>
    <t>72 - Control Room Refurbishment</t>
  </si>
  <si>
    <t>WBS II</t>
  </si>
  <si>
    <t>Job</t>
  </si>
  <si>
    <t>Budget</t>
  </si>
  <si>
    <t>Sum of Budget</t>
  </si>
  <si>
    <t>Grand Total</t>
  </si>
  <si>
    <t>12 - Vacuum Vessel Systems Total</t>
  </si>
  <si>
    <t>13 - Conventional Coils Total</t>
  </si>
  <si>
    <t>14 - Modular Coils Total</t>
  </si>
  <si>
    <t>15 - Structures Total</t>
  </si>
  <si>
    <t>17 - Cryostat and Base Support Structure Total</t>
  </si>
  <si>
    <t>18 - Field Period Assembly Total</t>
  </si>
  <si>
    <t>21 - Fueling Systems Total</t>
  </si>
  <si>
    <t>65 - Facility Systems Integration Total</t>
  </si>
  <si>
    <t>75 - Test Cell and Basement Assembly Operations Total</t>
  </si>
  <si>
    <t>81 - Project Management and Control Total</t>
  </si>
  <si>
    <t>82 - Project Engineering Total</t>
  </si>
  <si>
    <t>84 - Project Physics Total</t>
  </si>
  <si>
    <t>Change</t>
  </si>
  <si>
    <t>2 - Heating,Fueling &amp; Vac Systems</t>
  </si>
  <si>
    <t>3 - Diagnostics</t>
  </si>
  <si>
    <t>4 - Electrical Power Systems</t>
  </si>
  <si>
    <t>5 - Central I&amp;C Systems</t>
  </si>
  <si>
    <t>6 - Facility Systems</t>
  </si>
  <si>
    <t>7 - Test Cell Prep &amp; Machine Assembly</t>
  </si>
  <si>
    <t>8 - ProjectOversight &amp; Support</t>
  </si>
  <si>
    <t>+ $</t>
  </si>
  <si>
    <t>k</t>
  </si>
  <si>
    <t>- $</t>
  </si>
  <si>
    <t xml:space="preserve">Expected FY06 Rate Variance </t>
  </si>
  <si>
    <t xml:space="preserve"> + $372k</t>
  </si>
  <si>
    <t xml:space="preserve"> + $1,436k</t>
  </si>
  <si>
    <t xml:space="preserve"> + $565k</t>
  </si>
  <si>
    <t xml:space="preserve"> + $3k</t>
  </si>
  <si>
    <t xml:space="preserve"> - $34k</t>
  </si>
  <si>
    <t xml:space="preserve"> + $641k</t>
  </si>
  <si>
    <t xml:space="preserve"> + $4k</t>
  </si>
  <si>
    <t xml:space="preserve"> - $307k</t>
  </si>
  <si>
    <t xml:space="preserve"> - $146k</t>
  </si>
  <si>
    <t xml:space="preserve"> - $213k</t>
  </si>
  <si>
    <t xml:space="preserve"> - $1072k</t>
  </si>
  <si>
    <t xml:space="preserve"> - $79k</t>
  </si>
  <si>
    <t xml:space="preserve"> - $194k</t>
  </si>
  <si>
    <t xml:space="preserve"> + $224k</t>
  </si>
  <si>
    <t xml:space="preserve"> - $406k</t>
  </si>
  <si>
    <t>Unrecoverable Cost Variances</t>
  </si>
  <si>
    <t>ETC Updates</t>
  </si>
  <si>
    <t>WBS 12</t>
  </si>
  <si>
    <t xml:space="preserve"> - </t>
  </si>
  <si>
    <t>WBS 13</t>
  </si>
  <si>
    <t>TF coil -PPPL oversight/title III</t>
  </si>
  <si>
    <t>WBS 14</t>
  </si>
  <si>
    <t>Cryogenic test facility (job 1414)</t>
  </si>
  <si>
    <t xml:space="preserve"> MC winding (job 1451 &amp; 1459)</t>
  </si>
  <si>
    <t>WBS 17</t>
  </si>
  <si>
    <t>WBS 18</t>
  </si>
  <si>
    <t>WBS 3</t>
  </si>
  <si>
    <t>WBS 4</t>
  </si>
  <si>
    <t>WBS 7</t>
  </si>
  <si>
    <t>WBS 81</t>
  </si>
  <si>
    <t>Project management office</t>
  </si>
  <si>
    <t>WBS 82</t>
  </si>
  <si>
    <t>Proj Engr (Reierson,Dudek, Simmons)</t>
  </si>
  <si>
    <t>Systems Analysis (Brooks)</t>
  </si>
  <si>
    <t>Vac Vsl hardware design and hardware</t>
  </si>
  <si>
    <t>Completion of thermal insulation, heater tape and assembly drawings. Port Insulation increase.</t>
  </si>
  <si>
    <t>TF coil- fabrication</t>
  </si>
  <si>
    <t>Increase in fabrication cost ($1,473 contract award)</t>
  </si>
  <si>
    <t>Increase to oversee outsourcing of fabrication (average of 1 trip/week). Risk mitigation due to vendor history.</t>
  </si>
  <si>
    <t>PF coil procurement &amp; design</t>
  </si>
  <si>
    <t xml:space="preserve">Estimate reduced in recognition of TF cost. </t>
  </si>
  <si>
    <t>WBS 13,15</t>
  </si>
  <si>
    <t xml:space="preserve">Base ,&amp; coil support struct </t>
  </si>
  <si>
    <t>combine base ,&amp; coil support struct into one procurement</t>
  </si>
  <si>
    <t>Central solenoid support structure fabrication</t>
  </si>
  <si>
    <t>Simpler design to be fabricated by PPPL</t>
  </si>
  <si>
    <t>Completion of test facility and testing of modular coil</t>
  </si>
  <si>
    <t>Estimate growth (including overtime and second shift differential) into mid-FY07.</t>
  </si>
  <si>
    <t>Completion of Type A &amp; B modular coil design</t>
  </si>
  <si>
    <t>Elimination of redundant assembly and hardware drawings.</t>
  </si>
  <si>
    <t xml:space="preserve">Mod Coil interface design </t>
  </si>
  <si>
    <t>Additional analysis of joint and resultant design modifications</t>
  </si>
  <si>
    <t>Mod Coil interface hardware</t>
  </si>
  <si>
    <t>Shims, bolts, washers and bladder hardware.</t>
  </si>
  <si>
    <t>FP assy stage 1</t>
  </si>
  <si>
    <t xml:space="preserve">Additional assembly steps and includes hands-on senior field supervisor. </t>
  </si>
  <si>
    <t>FP assy tooling &amp; fixtures</t>
  </si>
  <si>
    <t>Fixtures re-estimate plus add'l stage 5 fixture.</t>
  </si>
  <si>
    <t>FP assy tooling &amp; fixtures -engr&amp; design increase</t>
  </si>
  <si>
    <t>Additional engr and designer support to design field period assy fixtures.</t>
  </si>
  <si>
    <t>Metrology H/W maint and support (job 1804)</t>
  </si>
  <si>
    <t>Metrology hardware &amp; software maintenance, replacement parts, calibration</t>
  </si>
  <si>
    <t>Metrology engr supervision (raftopolous) stage 1 FP assy</t>
  </si>
  <si>
    <t>Increase to full time metrology engr to support completion of mod coil fabr plus field period assembly tasks thru FY07.</t>
  </si>
  <si>
    <t>Increased RLM oversight and Project engineering</t>
  </si>
  <si>
    <t>Design Integration (brown, Designer)</t>
  </si>
  <si>
    <t>Increase designer and engineer time for global design interface.</t>
  </si>
  <si>
    <t>Global machine modeling and analysis</t>
  </si>
  <si>
    <t>Dimensional Control (Stratton, Raftopolous)</t>
  </si>
  <si>
    <t>Dimensional control supervision.</t>
  </si>
  <si>
    <t>ETC Updates (continued)</t>
  </si>
  <si>
    <t>WBS 2</t>
  </si>
  <si>
    <t>Fueling and Vacuum Pumping</t>
  </si>
  <si>
    <t>Simplified systems design using existing  pumping system (tested on VVSA).</t>
  </si>
  <si>
    <t>Magnetic Diagnostic design and fabrication</t>
  </si>
  <si>
    <t xml:space="preserve">Anticipated FY06 rate variance  </t>
  </si>
  <si>
    <t>E-beam mapping diagnostic hardware</t>
  </si>
  <si>
    <t>Use of collaration for e-beam mapping</t>
  </si>
  <si>
    <t>Edge &amp; diverter diagnostics</t>
  </si>
  <si>
    <t>Share  camera from NSTX</t>
  </si>
  <si>
    <t>Controls and protection</t>
  </si>
  <si>
    <t>eliminate DC shunts and simplify overload protection</t>
  </si>
  <si>
    <t>AC power</t>
  </si>
  <si>
    <t>Minimal ex-test cell AC power and grounding</t>
  </si>
  <si>
    <t>DC power</t>
  </si>
  <si>
    <t>Power loop design and C-site rectifier maintenance\</t>
  </si>
  <si>
    <t>WBS 51</t>
  </si>
  <si>
    <t xml:space="preserve"> TCP/IP network </t>
  </si>
  <si>
    <t>Local TCP/IP network infrastructure</t>
  </si>
  <si>
    <t>WBS 52</t>
  </si>
  <si>
    <t>Central Facilities I&amp;C</t>
  </si>
  <si>
    <t>Local Control</t>
  </si>
  <si>
    <t>WBS 53</t>
  </si>
  <si>
    <t>Diagnostic Data Acquisition &amp; computing</t>
  </si>
  <si>
    <t>The NSTX infrastructure will be used where possible.</t>
  </si>
  <si>
    <t>WBS 54</t>
  </si>
  <si>
    <t>Facility timing &amp; synchronization</t>
  </si>
  <si>
    <t>Use timing device designs in use on NSTX</t>
  </si>
  <si>
    <t>WBS 55</t>
  </si>
  <si>
    <t>Real time plasma control</t>
  </si>
  <si>
    <t>PC based "LabVIEW" will produce open-loop power supply commands.</t>
  </si>
  <si>
    <t>WBS 56</t>
  </si>
  <si>
    <t>Central Safety &amp; Interlokcs</t>
  </si>
  <si>
    <t>Use of locks and physical barriers</t>
  </si>
  <si>
    <t>WBS 58</t>
  </si>
  <si>
    <t>Central I&amp;C Integr and oversight</t>
  </si>
  <si>
    <t>Oversight</t>
  </si>
  <si>
    <t>WBS 61</t>
  </si>
  <si>
    <t>Water systems</t>
  </si>
  <si>
    <t>Once through potable water system for vacuum pumps only</t>
  </si>
  <si>
    <t>WBS 75</t>
  </si>
  <si>
    <t>Machine assy preparations</t>
  </si>
  <si>
    <t>Machine assembly</t>
  </si>
  <si>
    <t>2 shift ops on select tasks (reduced support crews</t>
  </si>
  <si>
    <t>Anticipated FY06 rate variance and allocations</t>
  </si>
  <si>
    <t>WBS 85</t>
  </si>
  <si>
    <t xml:space="preserve">wbs 85 PTP &amp; ISTP startup </t>
  </si>
  <si>
    <t>Reduced operational and startup procdures plus allocation of startup staff</t>
  </si>
  <si>
    <t>* includes anticipated rates variances</t>
  </si>
  <si>
    <t>Vac Vsl hardware design - Design of heater tape, cooling tubes and associated hardware</t>
  </si>
  <si>
    <t>VVSA Contract oversight - Support of MTM leak testing of the VVSA, and NCR reconciliation</t>
  </si>
  <si>
    <t>TF Fab Facility - TF Coil  Hardware fabrication</t>
  </si>
  <si>
    <t>TF coil -PPPL oversight/title III - TF outsourcing efforts (documentation, travel, evaluation)</t>
  </si>
  <si>
    <t>Cryogenic test facility (job 1414) - Facility design , testing and modifications in support of the upcoming mod. coil  cold test</t>
  </si>
  <si>
    <t xml:space="preserve"> MC winding (job 1451 &amp; 1459) - Unanticipated work, facility mods, initial learning curve/efficiencies.</t>
  </si>
  <si>
    <t xml:space="preserve">Modular Coil Design - </t>
  </si>
  <si>
    <t>WBS 17 cryostat and base support - Alternate configurations studied.</t>
  </si>
  <si>
    <t>WBS 18 Field period assy fuxtures &amp; prep - Purchase of a third Romer arm and computer</t>
  </si>
  <si>
    <t>Magnetic Diagmnostics - Engineering and fabrication of vacuum vessel saddle loops.</t>
  </si>
  <si>
    <t>Electrical Power Systems - Revisions to the C-site power systems and cabling design</t>
  </si>
  <si>
    <t xml:space="preserve">Test Cell Preparations - NCSX test cell electrical power upgrades </t>
  </si>
  <si>
    <t>Project management office - Project management team (PPPL &amp; ORNL) and overhead allocations</t>
  </si>
  <si>
    <t>Proj Engr (Reierson,Dudek, Simmons) - RLM oversight</t>
  </si>
  <si>
    <t>Systems Analysis (Brooks) - Integrated stellarator modeling and analysis (ie mod coil coil-to-coil  and machine support)</t>
  </si>
  <si>
    <t>Rate Variance</t>
  </si>
  <si>
    <t>WBS 5</t>
  </si>
  <si>
    <t>WBS 6</t>
  </si>
  <si>
    <t xml:space="preserve">Eliminate TC floor resurface and completion of control rm floors. </t>
  </si>
  <si>
    <t>Anticpated Rate Reductions at PPPL due to the overliqidation of indirect costs.</t>
  </si>
  <si>
    <t xml:space="preserve">Vac Vsl hardware design and hardwareCompletion of thermal insulation, heater tape and assembly drawings. Port Insulation increase. - </t>
  </si>
  <si>
    <t xml:space="preserve">TF coil- fabricationIncrease in fabrication cost ($1,473 contract award) - </t>
  </si>
  <si>
    <t xml:space="preserve">TF coil -PPPL oversight/title IIIIncrease to oversee outsourcing of fabrication (average of 1 trip/week). Risk mitigation due to vendor history. - </t>
  </si>
  <si>
    <t xml:space="preserve">Base ,&amp; coil support struct combine base ,&amp; coil support struct into one procurement - </t>
  </si>
  <si>
    <t xml:space="preserve">Cryogenic test facility (job 1414)Completion of test facility and testing of modular coil - </t>
  </si>
  <si>
    <t xml:space="preserve">Mod Coil interface design Additional analysis of joint and resultant design modifications - </t>
  </si>
  <si>
    <t xml:space="preserve">Mod Coil interface hardwareShims, bolts, washers and bladder hardware. - </t>
  </si>
  <si>
    <t xml:space="preserve">Metrology H/W maint and support (job 1804)Metrology hardware &amp; software maintenance, replacement parts, calibration - </t>
  </si>
  <si>
    <t xml:space="preserve">Metrology engr supervision (raftopolous) stage 1 FP assyIncrease to full time metrology engr to support completion of mod coil fabr plus field period assembly tasks thru FY07. - </t>
  </si>
  <si>
    <t>Fueling and Vacuum Pumping - Simplified systems design using existing  pumping system (tested on VVSA).</t>
  </si>
  <si>
    <t>E-beam mapping diagnostic hardware - Use of collaration for e-beam mapping</t>
  </si>
  <si>
    <t>Edge &amp; diverter diagnostics - Share  camera from NSTX</t>
  </si>
  <si>
    <t>Controls and protection - eliminate DC shunts and simplify overload protection</t>
  </si>
  <si>
    <t>AC power - Minimal ex-test cell AC power and grounding</t>
  </si>
  <si>
    <t>DC power - Power loop design and C-site rectifier maintenance\</t>
  </si>
  <si>
    <t xml:space="preserve"> TCP/IP network  - Local TCP/IP network infrastructure</t>
  </si>
  <si>
    <t>Central Facilities I&amp;C - Local Control</t>
  </si>
  <si>
    <t>Diagnostic Data Acquisition &amp; computing - The NSTX infrastructure will be used where possible.</t>
  </si>
  <si>
    <t>Facility timing &amp; synchronization - Use timing device designs in use on NSTX</t>
  </si>
  <si>
    <t>Real time plasma control - PC based "LabVIEW" will produce open-loop power supply commands.</t>
  </si>
  <si>
    <t>Central Safety &amp; Interlokcs - Use of locks and physical barriers</t>
  </si>
  <si>
    <t>Central I&amp;C Integr and oversight - Oversight</t>
  </si>
  <si>
    <t>Water systems - Once through potable water system for vacuum pumps only</t>
  </si>
  <si>
    <t>Machine assy preparations - Eliminate TC floor resurface and completion of control rm floors. 2 shift ops on select tasks (reduced support crews</t>
  </si>
  <si>
    <t>Proj Engr (Reierson,Dudek, Simmons) - Increased RLM oversight and Project engineering</t>
  </si>
  <si>
    <t>Design Integration (brown, Designer) - Increase designer and engineer time for global design interface.</t>
  </si>
  <si>
    <t>Systems Analysis (Brooks) - Global machine modeling and analysis</t>
  </si>
  <si>
    <t>Dimensional Control (Stratton, Raftopolous) - Dimensional control supervision.</t>
  </si>
  <si>
    <t>wbs 85 PTP &amp; ISTP startup  - Reduced operational and startup procdures plus allocation of startup staff</t>
  </si>
  <si>
    <t>PF coil procurement &amp; design-Estimate reduced in recognition of TF cost.  -</t>
  </si>
  <si>
    <t xml:space="preserve">Central solenoid support structure design&amp;fabrication-Simpler design to be fabricated by PPPL </t>
  </si>
  <si>
    <t xml:space="preserve">Type C, A &amp; B modular coil design. Elimination of redundant assembly and hardware drawings. - </t>
  </si>
  <si>
    <t xml:space="preserve"> MC winding (materials and labor job 1408, 1451 &amp; 1459) Estimate growth (including overtime and second shift differential) into mid-FY07. - </t>
  </si>
  <si>
    <t xml:space="preserve">Misc </t>
  </si>
  <si>
    <t xml:space="preserve">Misc. rescheduling </t>
  </si>
  <si>
    <t xml:space="preserve">FP assy stage 1-Additional assembly steps and includes hands-on senior field supervisor.  - </t>
  </si>
  <si>
    <t xml:space="preserve">FP assy tooling &amp; fixtures-Fixtures re-estimate plus add'l stage 5 fixture. - </t>
  </si>
  <si>
    <t xml:space="preserve">FP assy tooling &amp; fixtures -engr&amp; design increase-Additional engr and designer support to design field period assy fixtures. - </t>
  </si>
  <si>
    <t>19 - Stellarator Core Management and Integr</t>
  </si>
  <si>
    <t xml:space="preserve">Magnetic Diagnostic design and fabrication - </t>
  </si>
  <si>
    <t>WBS 7 Subtotal</t>
  </si>
  <si>
    <t>WBS 1 Subtotal</t>
  </si>
  <si>
    <t>WBS 8 Subtotal</t>
  </si>
  <si>
    <t>WBS 6 Subtotal</t>
  </si>
  <si>
    <t>WBS 5 Subtotal</t>
  </si>
  <si>
    <t>WBS 4 Subtotal</t>
  </si>
  <si>
    <t>WBS 3 Subtotal</t>
  </si>
  <si>
    <t>WBS 2 Subtotal</t>
  </si>
  <si>
    <t>ECP45 vs ECP43  comparison</t>
  </si>
  <si>
    <t>Subtotal</t>
  </si>
  <si>
    <t>ecp49</t>
  </si>
  <si>
    <t>Job: 1414 Coil Testing-Gettelfinger **CLOSED**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</si>
</sst>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u val="single"/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centerContinuous"/>
    </xf>
    <xf numFmtId="166" fontId="2" fillId="0" borderId="1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5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66" fontId="10" fillId="0" borderId="0" xfId="0" applyNumberFormat="1" applyFont="1" applyFill="1" applyAlignment="1">
      <alignment vertical="top"/>
    </xf>
    <xf numFmtId="6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166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6" fontId="10" fillId="0" borderId="0" xfId="0" applyNumberFormat="1" applyFont="1" applyFill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center" vertical="top" wrapText="1"/>
    </xf>
    <xf numFmtId="166" fontId="10" fillId="0" borderId="0" xfId="0" applyNumberFormat="1" applyFont="1" applyFill="1" applyAlignment="1">
      <alignment vertical="top" wrapText="1"/>
    </xf>
    <xf numFmtId="166" fontId="6" fillId="0" borderId="11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 quotePrefix="1">
      <alignment horizontal="left" vertical="top" wrapText="1"/>
    </xf>
    <xf numFmtId="166" fontId="8" fillId="0" borderId="0" xfId="0" applyNumberFormat="1" applyFont="1" applyFill="1" applyAlignment="1">
      <alignment horizontal="center" vertical="top" wrapText="1"/>
    </xf>
    <xf numFmtId="166" fontId="7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 quotePrefix="1">
      <alignment horizontal="left" vertical="top"/>
    </xf>
    <xf numFmtId="0" fontId="10" fillId="0" borderId="0" xfId="0" applyFont="1" applyFill="1" applyAlignment="1">
      <alignment horizontal="centerContinuous" vertical="top" wrapText="1"/>
    </xf>
    <xf numFmtId="166" fontId="12" fillId="0" borderId="0" xfId="0" applyNumberFormat="1" applyFont="1" applyFill="1" applyAlignment="1">
      <alignment horizontal="center" vertical="top" wrapText="1"/>
    </xf>
    <xf numFmtId="166" fontId="15" fillId="0" borderId="0" xfId="0" applyNumberFormat="1" applyFont="1" applyFill="1" applyBorder="1" applyAlignment="1">
      <alignment vertical="top"/>
    </xf>
    <xf numFmtId="166" fontId="2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66" fontId="20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/>
    </xf>
    <xf numFmtId="166" fontId="16" fillId="0" borderId="0" xfId="0" applyNumberFormat="1" applyFont="1" applyFill="1" applyAlignment="1">
      <alignment vertical="top"/>
    </xf>
    <xf numFmtId="166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166" fontId="16" fillId="0" borderId="0" xfId="0" applyNumberFormat="1" applyFont="1" applyFill="1" applyAlignment="1">
      <alignment vertical="top" wrapText="1"/>
    </xf>
    <xf numFmtId="166" fontId="21" fillId="0" borderId="0" xfId="0" applyNumberFormat="1" applyFont="1" applyFill="1" applyAlignment="1">
      <alignment vertical="top"/>
    </xf>
    <xf numFmtId="166" fontId="23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horizontal="centerContinuous" vertical="top"/>
    </xf>
    <xf numFmtId="166" fontId="21" fillId="0" borderId="0" xfId="0" applyNumberFormat="1" applyFont="1" applyFill="1" applyAlignment="1">
      <alignment vertical="top" wrapText="1"/>
    </xf>
    <xf numFmtId="166" fontId="24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166" fontId="17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0" fontId="25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13" xfId="0" applyNumberFormat="1" applyBorder="1" applyAlignment="1">
      <alignment/>
    </xf>
    <xf numFmtId="0" fontId="2" fillId="3" borderId="14" xfId="0" applyFont="1" applyFill="1" applyBorder="1" applyAlignment="1">
      <alignment/>
    </xf>
    <xf numFmtId="166" fontId="2" fillId="3" borderId="15" xfId="0" applyNumberFormat="1" applyFont="1" applyFill="1" applyBorder="1" applyAlignment="1">
      <alignment/>
    </xf>
    <xf numFmtId="166" fontId="2" fillId="3" borderId="16" xfId="0" applyNumberFormat="1" applyFont="1" applyFill="1" applyBorder="1" applyAlignment="1">
      <alignment/>
    </xf>
    <xf numFmtId="0" fontId="2" fillId="3" borderId="17" xfId="0" applyFont="1" applyFill="1" applyBorder="1" applyAlignment="1">
      <alignment/>
    </xf>
    <xf numFmtId="166" fontId="2" fillId="3" borderId="12" xfId="0" applyNumberFormat="1" applyFont="1" applyFill="1" applyBorder="1" applyAlignment="1">
      <alignment/>
    </xf>
    <xf numFmtId="166" fontId="2" fillId="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66" fontId="2" fillId="0" borderId="13" xfId="0" applyNumberFormat="1" applyFont="1" applyBorder="1" applyAlignment="1">
      <alignment/>
    </xf>
    <xf numFmtId="0" fontId="2" fillId="4" borderId="20" xfId="0" applyFont="1" applyFill="1" applyBorder="1" applyAlignment="1">
      <alignment/>
    </xf>
    <xf numFmtId="166" fontId="2" fillId="4" borderId="21" xfId="0" applyNumberFormat="1" applyFont="1" applyFill="1" applyBorder="1" applyAlignment="1">
      <alignment/>
    </xf>
    <xf numFmtId="166" fontId="2" fillId="4" borderId="22" xfId="0" applyNumberFormat="1" applyFont="1" applyFill="1" applyBorder="1" applyAlignment="1">
      <alignment/>
    </xf>
    <xf numFmtId="166" fontId="2" fillId="5" borderId="8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2" fillId="5" borderId="14" xfId="0" applyFont="1" applyFill="1" applyBorder="1" applyAlignment="1">
      <alignment/>
    </xf>
    <xf numFmtId="166" fontId="2" fillId="5" borderId="15" xfId="0" applyNumberFormat="1" applyFont="1" applyFill="1" applyBorder="1" applyAlignment="1">
      <alignment/>
    </xf>
    <xf numFmtId="166" fontId="2" fillId="5" borderId="16" xfId="0" applyNumberFormat="1" applyFont="1" applyFill="1" applyBorder="1" applyAlignment="1">
      <alignment/>
    </xf>
    <xf numFmtId="0" fontId="2" fillId="5" borderId="23" xfId="0" applyFont="1" applyFill="1" applyBorder="1" applyAlignment="1">
      <alignment/>
    </xf>
    <xf numFmtId="166" fontId="2" fillId="5" borderId="24" xfId="0" applyNumberFormat="1" applyFont="1" applyFill="1" applyBorder="1" applyAlignment="1">
      <alignment/>
    </xf>
    <xf numFmtId="0" fontId="2" fillId="5" borderId="25" xfId="0" applyFont="1" applyFill="1" applyBorder="1" applyAlignment="1">
      <alignment/>
    </xf>
    <xf numFmtId="166" fontId="2" fillId="5" borderId="26" xfId="0" applyNumberFormat="1" applyFont="1" applyFill="1" applyBorder="1" applyAlignment="1">
      <alignment/>
    </xf>
    <xf numFmtId="166" fontId="2" fillId="5" borderId="18" xfId="0" applyNumberFormat="1" applyFont="1" applyFill="1" applyBorder="1" applyAlignment="1">
      <alignment/>
    </xf>
    <xf numFmtId="166" fontId="2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09"/>
  <sheetViews>
    <sheetView showGridLines="0" zoomScale="75" zoomScaleNormal="75" workbookViewId="0" topLeftCell="E6">
      <selection activeCell="O23" sqref="O23"/>
    </sheetView>
  </sheetViews>
  <sheetFormatPr defaultColWidth="9.140625" defaultRowHeight="12.75"/>
  <cols>
    <col min="1" max="3" width="9.140625" style="82" customWidth="1"/>
    <col min="4" max="4" width="33.00390625" style="82" customWidth="1"/>
    <col min="5" max="5" width="11.28125" style="82" bestFit="1" customWidth="1"/>
    <col min="6" max="6" width="33.00390625" style="82" customWidth="1"/>
    <col min="7" max="7" width="9.140625" style="82" customWidth="1"/>
    <col min="8" max="8" width="2.28125" style="98" customWidth="1"/>
    <col min="9" max="9" width="11.00390625" style="96" customWidth="1"/>
    <col min="10" max="10" width="30.140625" style="96" customWidth="1"/>
    <col min="11" max="11" width="9.57421875" style="96" bestFit="1" customWidth="1"/>
    <col min="12" max="12" width="30.140625" style="96" customWidth="1"/>
    <col min="13" max="13" width="9.28125" style="82" bestFit="1" customWidth="1"/>
    <col min="14" max="16384" width="9.140625" style="82" customWidth="1"/>
  </cols>
  <sheetData>
    <row r="1" spans="3:12" ht="12.75">
      <c r="C1" s="34"/>
      <c r="D1" s="34"/>
      <c r="E1" s="34"/>
      <c r="F1" s="43"/>
      <c r="G1" s="35"/>
      <c r="H1" s="35" t="s">
        <v>194</v>
      </c>
      <c r="I1" s="61" t="s">
        <v>191</v>
      </c>
      <c r="J1" s="62"/>
      <c r="K1" s="63" t="s">
        <v>192</v>
      </c>
      <c r="L1" s="81"/>
    </row>
    <row r="2" spans="3:12" ht="18">
      <c r="C2" s="36" t="s">
        <v>192</v>
      </c>
      <c r="D2" s="34"/>
      <c r="E2" s="45"/>
      <c r="F2" s="46"/>
      <c r="G2" s="35"/>
      <c r="H2" s="83" t="s">
        <v>152</v>
      </c>
      <c r="I2" s="61"/>
      <c r="J2" s="64"/>
      <c r="K2" s="84">
        <f>SUM(I3,I4,K3)</f>
        <v>372</v>
      </c>
      <c r="L2" s="81"/>
    </row>
    <row r="3" spans="3:15" ht="60">
      <c r="C3" s="37" t="s">
        <v>193</v>
      </c>
      <c r="D3" s="38" t="s">
        <v>210</v>
      </c>
      <c r="E3" s="47">
        <v>106</v>
      </c>
      <c r="F3" s="48" t="s">
        <v>211</v>
      </c>
      <c r="G3" s="39" t="s">
        <v>193</v>
      </c>
      <c r="H3" s="35"/>
      <c r="I3" s="65">
        <v>154</v>
      </c>
      <c r="J3" s="66" t="s">
        <v>295</v>
      </c>
      <c r="K3" s="67">
        <v>161</v>
      </c>
      <c r="L3" s="66" t="s">
        <v>315</v>
      </c>
      <c r="N3" s="85"/>
      <c r="O3" s="86"/>
    </row>
    <row r="4" spans="3:12" ht="36">
      <c r="C4" s="37" t="s">
        <v>195</v>
      </c>
      <c r="D4" s="38" t="s">
        <v>212</v>
      </c>
      <c r="E4" s="47">
        <v>348</v>
      </c>
      <c r="F4" s="48" t="s">
        <v>213</v>
      </c>
      <c r="G4" s="39" t="s">
        <v>193</v>
      </c>
      <c r="H4" s="35"/>
      <c r="I4" s="65">
        <v>57</v>
      </c>
      <c r="J4" s="66" t="s">
        <v>296</v>
      </c>
      <c r="K4" s="68"/>
      <c r="L4" s="66"/>
    </row>
    <row r="5" spans="3:15" ht="38.25">
      <c r="C5" s="37" t="s">
        <v>195</v>
      </c>
      <c r="D5" s="38" t="s">
        <v>196</v>
      </c>
      <c r="E5" s="47">
        <v>165</v>
      </c>
      <c r="F5" s="48" t="s">
        <v>214</v>
      </c>
      <c r="G5" s="39"/>
      <c r="H5" s="87" t="s">
        <v>153</v>
      </c>
      <c r="I5" s="69"/>
      <c r="J5" s="70"/>
      <c r="K5" s="84">
        <f>SUM(I6:I7,K6:K9)</f>
        <v>565</v>
      </c>
      <c r="L5" s="66"/>
      <c r="N5" s="85"/>
      <c r="O5" s="86"/>
    </row>
    <row r="6" spans="3:14" ht="36">
      <c r="C6" s="37" t="s">
        <v>195</v>
      </c>
      <c r="D6" s="38" t="s">
        <v>215</v>
      </c>
      <c r="E6" s="49">
        <f>-90-5.266</f>
        <v>-95.266</v>
      </c>
      <c r="F6" s="48" t="s">
        <v>216</v>
      </c>
      <c r="G6" s="39" t="s">
        <v>195</v>
      </c>
      <c r="H6" s="35"/>
      <c r="I6" s="65">
        <v>64</v>
      </c>
      <c r="J6" s="66" t="s">
        <v>297</v>
      </c>
      <c r="K6" s="67">
        <v>443</v>
      </c>
      <c r="L6" s="66" t="s">
        <v>316</v>
      </c>
      <c r="N6" s="88">
        <f>SUM(I6:I7,K6:K7)</f>
        <v>793</v>
      </c>
    </row>
    <row r="7" spans="3:15" ht="60">
      <c r="C7" s="37" t="s">
        <v>217</v>
      </c>
      <c r="D7" s="38" t="s">
        <v>218</v>
      </c>
      <c r="E7" s="49">
        <v>-63</v>
      </c>
      <c r="F7" s="48" t="s">
        <v>219</v>
      </c>
      <c r="G7" s="39" t="s">
        <v>195</v>
      </c>
      <c r="H7" s="35"/>
      <c r="I7" s="65">
        <v>101</v>
      </c>
      <c r="J7" s="66" t="s">
        <v>298</v>
      </c>
      <c r="K7" s="67">
        <v>185</v>
      </c>
      <c r="L7" s="66" t="s">
        <v>317</v>
      </c>
      <c r="N7" s="85"/>
      <c r="O7" s="86"/>
    </row>
    <row r="8" spans="3:14" ht="36">
      <c r="C8" s="37" t="s">
        <v>195</v>
      </c>
      <c r="D8" s="38" t="s">
        <v>220</v>
      </c>
      <c r="E8" s="49">
        <v>-144</v>
      </c>
      <c r="F8" s="48" t="s">
        <v>221</v>
      </c>
      <c r="G8" s="39"/>
      <c r="H8" s="35"/>
      <c r="I8" s="71"/>
      <c r="J8" s="66"/>
      <c r="K8" s="72">
        <v>-90</v>
      </c>
      <c r="L8" s="66" t="s">
        <v>344</v>
      </c>
      <c r="N8" s="88">
        <f>SUM(K8:K9)</f>
        <v>-228</v>
      </c>
    </row>
    <row r="9" spans="3:15" ht="36">
      <c r="C9" s="37" t="s">
        <v>197</v>
      </c>
      <c r="D9" s="38" t="s">
        <v>198</v>
      </c>
      <c r="E9" s="47">
        <v>66</v>
      </c>
      <c r="F9" s="48" t="s">
        <v>222</v>
      </c>
      <c r="G9" s="39"/>
      <c r="H9" s="35"/>
      <c r="I9" s="71"/>
      <c r="J9" s="66"/>
      <c r="K9" s="72">
        <v>-138</v>
      </c>
      <c r="L9" s="66" t="s">
        <v>345</v>
      </c>
      <c r="O9" s="89"/>
    </row>
    <row r="10" spans="3:12" ht="38.25">
      <c r="C10" s="37" t="s">
        <v>197</v>
      </c>
      <c r="D10" s="38" t="s">
        <v>199</v>
      </c>
      <c r="E10" s="47">
        <f>600-151.17</f>
        <v>448.83000000000004</v>
      </c>
      <c r="F10" s="48" t="s">
        <v>223</v>
      </c>
      <c r="G10" s="39"/>
      <c r="H10" s="87" t="s">
        <v>154</v>
      </c>
      <c r="I10" s="69"/>
      <c r="J10" s="70"/>
      <c r="K10" s="84">
        <f>SUM(I11:I13,K11:K16)</f>
        <v>1436</v>
      </c>
      <c r="L10" s="66"/>
    </row>
    <row r="11" spans="3:15" ht="48">
      <c r="C11" s="37" t="s">
        <v>197</v>
      </c>
      <c r="D11" s="38" t="s">
        <v>224</v>
      </c>
      <c r="E11" s="49">
        <v>-97</v>
      </c>
      <c r="F11" s="48" t="s">
        <v>225</v>
      </c>
      <c r="G11" s="39" t="s">
        <v>197</v>
      </c>
      <c r="H11" s="35"/>
      <c r="I11" s="65">
        <v>130</v>
      </c>
      <c r="J11" s="66" t="s">
        <v>299</v>
      </c>
      <c r="K11" s="67">
        <v>27</v>
      </c>
      <c r="L11" s="66" t="s">
        <v>319</v>
      </c>
      <c r="M11" s="90">
        <f>SUM(I11,K11)</f>
        <v>157</v>
      </c>
      <c r="N11" s="88">
        <f>SUM(I11:I13)</f>
        <v>644</v>
      </c>
      <c r="O11" s="89"/>
    </row>
    <row r="12" spans="3:12" ht="60">
      <c r="C12" s="37" t="s">
        <v>197</v>
      </c>
      <c r="D12" s="38" t="s">
        <v>226</v>
      </c>
      <c r="E12" s="47">
        <v>125</v>
      </c>
      <c r="F12" s="48" t="s">
        <v>227</v>
      </c>
      <c r="G12" s="39" t="s">
        <v>197</v>
      </c>
      <c r="H12" s="35"/>
      <c r="I12" s="65">
        <v>492</v>
      </c>
      <c r="J12" s="66" t="s">
        <v>300</v>
      </c>
      <c r="K12" s="67">
        <f>614+74</f>
        <v>688</v>
      </c>
      <c r="L12" s="66" t="s">
        <v>347</v>
      </c>
    </row>
    <row r="13" spans="3:15" ht="36">
      <c r="C13" s="37" t="s">
        <v>197</v>
      </c>
      <c r="D13" s="38" t="s">
        <v>228</v>
      </c>
      <c r="E13" s="47">
        <v>70</v>
      </c>
      <c r="F13" s="48" t="s">
        <v>229</v>
      </c>
      <c r="G13" s="39" t="s">
        <v>197</v>
      </c>
      <c r="H13" s="35"/>
      <c r="I13" s="65">
        <v>22</v>
      </c>
      <c r="J13" s="66" t="s">
        <v>301</v>
      </c>
      <c r="K13" s="72">
        <v>-90</v>
      </c>
      <c r="L13" s="66" t="s">
        <v>346</v>
      </c>
      <c r="M13" s="90">
        <f>SUM(I13,K13:K15)</f>
        <v>108</v>
      </c>
      <c r="N13" s="90">
        <f>SUM(K13:K15)</f>
        <v>86</v>
      </c>
      <c r="O13" s="86"/>
    </row>
    <row r="14" spans="3:12" ht="38.25">
      <c r="C14" s="37" t="s">
        <v>201</v>
      </c>
      <c r="D14" s="38" t="s">
        <v>230</v>
      </c>
      <c r="E14" s="47">
        <f>163</f>
        <v>163</v>
      </c>
      <c r="F14" s="48" t="s">
        <v>231</v>
      </c>
      <c r="G14" s="39"/>
      <c r="H14" s="35"/>
      <c r="I14" s="71"/>
      <c r="J14" s="66"/>
      <c r="K14" s="67">
        <v>106</v>
      </c>
      <c r="L14" s="66" t="s">
        <v>320</v>
      </c>
    </row>
    <row r="15" spans="3:15" ht="36">
      <c r="C15" s="37" t="s">
        <v>201</v>
      </c>
      <c r="D15" s="38" t="s">
        <v>232</v>
      </c>
      <c r="E15" s="47">
        <v>112</v>
      </c>
      <c r="F15" s="48" t="s">
        <v>233</v>
      </c>
      <c r="G15" s="39"/>
      <c r="H15" s="35"/>
      <c r="I15" s="71"/>
      <c r="J15" s="66"/>
      <c r="K15" s="67">
        <v>70</v>
      </c>
      <c r="L15" s="66" t="s">
        <v>321</v>
      </c>
      <c r="N15" s="85"/>
      <c r="O15" s="86"/>
    </row>
    <row r="16" spans="3:12" ht="25.5">
      <c r="C16" s="37" t="s">
        <v>201</v>
      </c>
      <c r="D16" s="38" t="s">
        <v>234</v>
      </c>
      <c r="E16" s="47">
        <v>140</v>
      </c>
      <c r="F16" s="39" t="s">
        <v>235</v>
      </c>
      <c r="G16" s="39"/>
      <c r="H16" s="35"/>
      <c r="I16" s="71"/>
      <c r="J16" s="66"/>
      <c r="K16" s="67">
        <v>-9</v>
      </c>
      <c r="L16" s="66" t="s">
        <v>348</v>
      </c>
    </row>
    <row r="17" spans="3:15" ht="38.25">
      <c r="C17" s="37" t="s">
        <v>201</v>
      </c>
      <c r="D17" s="38" t="s">
        <v>236</v>
      </c>
      <c r="E17" s="47">
        <v>74</v>
      </c>
      <c r="F17" s="48" t="s">
        <v>237</v>
      </c>
      <c r="G17" s="39"/>
      <c r="H17" s="91" t="s">
        <v>155</v>
      </c>
      <c r="I17" s="69"/>
      <c r="J17" s="70"/>
      <c r="K17" s="92">
        <v>3</v>
      </c>
      <c r="L17" s="66" t="s">
        <v>349</v>
      </c>
      <c r="N17" s="85"/>
      <c r="O17" s="85"/>
    </row>
    <row r="18" spans="3:12" ht="51">
      <c r="C18" s="37" t="s">
        <v>201</v>
      </c>
      <c r="D18" s="38" t="s">
        <v>238</v>
      </c>
      <c r="E18" s="47">
        <v>168</v>
      </c>
      <c r="F18" s="48" t="s">
        <v>239</v>
      </c>
      <c r="G18" s="39"/>
      <c r="H18" s="91" t="s">
        <v>107</v>
      </c>
      <c r="I18" s="93"/>
      <c r="J18" s="70"/>
      <c r="K18" s="92">
        <v>3</v>
      </c>
      <c r="L18" s="66" t="s">
        <v>349</v>
      </c>
    </row>
    <row r="19" spans="3:15" ht="25.5">
      <c r="C19" s="37" t="s">
        <v>207</v>
      </c>
      <c r="D19" s="38" t="s">
        <v>208</v>
      </c>
      <c r="E19" s="47">
        <f>109-31.089</f>
        <v>77.911</v>
      </c>
      <c r="F19" s="39" t="s">
        <v>240</v>
      </c>
      <c r="G19" s="39"/>
      <c r="H19" s="87" t="s">
        <v>156</v>
      </c>
      <c r="I19" s="94"/>
      <c r="J19" s="70"/>
      <c r="K19" s="84">
        <f>SUM(K20,I20)</f>
        <v>-34</v>
      </c>
      <c r="L19" s="66"/>
      <c r="O19" s="95"/>
    </row>
    <row r="20" spans="3:12" ht="36">
      <c r="C20" s="37" t="s">
        <v>207</v>
      </c>
      <c r="D20" s="38" t="s">
        <v>241</v>
      </c>
      <c r="E20" s="47">
        <f>66-7.328</f>
        <v>58.672</v>
      </c>
      <c r="F20" s="39" t="s">
        <v>242</v>
      </c>
      <c r="G20" s="39" t="s">
        <v>200</v>
      </c>
      <c r="H20" s="35"/>
      <c r="I20" s="65">
        <v>47</v>
      </c>
      <c r="J20" s="66" t="s">
        <v>302</v>
      </c>
      <c r="K20" s="72">
        <v>-81</v>
      </c>
      <c r="L20" s="66" t="s">
        <v>318</v>
      </c>
    </row>
    <row r="21" spans="3:15" ht="25.5">
      <c r="C21" s="37" t="s">
        <v>207</v>
      </c>
      <c r="D21" s="38" t="s">
        <v>209</v>
      </c>
      <c r="E21" s="47">
        <f>77-4.13</f>
        <v>72.87</v>
      </c>
      <c r="F21" s="39" t="s">
        <v>243</v>
      </c>
      <c r="G21" s="39"/>
      <c r="H21" s="87" t="s">
        <v>157</v>
      </c>
      <c r="I21" s="73"/>
      <c r="J21" s="70"/>
      <c r="K21" s="84">
        <f>SUM(I22,K22:K26)</f>
        <v>641</v>
      </c>
      <c r="L21" s="74"/>
      <c r="O21" s="95"/>
    </row>
    <row r="22" spans="3:13" ht="36">
      <c r="C22" s="37" t="s">
        <v>207</v>
      </c>
      <c r="D22" s="38" t="s">
        <v>244</v>
      </c>
      <c r="E22" s="51">
        <f>75-8.834</f>
        <v>66.166</v>
      </c>
      <c r="F22" s="39" t="s">
        <v>245</v>
      </c>
      <c r="G22" s="39" t="s">
        <v>201</v>
      </c>
      <c r="H22" s="35"/>
      <c r="I22" s="65">
        <v>79</v>
      </c>
      <c r="J22" s="66" t="s">
        <v>303</v>
      </c>
      <c r="K22" s="67">
        <v>190</v>
      </c>
      <c r="L22" s="66" t="s">
        <v>350</v>
      </c>
      <c r="M22" s="88">
        <f>SUM(K22,K23)</f>
        <v>225</v>
      </c>
    </row>
    <row r="23" spans="3:15" ht="72">
      <c r="C23" s="37"/>
      <c r="D23" s="38"/>
      <c r="E23" s="52">
        <f>SUM(E3:E22)</f>
        <v>1862.1830000000002</v>
      </c>
      <c r="F23" s="43"/>
      <c r="G23" s="39"/>
      <c r="H23" s="35"/>
      <c r="I23" s="71"/>
      <c r="J23" s="66"/>
      <c r="K23" s="67">
        <v>35</v>
      </c>
      <c r="L23" s="66" t="s">
        <v>323</v>
      </c>
      <c r="O23" s="95"/>
    </row>
    <row r="24" spans="3:13" ht="24">
      <c r="C24" s="37"/>
      <c r="D24" s="38"/>
      <c r="E24" s="47"/>
      <c r="F24" s="48"/>
      <c r="G24" s="39"/>
      <c r="H24" s="35"/>
      <c r="I24" s="71"/>
      <c r="J24" s="66"/>
      <c r="K24" s="67">
        <v>185</v>
      </c>
      <c r="L24" s="66" t="s">
        <v>351</v>
      </c>
      <c r="M24" s="88">
        <f>SUM(K24:K25)</f>
        <v>325</v>
      </c>
    </row>
    <row r="25" spans="3:12" ht="48">
      <c r="C25" s="37"/>
      <c r="D25" s="38"/>
      <c r="E25" s="39"/>
      <c r="F25" s="53"/>
      <c r="G25" s="39"/>
      <c r="H25" s="35"/>
      <c r="I25" s="71"/>
      <c r="J25" s="66"/>
      <c r="K25" s="67">
        <v>140</v>
      </c>
      <c r="L25" s="66" t="s">
        <v>352</v>
      </c>
    </row>
    <row r="26" spans="3:12" ht="48">
      <c r="C26" s="36" t="s">
        <v>246</v>
      </c>
      <c r="D26" s="38"/>
      <c r="E26" s="39"/>
      <c r="F26" s="53"/>
      <c r="G26" s="39"/>
      <c r="H26" s="35"/>
      <c r="I26" s="71"/>
      <c r="J26" s="66"/>
      <c r="K26" s="67">
        <v>12</v>
      </c>
      <c r="L26" s="66" t="s">
        <v>322</v>
      </c>
    </row>
    <row r="27" spans="3:10" ht="38.25">
      <c r="C27" s="37" t="s">
        <v>247</v>
      </c>
      <c r="D27" s="38" t="s">
        <v>248</v>
      </c>
      <c r="E27" s="54">
        <v>-306</v>
      </c>
      <c r="F27" s="48" t="s">
        <v>249</v>
      </c>
      <c r="G27" s="39"/>
      <c r="H27" s="35"/>
      <c r="I27" s="71"/>
      <c r="J27" s="66"/>
    </row>
    <row r="28" spans="3:12" ht="25.5">
      <c r="C28" s="37" t="s">
        <v>202</v>
      </c>
      <c r="D28" s="38" t="s">
        <v>250</v>
      </c>
      <c r="E28" s="54">
        <v>-7.379</v>
      </c>
      <c r="F28" s="48" t="s">
        <v>251</v>
      </c>
      <c r="G28" s="39"/>
      <c r="H28" s="91" t="s">
        <v>353</v>
      </c>
      <c r="I28" s="93"/>
      <c r="J28" s="70"/>
      <c r="K28" s="92">
        <v>4</v>
      </c>
      <c r="L28" s="66" t="s">
        <v>349</v>
      </c>
    </row>
    <row r="29" spans="3:12" ht="12.75">
      <c r="C29" s="37" t="s">
        <v>202</v>
      </c>
      <c r="D29" s="38" t="s">
        <v>252</v>
      </c>
      <c r="E29" s="49">
        <f>-206+30</f>
        <v>-176</v>
      </c>
      <c r="F29" s="48" t="s">
        <v>253</v>
      </c>
      <c r="G29" s="39"/>
      <c r="H29" s="87" t="s">
        <v>165</v>
      </c>
      <c r="I29" s="94"/>
      <c r="J29" s="70"/>
      <c r="K29" s="84">
        <f>SUM(K30)</f>
        <v>-306</v>
      </c>
      <c r="L29" s="66"/>
    </row>
    <row r="30" spans="3:12" ht="48">
      <c r="C30" s="37" t="s">
        <v>202</v>
      </c>
      <c r="D30" s="38" t="s">
        <v>254</v>
      </c>
      <c r="E30" s="49">
        <v>-36</v>
      </c>
      <c r="F30" s="48" t="s">
        <v>255</v>
      </c>
      <c r="G30" s="39" t="s">
        <v>247</v>
      </c>
      <c r="H30" s="35"/>
      <c r="K30" s="75">
        <v>-306</v>
      </c>
      <c r="L30" s="66" t="s">
        <v>324</v>
      </c>
    </row>
    <row r="31" spans="3:12" ht="25.5">
      <c r="C31" s="37" t="s">
        <v>203</v>
      </c>
      <c r="D31" s="38" t="s">
        <v>256</v>
      </c>
      <c r="E31" s="49">
        <v>-339.734</v>
      </c>
      <c r="F31" s="48" t="s">
        <v>257</v>
      </c>
      <c r="G31" s="39"/>
      <c r="H31" s="87" t="s">
        <v>166</v>
      </c>
      <c r="I31" s="94"/>
      <c r="J31" s="94"/>
      <c r="K31" s="84">
        <f>SUM(I32,K32:K34)</f>
        <v>-146</v>
      </c>
      <c r="L31" s="66"/>
    </row>
    <row r="32" spans="3:12" ht="36">
      <c r="C32" s="37" t="s">
        <v>203</v>
      </c>
      <c r="D32" s="38" t="s">
        <v>258</v>
      </c>
      <c r="E32" s="49">
        <v>-67.977</v>
      </c>
      <c r="F32" s="48" t="s">
        <v>259</v>
      </c>
      <c r="G32" s="39" t="s">
        <v>202</v>
      </c>
      <c r="H32" s="35"/>
      <c r="I32" s="65">
        <v>70</v>
      </c>
      <c r="J32" s="66" t="s">
        <v>304</v>
      </c>
      <c r="K32" s="75">
        <v>-3</v>
      </c>
      <c r="L32" s="66" t="s">
        <v>354</v>
      </c>
    </row>
    <row r="33" spans="3:12" ht="36">
      <c r="C33" s="37" t="s">
        <v>203</v>
      </c>
      <c r="D33" s="38" t="s">
        <v>260</v>
      </c>
      <c r="E33" s="47">
        <v>70</v>
      </c>
      <c r="F33" s="48" t="s">
        <v>261</v>
      </c>
      <c r="G33" s="39"/>
      <c r="H33" s="35"/>
      <c r="I33" s="71"/>
      <c r="J33" s="66"/>
      <c r="K33" s="75">
        <v>-177</v>
      </c>
      <c r="L33" s="66" t="s">
        <v>325</v>
      </c>
    </row>
    <row r="34" spans="3:12" ht="24">
      <c r="C34" s="37" t="s">
        <v>262</v>
      </c>
      <c r="D34" s="38" t="s">
        <v>263</v>
      </c>
      <c r="E34" s="49">
        <v>-106.486</v>
      </c>
      <c r="F34" s="48" t="s">
        <v>264</v>
      </c>
      <c r="G34" s="39"/>
      <c r="H34" s="35"/>
      <c r="I34" s="71"/>
      <c r="J34" s="66"/>
      <c r="K34" s="75">
        <v>-36</v>
      </c>
      <c r="L34" s="66" t="s">
        <v>326</v>
      </c>
    </row>
    <row r="35" spans="3:12" ht="12.75">
      <c r="C35" s="37" t="s">
        <v>265</v>
      </c>
      <c r="D35" s="38" t="s">
        <v>266</v>
      </c>
      <c r="E35" s="49">
        <v>-383.452</v>
      </c>
      <c r="F35" s="48" t="s">
        <v>267</v>
      </c>
      <c r="G35" s="39"/>
      <c r="H35" s="87" t="s">
        <v>167</v>
      </c>
      <c r="I35" s="94"/>
      <c r="J35" s="70"/>
      <c r="K35" s="84">
        <f>SUM(K36:K38,I36)</f>
        <v>-212</v>
      </c>
      <c r="L35" s="66"/>
    </row>
    <row r="36" spans="3:15" ht="36">
      <c r="C36" s="37" t="s">
        <v>268</v>
      </c>
      <c r="D36" s="38" t="s">
        <v>269</v>
      </c>
      <c r="E36" s="49">
        <v>-176.857</v>
      </c>
      <c r="F36" s="48" t="s">
        <v>270</v>
      </c>
      <c r="G36" s="39" t="s">
        <v>203</v>
      </c>
      <c r="H36" s="35"/>
      <c r="I36" s="65">
        <v>141</v>
      </c>
      <c r="J36" s="66" t="s">
        <v>305</v>
      </c>
      <c r="K36" s="75">
        <v>-358</v>
      </c>
      <c r="L36" s="66" t="s">
        <v>327</v>
      </c>
      <c r="O36" s="95"/>
    </row>
    <row r="37" spans="3:12" ht="25.5">
      <c r="C37" s="37" t="s">
        <v>271</v>
      </c>
      <c r="D37" s="38" t="s">
        <v>272</v>
      </c>
      <c r="E37" s="49">
        <v>-102.971</v>
      </c>
      <c r="F37" s="48" t="s">
        <v>273</v>
      </c>
      <c r="G37" s="39"/>
      <c r="H37" s="35"/>
      <c r="I37" s="71"/>
      <c r="J37" s="66"/>
      <c r="K37" s="75">
        <v>-67</v>
      </c>
      <c r="L37" s="66" t="s">
        <v>328</v>
      </c>
    </row>
    <row r="38" spans="3:12" ht="25.5">
      <c r="C38" s="37" t="s">
        <v>274</v>
      </c>
      <c r="D38" s="38" t="s">
        <v>275</v>
      </c>
      <c r="E38" s="49">
        <v>-85.716</v>
      </c>
      <c r="F38" s="48" t="s">
        <v>276</v>
      </c>
      <c r="G38" s="39"/>
      <c r="H38" s="35"/>
      <c r="I38" s="71"/>
      <c r="J38" s="66"/>
      <c r="K38" s="65">
        <v>72</v>
      </c>
      <c r="L38" s="66" t="s">
        <v>329</v>
      </c>
    </row>
    <row r="39" spans="3:12" ht="12.75">
      <c r="C39" s="37" t="s">
        <v>277</v>
      </c>
      <c r="D39" s="38" t="s">
        <v>278</v>
      </c>
      <c r="E39" s="49">
        <v>-200.08</v>
      </c>
      <c r="F39" s="48" t="s">
        <v>279</v>
      </c>
      <c r="G39" s="39"/>
      <c r="H39" s="87" t="s">
        <v>168</v>
      </c>
      <c r="I39" s="94"/>
      <c r="J39" s="70"/>
      <c r="K39" s="84">
        <f>SUM(K40:K46)</f>
        <v>-1072.8</v>
      </c>
      <c r="L39" s="66"/>
    </row>
    <row r="40" spans="3:15" ht="24">
      <c r="C40" s="37" t="s">
        <v>280</v>
      </c>
      <c r="D40" s="38" t="s">
        <v>281</v>
      </c>
      <c r="E40" s="47">
        <v>24.2</v>
      </c>
      <c r="F40" s="48" t="s">
        <v>282</v>
      </c>
      <c r="G40" s="39" t="s">
        <v>311</v>
      </c>
      <c r="H40" s="35"/>
      <c r="I40" s="71"/>
      <c r="J40" s="66"/>
      <c r="K40" s="75">
        <v>-130</v>
      </c>
      <c r="L40" s="66" t="s">
        <v>330</v>
      </c>
      <c r="N40" s="85"/>
      <c r="O40" s="85"/>
    </row>
    <row r="41" spans="3:15" ht="25.5">
      <c r="C41" s="37" t="s">
        <v>283</v>
      </c>
      <c r="D41" s="38" t="s">
        <v>284</v>
      </c>
      <c r="E41" s="49">
        <v>-78.4</v>
      </c>
      <c r="F41" s="48" t="s">
        <v>285</v>
      </c>
      <c r="G41" s="39"/>
      <c r="H41" s="35"/>
      <c r="I41" s="71"/>
      <c r="J41" s="66"/>
      <c r="K41" s="75">
        <v>-392</v>
      </c>
      <c r="L41" s="66" t="s">
        <v>331</v>
      </c>
      <c r="N41" s="85" t="s">
        <v>175</v>
      </c>
      <c r="O41" s="97" t="s">
        <v>190</v>
      </c>
    </row>
    <row r="42" spans="3:12" ht="36">
      <c r="C42" s="37" t="s">
        <v>286</v>
      </c>
      <c r="D42" s="38" t="s">
        <v>287</v>
      </c>
      <c r="E42" s="54">
        <v>-19.578</v>
      </c>
      <c r="F42" s="48" t="s">
        <v>313</v>
      </c>
      <c r="G42" s="39"/>
      <c r="H42" s="35"/>
      <c r="I42" s="71"/>
      <c r="J42" s="66"/>
      <c r="K42" s="75">
        <v>-179</v>
      </c>
      <c r="L42" s="66" t="s">
        <v>332</v>
      </c>
    </row>
    <row r="43" spans="3:12" ht="36">
      <c r="C43" s="37" t="s">
        <v>286</v>
      </c>
      <c r="D43" s="38" t="s">
        <v>288</v>
      </c>
      <c r="E43" s="49">
        <v>-135</v>
      </c>
      <c r="F43" s="48" t="s">
        <v>289</v>
      </c>
      <c r="G43" s="39"/>
      <c r="H43" s="35"/>
      <c r="I43" s="71"/>
      <c r="J43" s="66"/>
      <c r="K43" s="75">
        <v>-114</v>
      </c>
      <c r="L43" s="66" t="s">
        <v>333</v>
      </c>
    </row>
    <row r="44" spans="3:12" ht="36">
      <c r="C44" s="37" t="s">
        <v>205</v>
      </c>
      <c r="D44" s="38" t="s">
        <v>206</v>
      </c>
      <c r="E44" s="49">
        <f>-5-59.9-23.9</f>
        <v>-88.80000000000001</v>
      </c>
      <c r="F44" s="48" t="s">
        <v>290</v>
      </c>
      <c r="G44" s="39"/>
      <c r="H44" s="35"/>
      <c r="I44" s="71"/>
      <c r="J44" s="66"/>
      <c r="K44" s="75">
        <v>-86</v>
      </c>
      <c r="L44" s="66" t="s">
        <v>334</v>
      </c>
    </row>
    <row r="45" spans="3:12" ht="38.25">
      <c r="C45" s="37" t="s">
        <v>291</v>
      </c>
      <c r="D45" s="38" t="s">
        <v>292</v>
      </c>
      <c r="E45" s="44">
        <v>-396.6</v>
      </c>
      <c r="F45" s="48" t="s">
        <v>293</v>
      </c>
      <c r="G45" s="39"/>
      <c r="H45" s="35"/>
      <c r="I45" s="71"/>
      <c r="J45" s="66"/>
      <c r="K45" s="75">
        <v>-196</v>
      </c>
      <c r="L45" s="66" t="s">
        <v>335</v>
      </c>
    </row>
    <row r="46" spans="3:12" ht="24.75" thickBot="1">
      <c r="C46" s="37"/>
      <c r="D46" s="38"/>
      <c r="E46" s="55">
        <f>SUM(E27:E45)</f>
        <v>-2612.83</v>
      </c>
      <c r="F46" s="48"/>
      <c r="G46" s="39"/>
      <c r="H46" s="35"/>
      <c r="I46" s="71"/>
      <c r="J46" s="66"/>
      <c r="K46" s="65">
        <v>24.2</v>
      </c>
      <c r="L46" s="66" t="s">
        <v>336</v>
      </c>
    </row>
    <row r="47" spans="3:12" ht="20.25">
      <c r="C47" s="56" t="s">
        <v>294</v>
      </c>
      <c r="D47" s="57"/>
      <c r="E47" s="58">
        <f>SUM(E23,E46)</f>
        <v>-750.6469999999997</v>
      </c>
      <c r="F47" s="46"/>
      <c r="G47" s="39"/>
      <c r="H47" s="87" t="s">
        <v>169</v>
      </c>
      <c r="I47" s="94"/>
      <c r="J47" s="70"/>
      <c r="K47" s="84">
        <f>SUM(K48)</f>
        <v>-79</v>
      </c>
      <c r="L47" s="66"/>
    </row>
    <row r="48" spans="3:12" ht="36">
      <c r="C48" s="40"/>
      <c r="D48" s="40"/>
      <c r="E48" s="34"/>
      <c r="F48" s="43"/>
      <c r="G48" s="39" t="s">
        <v>312</v>
      </c>
      <c r="J48" s="66"/>
      <c r="K48" s="71">
        <v>-79</v>
      </c>
      <c r="L48" s="66" t="s">
        <v>337</v>
      </c>
    </row>
    <row r="49" spans="3:12" ht="12.75">
      <c r="C49" s="40"/>
      <c r="D49" s="40"/>
      <c r="E49" s="34"/>
      <c r="F49" s="43"/>
      <c r="G49" s="39"/>
      <c r="H49" s="87" t="s">
        <v>170</v>
      </c>
      <c r="I49" s="94"/>
      <c r="J49" s="70"/>
      <c r="K49" s="84">
        <f>SUM(I50,K50)</f>
        <v>-194</v>
      </c>
      <c r="L49" s="66"/>
    </row>
    <row r="50" spans="3:12" ht="60">
      <c r="C50" s="34"/>
      <c r="D50" s="34"/>
      <c r="E50" s="41" t="e">
        <f>SUM(E47,#REF!)</f>
        <v>#REF!</v>
      </c>
      <c r="F50" s="46"/>
      <c r="G50" s="39" t="s">
        <v>204</v>
      </c>
      <c r="H50" s="35"/>
      <c r="I50" s="65">
        <v>37</v>
      </c>
      <c r="J50" s="66" t="s">
        <v>306</v>
      </c>
      <c r="K50" s="75">
        <v>-231</v>
      </c>
      <c r="L50" s="66" t="s">
        <v>338</v>
      </c>
    </row>
    <row r="51" spans="3:12" ht="12.75">
      <c r="C51" s="34"/>
      <c r="D51" s="34"/>
      <c r="E51" s="50">
        <f>SUM(E23,F51)</f>
        <v>-750.6469999999997</v>
      </c>
      <c r="F51" s="41">
        <f>SUM(E26:E45)</f>
        <v>-2612.83</v>
      </c>
      <c r="G51" s="39"/>
      <c r="H51" s="87" t="s">
        <v>171</v>
      </c>
      <c r="I51" s="94"/>
      <c r="J51" s="70"/>
      <c r="K51" s="84">
        <f>SUM(I52:I57,K52:K57)</f>
        <v>224</v>
      </c>
      <c r="L51" s="66"/>
    </row>
    <row r="52" spans="3:12" ht="36">
      <c r="C52" s="34"/>
      <c r="D52" s="34"/>
      <c r="E52" s="40"/>
      <c r="F52" s="46"/>
      <c r="G52" s="39" t="s">
        <v>205</v>
      </c>
      <c r="H52" s="35"/>
      <c r="I52" s="65">
        <v>83</v>
      </c>
      <c r="J52" s="66" t="s">
        <v>307</v>
      </c>
      <c r="K52" s="75">
        <v>-53</v>
      </c>
      <c r="L52" s="66" t="s">
        <v>206</v>
      </c>
    </row>
    <row r="53" spans="7:13" ht="36">
      <c r="G53" s="39" t="s">
        <v>207</v>
      </c>
      <c r="H53" s="35"/>
      <c r="I53" s="65">
        <v>40</v>
      </c>
      <c r="J53" s="66" t="s">
        <v>308</v>
      </c>
      <c r="K53" s="65">
        <v>132</v>
      </c>
      <c r="L53" s="66" t="s">
        <v>339</v>
      </c>
      <c r="M53" s="88">
        <f>SUM(K53:K56)</f>
        <v>402</v>
      </c>
    </row>
    <row r="54" spans="7:13" ht="48">
      <c r="G54" s="39" t="s">
        <v>207</v>
      </c>
      <c r="H54" s="35"/>
      <c r="I54" s="65">
        <v>143</v>
      </c>
      <c r="J54" s="66" t="s">
        <v>309</v>
      </c>
      <c r="K54" s="65">
        <v>61</v>
      </c>
      <c r="L54" s="66" t="s">
        <v>340</v>
      </c>
      <c r="M54" s="88">
        <f>SUM(K53,I53)</f>
        <v>172</v>
      </c>
    </row>
    <row r="55" spans="7:13" ht="24">
      <c r="G55" s="39"/>
      <c r="H55" s="35"/>
      <c r="I55" s="71"/>
      <c r="J55" s="66"/>
      <c r="K55" s="65">
        <v>151</v>
      </c>
      <c r="L55" s="66" t="s">
        <v>341</v>
      </c>
      <c r="M55" s="88">
        <f>SUM(I54,K55)</f>
        <v>294</v>
      </c>
    </row>
    <row r="56" spans="8:12" ht="36">
      <c r="H56" s="35"/>
      <c r="K56" s="65">
        <v>58</v>
      </c>
      <c r="L56" s="66" t="s">
        <v>342</v>
      </c>
    </row>
    <row r="57" spans="7:12" ht="48">
      <c r="G57" s="39" t="s">
        <v>291</v>
      </c>
      <c r="H57" s="35"/>
      <c r="K57" s="75">
        <v>-391</v>
      </c>
      <c r="L57" s="66" t="s">
        <v>343</v>
      </c>
    </row>
    <row r="58" spans="8:12" ht="36">
      <c r="H58" s="59" t="s">
        <v>310</v>
      </c>
      <c r="I58" s="71"/>
      <c r="J58" s="66"/>
      <c r="K58" s="76">
        <v>-406</v>
      </c>
      <c r="L58" s="66" t="s">
        <v>314</v>
      </c>
    </row>
    <row r="59" spans="7:12" ht="12.75">
      <c r="G59" s="39"/>
      <c r="H59" s="35"/>
      <c r="I59" s="68"/>
      <c r="J59" s="77"/>
      <c r="K59" s="68"/>
      <c r="L59" s="77"/>
    </row>
    <row r="60" spans="7:12" ht="12.75">
      <c r="G60" s="48"/>
      <c r="H60" s="35"/>
      <c r="I60" s="77"/>
      <c r="J60" s="68"/>
      <c r="K60" s="68">
        <f>SUM(K58,K51,K49,K47,K39,K35,K31,K29,K28,K21,K19,K18,K17,K10,K5,K2)</f>
        <v>798.1999999999998</v>
      </c>
      <c r="L60" s="77"/>
    </row>
    <row r="61" spans="7:12" ht="12.75">
      <c r="G61" s="48"/>
      <c r="H61" s="35"/>
      <c r="I61" s="77"/>
      <c r="J61" s="77"/>
      <c r="K61" s="77"/>
      <c r="L61" s="77"/>
    </row>
    <row r="62" spans="7:12" ht="12.75">
      <c r="G62" s="48"/>
      <c r="H62" s="35"/>
      <c r="I62" s="77"/>
      <c r="J62" s="77"/>
      <c r="K62" s="77"/>
      <c r="L62" s="77"/>
    </row>
    <row r="63" spans="7:12" ht="12.75">
      <c r="G63" s="48"/>
      <c r="H63" s="35"/>
      <c r="I63" s="77"/>
      <c r="J63" s="77"/>
      <c r="K63" s="77"/>
      <c r="L63" s="77"/>
    </row>
    <row r="64" spans="7:12" ht="12.75">
      <c r="G64" s="48"/>
      <c r="H64" s="35"/>
      <c r="I64" s="77"/>
      <c r="J64" s="77"/>
      <c r="K64" s="77"/>
      <c r="L64" s="77"/>
    </row>
    <row r="65" spans="7:12" ht="12.75">
      <c r="G65" s="48"/>
      <c r="H65" s="35"/>
      <c r="I65" s="77"/>
      <c r="J65" s="77"/>
      <c r="K65" s="77"/>
      <c r="L65" s="77"/>
    </row>
    <row r="66" spans="7:12" ht="12.75">
      <c r="G66" s="48"/>
      <c r="H66" s="35"/>
      <c r="I66" s="77"/>
      <c r="J66" s="77"/>
      <c r="K66" s="77"/>
      <c r="L66" s="77"/>
    </row>
    <row r="67" spans="7:12" ht="12.75">
      <c r="G67" s="48"/>
      <c r="H67" s="35"/>
      <c r="I67" s="77"/>
      <c r="J67" s="77"/>
      <c r="K67" s="77"/>
      <c r="L67" s="77"/>
    </row>
    <row r="68" spans="7:12" ht="12.75">
      <c r="G68" s="48"/>
      <c r="H68" s="35"/>
      <c r="I68" s="77"/>
      <c r="J68" s="77"/>
      <c r="K68" s="77"/>
      <c r="L68" s="77"/>
    </row>
    <row r="69" spans="7:12" ht="12.75">
      <c r="G69" s="48"/>
      <c r="H69" s="35"/>
      <c r="I69" s="77"/>
      <c r="J69" s="77"/>
      <c r="K69" s="77"/>
      <c r="L69" s="77"/>
    </row>
    <row r="70" spans="7:12" ht="12.75">
      <c r="G70" s="48"/>
      <c r="H70" s="35"/>
      <c r="I70" s="77"/>
      <c r="J70" s="77"/>
      <c r="K70" s="77"/>
      <c r="L70" s="77"/>
    </row>
    <row r="71" spans="7:12" ht="12.75">
      <c r="G71" s="48"/>
      <c r="H71" s="35"/>
      <c r="I71" s="77"/>
      <c r="J71" s="77"/>
      <c r="K71" s="77"/>
      <c r="L71" s="77"/>
    </row>
    <row r="72" spans="7:12" ht="12.75">
      <c r="G72" s="48"/>
      <c r="H72" s="35"/>
      <c r="I72" s="77"/>
      <c r="J72" s="77"/>
      <c r="K72" s="77"/>
      <c r="L72" s="77"/>
    </row>
    <row r="73" spans="7:12" ht="12.75">
      <c r="G73" s="39"/>
      <c r="H73" s="35"/>
      <c r="I73" s="77"/>
      <c r="J73" s="77"/>
      <c r="K73" s="77"/>
      <c r="L73" s="77"/>
    </row>
    <row r="74" spans="7:12" ht="12.75">
      <c r="G74" s="48"/>
      <c r="H74" s="35"/>
      <c r="I74" s="68">
        <f>SUM(E15:E18)</f>
        <v>494</v>
      </c>
      <c r="J74" s="77"/>
      <c r="K74" s="77"/>
      <c r="L74" s="77"/>
    </row>
    <row r="75" spans="7:12" ht="12.75">
      <c r="G75" s="48"/>
      <c r="H75" s="35"/>
      <c r="I75" s="77"/>
      <c r="J75" s="77"/>
      <c r="K75" s="77"/>
      <c r="L75" s="77"/>
    </row>
    <row r="76" spans="7:12" ht="12.75">
      <c r="G76" s="39"/>
      <c r="H76" s="35"/>
      <c r="I76" s="77"/>
      <c r="J76" s="77"/>
      <c r="K76" s="77"/>
      <c r="L76" s="77"/>
    </row>
    <row r="77" spans="7:12" ht="12.75">
      <c r="G77" s="39"/>
      <c r="H77" s="35"/>
      <c r="I77" s="77"/>
      <c r="J77" s="77"/>
      <c r="K77" s="77"/>
      <c r="L77" s="77"/>
    </row>
    <row r="78" spans="7:12" ht="12.75">
      <c r="G78" s="39"/>
      <c r="H78" s="35"/>
      <c r="I78" s="77"/>
      <c r="J78" s="77"/>
      <c r="K78" s="77"/>
      <c r="L78" s="77"/>
    </row>
    <row r="79" spans="7:12" ht="12.75">
      <c r="G79" s="39"/>
      <c r="H79" s="35"/>
      <c r="I79" s="77"/>
      <c r="J79" s="77"/>
      <c r="K79" s="77"/>
      <c r="L79" s="77"/>
    </row>
    <row r="80" spans="7:12" ht="12.75">
      <c r="G80" s="43"/>
      <c r="H80" s="35"/>
      <c r="I80" s="77"/>
      <c r="J80" s="77"/>
      <c r="K80" s="77"/>
      <c r="L80" s="77"/>
    </row>
    <row r="81" spans="7:12" ht="12.75">
      <c r="G81" s="48"/>
      <c r="H81" s="35"/>
      <c r="I81" s="77"/>
      <c r="J81" s="77"/>
      <c r="K81" s="77"/>
      <c r="L81" s="77"/>
    </row>
    <row r="82" spans="7:12" ht="12.75">
      <c r="G82" s="53"/>
      <c r="H82" s="35"/>
      <c r="I82" s="77"/>
      <c r="J82" s="77"/>
      <c r="K82" s="77"/>
      <c r="L82" s="77"/>
    </row>
    <row r="83" spans="7:12" ht="12.75">
      <c r="G83" s="53"/>
      <c r="H83" s="35"/>
      <c r="I83" s="77"/>
      <c r="J83" s="77"/>
      <c r="K83" s="77"/>
      <c r="L83" s="77"/>
    </row>
    <row r="84" spans="7:12" ht="12.75">
      <c r="G84" s="48"/>
      <c r="H84" s="35"/>
      <c r="I84" s="77"/>
      <c r="J84" s="77"/>
      <c r="K84" s="77"/>
      <c r="L84" s="77"/>
    </row>
    <row r="85" spans="7:12" ht="12.75">
      <c r="G85" s="48"/>
      <c r="H85" s="35"/>
      <c r="I85" s="77"/>
      <c r="J85" s="77"/>
      <c r="K85" s="77"/>
      <c r="L85" s="77"/>
    </row>
    <row r="86" spans="7:12" ht="12.75">
      <c r="G86" s="48"/>
      <c r="H86" s="35"/>
      <c r="I86" s="77"/>
      <c r="J86" s="77"/>
      <c r="K86" s="77"/>
      <c r="L86" s="77"/>
    </row>
    <row r="87" spans="7:12" ht="12.75">
      <c r="G87" s="48"/>
      <c r="H87" s="35"/>
      <c r="I87" s="77"/>
      <c r="J87" s="77"/>
      <c r="K87" s="77"/>
      <c r="L87" s="77"/>
    </row>
    <row r="88" spans="7:12" ht="12.75">
      <c r="G88" s="48"/>
      <c r="H88" s="35"/>
      <c r="I88" s="77"/>
      <c r="J88" s="77"/>
      <c r="K88" s="77"/>
      <c r="L88" s="77"/>
    </row>
    <row r="89" spans="7:12" ht="12.75">
      <c r="G89" s="48"/>
      <c r="H89" s="35"/>
      <c r="I89" s="77"/>
      <c r="J89" s="77"/>
      <c r="K89" s="77"/>
      <c r="L89" s="77"/>
    </row>
    <row r="90" spans="7:12" ht="12.75">
      <c r="G90" s="48"/>
      <c r="H90" s="40"/>
      <c r="I90" s="77"/>
      <c r="J90" s="77"/>
      <c r="K90" s="77"/>
      <c r="L90" s="77"/>
    </row>
    <row r="91" spans="7:10" ht="12.75">
      <c r="G91" s="48"/>
      <c r="H91" s="50"/>
      <c r="I91" s="77"/>
      <c r="J91" s="77"/>
    </row>
    <row r="92" spans="7:10" ht="12.75">
      <c r="G92" s="48"/>
      <c r="H92" s="40"/>
      <c r="I92" s="77"/>
      <c r="J92" s="77"/>
    </row>
    <row r="93" spans="7:10" ht="12.75">
      <c r="G93" s="48"/>
      <c r="H93" s="40"/>
      <c r="I93" s="77"/>
      <c r="J93" s="77"/>
    </row>
    <row r="94" spans="7:10" ht="12.75">
      <c r="G94" s="48"/>
      <c r="H94" s="40"/>
      <c r="I94" s="77"/>
      <c r="J94" s="77"/>
    </row>
    <row r="95" spans="7:10" ht="12.75">
      <c r="G95" s="48"/>
      <c r="H95" s="40"/>
      <c r="I95" s="77"/>
      <c r="J95" s="77"/>
    </row>
    <row r="96" spans="7:10" ht="12.75">
      <c r="G96" s="48"/>
      <c r="H96" s="40"/>
      <c r="I96" s="77"/>
      <c r="J96" s="77"/>
    </row>
    <row r="97" spans="7:10" ht="12.75">
      <c r="G97" s="48"/>
      <c r="H97" s="40"/>
      <c r="I97" s="77"/>
      <c r="J97" s="77"/>
    </row>
    <row r="98" spans="7:10" ht="12.75">
      <c r="G98" s="48"/>
      <c r="H98" s="40"/>
      <c r="I98" s="77"/>
      <c r="J98" s="77"/>
    </row>
    <row r="99" spans="7:10" ht="12.75">
      <c r="G99" s="48"/>
      <c r="H99" s="40"/>
      <c r="I99" s="77"/>
      <c r="J99" s="77"/>
    </row>
    <row r="100" spans="7:10" ht="12.75">
      <c r="G100" s="48"/>
      <c r="H100" s="50"/>
      <c r="I100" s="77"/>
      <c r="J100" s="77"/>
    </row>
    <row r="101" spans="7:10" ht="12.75">
      <c r="G101" s="48"/>
      <c r="H101" s="40"/>
      <c r="I101" s="77"/>
      <c r="J101" s="77"/>
    </row>
    <row r="102" spans="7:10" ht="12.75">
      <c r="G102" s="48"/>
      <c r="H102" s="40"/>
      <c r="I102" s="77"/>
      <c r="J102" s="77"/>
    </row>
    <row r="103" spans="7:10" ht="12.75">
      <c r="G103" s="48"/>
      <c r="H103" s="40"/>
      <c r="I103" s="77"/>
      <c r="J103" s="77"/>
    </row>
    <row r="104" spans="7:10" ht="12.75">
      <c r="G104" s="46"/>
      <c r="H104" s="40"/>
      <c r="I104" s="77"/>
      <c r="J104" s="77"/>
    </row>
    <row r="105" spans="7:10" ht="12.75">
      <c r="G105" s="43"/>
      <c r="H105" s="42"/>
      <c r="I105" s="77"/>
      <c r="J105" s="77"/>
    </row>
    <row r="106" spans="7:10" ht="12.75">
      <c r="G106" s="43"/>
      <c r="H106" s="42"/>
      <c r="I106" s="77"/>
      <c r="J106" s="77"/>
    </row>
    <row r="107" spans="7:10" ht="12.75">
      <c r="G107" s="46"/>
      <c r="H107" s="34"/>
      <c r="I107" s="77"/>
      <c r="J107" s="77"/>
    </row>
    <row r="108" spans="7:10" ht="12.75">
      <c r="G108" s="41"/>
      <c r="H108" s="40"/>
      <c r="I108" s="77"/>
      <c r="J108" s="77"/>
    </row>
    <row r="109" spans="7:10" ht="12.75">
      <c r="G109" s="46"/>
      <c r="H109" s="40"/>
      <c r="I109" s="77"/>
      <c r="J109" s="7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workbookViewId="0" topLeftCell="A22">
      <selection activeCell="G1" sqref="G1:N16384"/>
    </sheetView>
  </sheetViews>
  <sheetFormatPr defaultColWidth="9.140625" defaultRowHeight="12.75"/>
  <cols>
    <col min="1" max="1" width="36.28125" style="0" customWidth="1"/>
    <col min="2" max="2" width="51.00390625" style="0" bestFit="1" customWidth="1"/>
    <col min="3" max="4" width="12.7109375" style="0" bestFit="1" customWidth="1"/>
    <col min="5" max="5" width="10.7109375" style="0" bestFit="1" customWidth="1"/>
    <col min="7" max="7" width="42.421875" style="0" hidden="1" customWidth="1"/>
    <col min="8" max="10" width="0" style="0" hidden="1" customWidth="1"/>
    <col min="11" max="11" width="17.00390625" style="0" hidden="1" customWidth="1"/>
    <col min="12" max="13" width="0" style="0" hidden="1" customWidth="1"/>
    <col min="14" max="14" width="25.7109375" style="0" hidden="1" customWidth="1"/>
  </cols>
  <sheetData>
    <row r="1" spans="1:5" ht="15.75">
      <c r="A1" s="14" t="s">
        <v>363</v>
      </c>
      <c r="B1" s="14"/>
      <c r="C1" s="14"/>
      <c r="D1" s="14"/>
      <c r="E1" s="14"/>
    </row>
    <row r="3" spans="1:5" ht="12.75">
      <c r="A3" s="1" t="s">
        <v>150</v>
      </c>
      <c r="B3" s="2"/>
      <c r="C3" s="4"/>
      <c r="D3" s="2"/>
      <c r="E3" s="3"/>
    </row>
    <row r="4" spans="1:11" ht="15.75">
      <c r="A4" s="1" t="s">
        <v>147</v>
      </c>
      <c r="B4" s="1" t="s">
        <v>148</v>
      </c>
      <c r="C4" s="23" t="s">
        <v>91</v>
      </c>
      <c r="D4" s="23" t="s">
        <v>365</v>
      </c>
      <c r="E4" s="24" t="s">
        <v>164</v>
      </c>
      <c r="G4" t="s">
        <v>147</v>
      </c>
      <c r="K4" t="s">
        <v>164</v>
      </c>
    </row>
    <row r="5" spans="1:5" s="8" customFormat="1" ht="12.75">
      <c r="A5" s="7" t="s">
        <v>102</v>
      </c>
      <c r="B5" s="7" t="s">
        <v>0</v>
      </c>
      <c r="C5" s="16">
        <v>0.1</v>
      </c>
      <c r="D5" s="16">
        <v>0.1</v>
      </c>
      <c r="E5" s="17">
        <f>+D5-C5</f>
        <v>0</v>
      </c>
    </row>
    <row r="6" spans="1:11" ht="12.75">
      <c r="A6" s="4" t="s">
        <v>103</v>
      </c>
      <c r="B6" s="4" t="s">
        <v>1</v>
      </c>
      <c r="C6" s="25">
        <v>424.4</v>
      </c>
      <c r="D6" s="25">
        <v>424.4</v>
      </c>
      <c r="E6" s="26">
        <f aca="true" t="shared" si="0" ref="E6:E60">+D6-C6</f>
        <v>0</v>
      </c>
      <c r="G6" s="8"/>
      <c r="H6" s="8"/>
      <c r="I6" s="8"/>
      <c r="J6" s="8"/>
      <c r="K6" s="8"/>
    </row>
    <row r="7" spans="1:14" ht="12.75">
      <c r="A7" s="5"/>
      <c r="B7" s="6" t="s">
        <v>2</v>
      </c>
      <c r="C7" s="27">
        <v>1770.2</v>
      </c>
      <c r="D7" s="27">
        <v>1770.2</v>
      </c>
      <c r="E7" s="26">
        <f t="shared" si="0"/>
        <v>0</v>
      </c>
      <c r="G7" s="8" t="s">
        <v>152</v>
      </c>
      <c r="H7" s="30" t="s">
        <v>176</v>
      </c>
      <c r="I7" s="8"/>
      <c r="J7" s="8"/>
      <c r="K7" s="28">
        <v>372</v>
      </c>
      <c r="L7" s="29" t="s">
        <v>172</v>
      </c>
      <c r="M7" t="s">
        <v>173</v>
      </c>
      <c r="N7" t="str">
        <f>+L7&amp;K7&amp;M7</f>
        <v>+ $372k</v>
      </c>
    </row>
    <row r="8" spans="1:11" ht="12.75">
      <c r="A8" s="5"/>
      <c r="B8" s="6" t="s">
        <v>4</v>
      </c>
      <c r="C8" s="27">
        <v>1270.3</v>
      </c>
      <c r="D8" s="27">
        <v>1270.3</v>
      </c>
      <c r="E8" s="26">
        <f t="shared" si="0"/>
        <v>0</v>
      </c>
      <c r="G8" s="8"/>
      <c r="H8" s="30"/>
      <c r="I8" s="8"/>
      <c r="J8" s="8"/>
      <c r="K8" s="8"/>
    </row>
    <row r="9" spans="1:14" ht="12.75">
      <c r="A9" s="5"/>
      <c r="B9" s="6" t="s">
        <v>3</v>
      </c>
      <c r="C9" s="27">
        <v>15.6</v>
      </c>
      <c r="D9" s="27">
        <v>15.6</v>
      </c>
      <c r="E9" s="26">
        <f t="shared" si="0"/>
        <v>0</v>
      </c>
      <c r="G9" s="8" t="s">
        <v>153</v>
      </c>
      <c r="H9" s="30" t="s">
        <v>178</v>
      </c>
      <c r="I9" s="8"/>
      <c r="J9" s="8"/>
      <c r="K9" s="8">
        <v>565.1</v>
      </c>
      <c r="L9" s="29" t="s">
        <v>172</v>
      </c>
      <c r="M9" t="s">
        <v>173</v>
      </c>
      <c r="N9" t="str">
        <f>+L9&amp;K9&amp;M9</f>
        <v>+ $565.1k</v>
      </c>
    </row>
    <row r="10" spans="1:11" ht="12.75">
      <c r="A10" s="5"/>
      <c r="B10" s="6" t="s">
        <v>6</v>
      </c>
      <c r="C10" s="27">
        <f>5727.5-57.9+13.03</f>
        <v>5682.63</v>
      </c>
      <c r="D10" s="27">
        <f>5727.5-57.9+13.03</f>
        <v>5682.63</v>
      </c>
      <c r="E10" s="26">
        <f t="shared" si="0"/>
        <v>0</v>
      </c>
      <c r="G10" s="8"/>
      <c r="H10" s="30"/>
      <c r="I10" s="8"/>
      <c r="J10" s="8"/>
      <c r="K10" s="8"/>
    </row>
    <row r="11" spans="1:14" ht="12.75">
      <c r="A11" s="5"/>
      <c r="B11" s="6" t="s">
        <v>5</v>
      </c>
      <c r="C11" s="27">
        <v>603.5</v>
      </c>
      <c r="D11" s="27">
        <v>603.5</v>
      </c>
      <c r="E11" s="26">
        <f t="shared" si="0"/>
        <v>0</v>
      </c>
      <c r="G11" s="8" t="s">
        <v>154</v>
      </c>
      <c r="H11" s="30" t="s">
        <v>177</v>
      </c>
      <c r="I11" s="8"/>
      <c r="J11" s="8"/>
      <c r="K11" s="8">
        <v>1435.8</v>
      </c>
      <c r="L11" s="29" t="s">
        <v>172</v>
      </c>
      <c r="M11" t="s">
        <v>173</v>
      </c>
      <c r="N11" t="str">
        <f>+L11&amp;K11&amp;M11</f>
        <v>+ $1435.8k</v>
      </c>
    </row>
    <row r="12" spans="1:14" s="8" customFormat="1" ht="12.75">
      <c r="A12" s="7" t="s">
        <v>152</v>
      </c>
      <c r="B12" s="9"/>
      <c r="C12" s="16">
        <f>SUM(C6:C11)</f>
        <v>9766.63</v>
      </c>
      <c r="D12" s="16">
        <f>SUM(D6:D11)</f>
        <v>9766.63</v>
      </c>
      <c r="E12" s="17">
        <f t="shared" si="0"/>
        <v>0</v>
      </c>
      <c r="G12" s="8" t="s">
        <v>155</v>
      </c>
      <c r="H12" s="30" t="s">
        <v>179</v>
      </c>
      <c r="K12" s="8">
        <v>2.7</v>
      </c>
      <c r="L12" s="29" t="s">
        <v>172</v>
      </c>
      <c r="M12" t="s">
        <v>173</v>
      </c>
      <c r="N12" t="str">
        <f>+L12&amp;K12&amp;M12</f>
        <v>+ $2.7k</v>
      </c>
    </row>
    <row r="13" spans="1:12" ht="12.75">
      <c r="A13" s="4" t="s">
        <v>104</v>
      </c>
      <c r="B13" s="4" t="s">
        <v>7</v>
      </c>
      <c r="C13" s="18">
        <v>965.8</v>
      </c>
      <c r="D13" s="18">
        <v>965.8</v>
      </c>
      <c r="E13" s="19">
        <f t="shared" si="0"/>
        <v>0</v>
      </c>
      <c r="H13" s="31"/>
      <c r="L13" s="8"/>
    </row>
    <row r="14" spans="1:14" ht="12.75">
      <c r="A14" s="5"/>
      <c r="B14" s="6" t="s">
        <v>11</v>
      </c>
      <c r="C14" s="20">
        <v>132</v>
      </c>
      <c r="D14" s="20">
        <v>132</v>
      </c>
      <c r="E14" s="19">
        <f t="shared" si="0"/>
        <v>0</v>
      </c>
      <c r="G14" s="8" t="s">
        <v>107</v>
      </c>
      <c r="H14" s="30" t="s">
        <v>179</v>
      </c>
      <c r="I14" s="8"/>
      <c r="J14" s="8"/>
      <c r="K14" s="8">
        <v>2.8</v>
      </c>
      <c r="L14" s="29" t="s">
        <v>172</v>
      </c>
      <c r="M14" t="s">
        <v>173</v>
      </c>
      <c r="N14" t="str">
        <f>+L14&amp;K14&amp;M14</f>
        <v>+ $2.8k</v>
      </c>
    </row>
    <row r="15" spans="1:14" ht="12.75">
      <c r="A15" s="5"/>
      <c r="B15" s="6" t="s">
        <v>14</v>
      </c>
      <c r="C15" s="20">
        <v>116.9</v>
      </c>
      <c r="D15" s="20">
        <v>116.9</v>
      </c>
      <c r="E15" s="19">
        <f t="shared" si="0"/>
        <v>0</v>
      </c>
      <c r="G15" s="8" t="s">
        <v>156</v>
      </c>
      <c r="H15" s="30" t="s">
        <v>180</v>
      </c>
      <c r="I15" s="8"/>
      <c r="J15" s="8"/>
      <c r="K15" s="8">
        <v>-33.6</v>
      </c>
      <c r="L15" s="29" t="s">
        <v>174</v>
      </c>
      <c r="M15" t="s">
        <v>173</v>
      </c>
      <c r="N15" t="str">
        <f>+L15&amp;K15&amp;M15</f>
        <v>- $-33.6k</v>
      </c>
    </row>
    <row r="16" spans="1:12" ht="12.75">
      <c r="A16" s="5"/>
      <c r="B16" s="6" t="s">
        <v>8</v>
      </c>
      <c r="C16" s="20">
        <v>560.3</v>
      </c>
      <c r="D16" s="20">
        <v>560.3</v>
      </c>
      <c r="E16" s="19">
        <f t="shared" si="0"/>
        <v>0</v>
      </c>
      <c r="G16" s="8"/>
      <c r="H16" s="30"/>
      <c r="I16" s="8"/>
      <c r="J16" s="8"/>
      <c r="K16" s="8"/>
      <c r="L16" s="8"/>
    </row>
    <row r="17" spans="1:14" ht="12.75">
      <c r="A17" s="5"/>
      <c r="B17" s="6" t="s">
        <v>9</v>
      </c>
      <c r="C17" s="20">
        <v>469.6</v>
      </c>
      <c r="D17" s="20">
        <v>469.6</v>
      </c>
      <c r="E17" s="19">
        <f t="shared" si="0"/>
        <v>0</v>
      </c>
      <c r="G17" s="8" t="s">
        <v>157</v>
      </c>
      <c r="H17" s="30" t="s">
        <v>181</v>
      </c>
      <c r="I17" s="8"/>
      <c r="J17" s="8"/>
      <c r="K17" s="8">
        <v>640.7</v>
      </c>
      <c r="L17" s="29" t="s">
        <v>172</v>
      </c>
      <c r="M17" t="s">
        <v>173</v>
      </c>
      <c r="N17" t="str">
        <f>+L17&amp;K17&amp;M17</f>
        <v>+ $640.7k</v>
      </c>
    </row>
    <row r="18" spans="1:12" ht="12.75">
      <c r="A18" s="5"/>
      <c r="B18" s="6" t="s">
        <v>12</v>
      </c>
      <c r="C18" s="20">
        <v>794.6</v>
      </c>
      <c r="D18" s="20">
        <v>794.6</v>
      </c>
      <c r="E18" s="19">
        <f t="shared" si="0"/>
        <v>0</v>
      </c>
      <c r="G18" s="8"/>
      <c r="H18" s="30"/>
      <c r="I18" s="8"/>
      <c r="J18" s="8"/>
      <c r="K18" s="8"/>
      <c r="L18" s="29"/>
    </row>
    <row r="19" spans="1:14" ht="12.75">
      <c r="A19" s="5"/>
      <c r="B19" s="6" t="s">
        <v>15</v>
      </c>
      <c r="C19" s="20">
        <v>120.9</v>
      </c>
      <c r="D19" s="20">
        <v>120.9</v>
      </c>
      <c r="E19" s="19">
        <f t="shared" si="0"/>
        <v>0</v>
      </c>
      <c r="G19" s="8" t="s">
        <v>110</v>
      </c>
      <c r="H19" s="30" t="s">
        <v>182</v>
      </c>
      <c r="I19" s="8"/>
      <c r="J19" s="8"/>
      <c r="K19" s="8">
        <v>4.3</v>
      </c>
      <c r="L19" s="29" t="s">
        <v>172</v>
      </c>
      <c r="M19" t="s">
        <v>173</v>
      </c>
      <c r="N19" t="str">
        <f>+L19&amp;K19&amp;M19</f>
        <v>+ $4.3k</v>
      </c>
    </row>
    <row r="20" spans="1:14" ht="12.75">
      <c r="A20" s="5"/>
      <c r="B20" s="6" t="s">
        <v>13</v>
      </c>
      <c r="C20" s="20">
        <v>103.4</v>
      </c>
      <c r="D20" s="20">
        <v>103.4</v>
      </c>
      <c r="E20" s="19">
        <f t="shared" si="0"/>
        <v>0</v>
      </c>
      <c r="G20" s="8" t="s">
        <v>165</v>
      </c>
      <c r="H20" s="32" t="s">
        <v>183</v>
      </c>
      <c r="I20" s="8"/>
      <c r="J20" s="8"/>
      <c r="K20" s="8">
        <v>-307.3</v>
      </c>
      <c r="L20" s="29" t="s">
        <v>174</v>
      </c>
      <c r="M20" t="s">
        <v>173</v>
      </c>
      <c r="N20" t="str">
        <f>+L20&amp;K20&amp;M20</f>
        <v>- $-307.3k</v>
      </c>
    </row>
    <row r="21" spans="1:14" ht="12.75">
      <c r="A21" s="5"/>
      <c r="B21" s="6" t="s">
        <v>16</v>
      </c>
      <c r="C21" s="20">
        <v>91.2</v>
      </c>
      <c r="D21" s="20">
        <v>91.2</v>
      </c>
      <c r="E21" s="19">
        <f t="shared" si="0"/>
        <v>0</v>
      </c>
      <c r="G21" s="8" t="s">
        <v>166</v>
      </c>
      <c r="H21" s="32" t="s">
        <v>184</v>
      </c>
      <c r="I21" s="8"/>
      <c r="J21" s="8"/>
      <c r="K21" s="8">
        <v>-145.7</v>
      </c>
      <c r="L21" s="29" t="s">
        <v>174</v>
      </c>
      <c r="M21" t="s">
        <v>173</v>
      </c>
      <c r="N21" t="str">
        <f>+L21&amp;K21&amp;M21</f>
        <v>- $-145.7k</v>
      </c>
    </row>
    <row r="22" spans="1:14" ht="12.75">
      <c r="A22" s="5"/>
      <c r="B22" s="6" t="s">
        <v>10</v>
      </c>
      <c r="C22" s="20">
        <v>2016.6</v>
      </c>
      <c r="D22" s="20">
        <v>2016.6</v>
      </c>
      <c r="E22" s="19">
        <f t="shared" si="0"/>
        <v>0</v>
      </c>
      <c r="G22" s="8" t="s">
        <v>167</v>
      </c>
      <c r="H22" s="32" t="s">
        <v>185</v>
      </c>
      <c r="I22" s="8"/>
      <c r="J22" s="8"/>
      <c r="K22" s="8">
        <v>-212.6</v>
      </c>
      <c r="L22" s="29" t="s">
        <v>174</v>
      </c>
      <c r="M22" t="s">
        <v>173</v>
      </c>
      <c r="N22" t="str">
        <f>+L22&amp;K22&amp;M22</f>
        <v>- $-212.6k</v>
      </c>
    </row>
    <row r="23" spans="1:14" s="8" customFormat="1" ht="12.75">
      <c r="A23" s="7" t="s">
        <v>153</v>
      </c>
      <c r="B23" s="9"/>
      <c r="C23" s="15">
        <f>SUM(C13:C22)</f>
        <v>5371.299999999999</v>
      </c>
      <c r="D23" s="15">
        <f>SUM(D13:D22)</f>
        <v>5371.299999999999</v>
      </c>
      <c r="E23" s="17">
        <f t="shared" si="0"/>
        <v>0</v>
      </c>
      <c r="G23"/>
      <c r="H23" s="33"/>
      <c r="I23"/>
      <c r="J23"/>
      <c r="K23"/>
      <c r="L23"/>
      <c r="M23"/>
      <c r="N23"/>
    </row>
    <row r="24" spans="1:14" ht="12.75">
      <c r="A24" s="4" t="s">
        <v>105</v>
      </c>
      <c r="B24" s="4" t="s">
        <v>17</v>
      </c>
      <c r="C24" s="18">
        <v>304</v>
      </c>
      <c r="D24" s="18">
        <v>304</v>
      </c>
      <c r="E24" s="19">
        <f t="shared" si="0"/>
        <v>0</v>
      </c>
      <c r="G24" s="8" t="s">
        <v>168</v>
      </c>
      <c r="H24" s="32" t="s">
        <v>186</v>
      </c>
      <c r="I24" s="8"/>
      <c r="J24" s="8"/>
      <c r="K24" s="8">
        <v>-1071.9</v>
      </c>
      <c r="L24" s="29" t="s">
        <v>174</v>
      </c>
      <c r="M24" t="s">
        <v>173</v>
      </c>
      <c r="N24" t="str">
        <f>+L24&amp;K24&amp;M24</f>
        <v>- $-1071.9k</v>
      </c>
    </row>
    <row r="25" spans="1:8" ht="12.75">
      <c r="A25" s="5"/>
      <c r="B25" s="6" t="s">
        <v>18</v>
      </c>
      <c r="C25" s="20">
        <v>239.1</v>
      </c>
      <c r="D25" s="20">
        <v>239.1</v>
      </c>
      <c r="E25" s="19">
        <f t="shared" si="0"/>
        <v>0</v>
      </c>
      <c r="H25" s="33"/>
    </row>
    <row r="26" spans="1:14" ht="12.75">
      <c r="A26" s="5"/>
      <c r="B26" s="6" t="s">
        <v>29</v>
      </c>
      <c r="C26" s="20">
        <v>3496.6</v>
      </c>
      <c r="D26" s="20">
        <v>3496.6</v>
      </c>
      <c r="E26" s="19">
        <f t="shared" si="0"/>
        <v>0</v>
      </c>
      <c r="G26" s="8" t="s">
        <v>169</v>
      </c>
      <c r="H26" s="32" t="s">
        <v>187</v>
      </c>
      <c r="I26" s="8"/>
      <c r="J26" s="8"/>
      <c r="K26" s="8">
        <v>-78.5</v>
      </c>
      <c r="L26" s="29" t="s">
        <v>174</v>
      </c>
      <c r="M26" t="s">
        <v>173</v>
      </c>
      <c r="N26" t="str">
        <f>+L26&amp;K26&amp;M26</f>
        <v>- $-78.5k</v>
      </c>
    </row>
    <row r="27" spans="1:8" ht="12.75">
      <c r="A27" s="5"/>
      <c r="B27" s="6" t="s">
        <v>21</v>
      </c>
      <c r="C27" s="20">
        <v>168.1</v>
      </c>
      <c r="D27" s="20">
        <v>168.1</v>
      </c>
      <c r="E27" s="19">
        <f t="shared" si="0"/>
        <v>0</v>
      </c>
      <c r="H27" s="33"/>
    </row>
    <row r="28" spans="1:14" ht="12.75">
      <c r="A28" s="5"/>
      <c r="B28" s="6" t="s">
        <v>24</v>
      </c>
      <c r="C28" s="20">
        <v>2263.6</v>
      </c>
      <c r="D28" s="20">
        <v>2263.6</v>
      </c>
      <c r="E28" s="19">
        <f t="shared" si="0"/>
        <v>0</v>
      </c>
      <c r="G28" s="8" t="s">
        <v>170</v>
      </c>
      <c r="H28" s="32" t="s">
        <v>188</v>
      </c>
      <c r="I28" s="8"/>
      <c r="J28" s="8"/>
      <c r="K28" s="8">
        <v>-193.5</v>
      </c>
      <c r="L28" s="29" t="s">
        <v>174</v>
      </c>
      <c r="M28" t="s">
        <v>173</v>
      </c>
      <c r="N28" t="str">
        <f>+L28&amp;K28&amp;M28</f>
        <v>- $-193.5k</v>
      </c>
    </row>
    <row r="29" spans="1:5" ht="12.75">
      <c r="A29" s="5"/>
      <c r="B29" s="6" t="s">
        <v>22</v>
      </c>
      <c r="C29" s="20">
        <v>2571.4</v>
      </c>
      <c r="D29" s="20">
        <v>2571.4</v>
      </c>
      <c r="E29" s="19">
        <f t="shared" si="0"/>
        <v>0</v>
      </c>
    </row>
    <row r="30" spans="1:11" ht="12.75">
      <c r="A30" s="5"/>
      <c r="B30" s="6" t="s">
        <v>25</v>
      </c>
      <c r="C30" s="20">
        <v>1050</v>
      </c>
      <c r="D30" s="20">
        <v>1050</v>
      </c>
      <c r="E30" s="19">
        <f t="shared" si="0"/>
        <v>0</v>
      </c>
      <c r="G30" s="8" t="s">
        <v>171</v>
      </c>
      <c r="H30" s="30" t="s">
        <v>189</v>
      </c>
      <c r="I30" s="8"/>
      <c r="J30" s="8"/>
      <c r="K30" s="8"/>
    </row>
    <row r="31" spans="1:14" ht="12.75">
      <c r="A31" s="5"/>
      <c r="B31" s="6" t="s">
        <v>32</v>
      </c>
      <c r="C31" s="20">
        <f>9581.3--7.74</f>
        <v>9589.039999999999</v>
      </c>
      <c r="D31" s="20">
        <f>9581.3--7.74</f>
        <v>9589.039999999999</v>
      </c>
      <c r="E31" s="19">
        <f t="shared" si="0"/>
        <v>0</v>
      </c>
      <c r="G31" s="8" t="s">
        <v>175</v>
      </c>
      <c r="H31" s="32" t="s">
        <v>190</v>
      </c>
      <c r="I31" s="8"/>
      <c r="J31" s="8"/>
      <c r="K31" s="8">
        <v>-406</v>
      </c>
      <c r="L31" s="29" t="s">
        <v>174</v>
      </c>
      <c r="M31" t="s">
        <v>173</v>
      </c>
      <c r="N31" t="str">
        <f>+L31&amp;K31&amp;M31</f>
        <v>- $-406k</v>
      </c>
    </row>
    <row r="32" spans="1:11" ht="12.75">
      <c r="A32" s="5"/>
      <c r="B32" s="6" t="s">
        <v>23</v>
      </c>
      <c r="C32" s="20">
        <v>541</v>
      </c>
      <c r="D32" s="20">
        <v>541</v>
      </c>
      <c r="E32" s="19">
        <f t="shared" si="0"/>
        <v>0</v>
      </c>
      <c r="G32" s="8"/>
      <c r="H32" s="8"/>
      <c r="I32" s="8"/>
      <c r="J32" s="8"/>
      <c r="K32" s="8"/>
    </row>
    <row r="33" spans="1:12" ht="13.5" thickBot="1">
      <c r="A33" s="5"/>
      <c r="B33" s="6" t="s">
        <v>20</v>
      </c>
      <c r="C33" s="20">
        <v>27.8</v>
      </c>
      <c r="D33" s="20">
        <v>27.8</v>
      </c>
      <c r="E33" s="19">
        <f t="shared" si="0"/>
        <v>0</v>
      </c>
      <c r="G33" s="8"/>
      <c r="H33" s="8"/>
      <c r="I33" s="8"/>
      <c r="J33" s="8"/>
      <c r="K33" s="8"/>
      <c r="L33" s="8"/>
    </row>
    <row r="34" spans="1:12" ht="12.75">
      <c r="A34" s="5"/>
      <c r="B34" s="106" t="s">
        <v>26</v>
      </c>
      <c r="C34" s="107">
        <f>861.7+54.22</f>
        <v>915.9200000000001</v>
      </c>
      <c r="D34" s="107">
        <f>861.7+54.22-90</f>
        <v>825.9200000000001</v>
      </c>
      <c r="E34" s="108">
        <f>+D34-C34</f>
        <v>-90</v>
      </c>
      <c r="G34" s="8"/>
      <c r="H34" s="8"/>
      <c r="I34" s="8"/>
      <c r="J34" s="8"/>
      <c r="K34" s="8"/>
      <c r="L34" s="8"/>
    </row>
    <row r="35" spans="1:11" ht="15.75" thickBot="1">
      <c r="A35" s="5"/>
      <c r="B35" s="109" t="s">
        <v>366</v>
      </c>
      <c r="C35" s="110">
        <f>452.3-130.07+148.631</f>
        <v>470.861</v>
      </c>
      <c r="D35" s="110">
        <f>452.3-130.07+148.631+204</f>
        <v>674.861</v>
      </c>
      <c r="E35" s="111">
        <f t="shared" si="0"/>
        <v>204</v>
      </c>
      <c r="F35" s="127">
        <f>SUM(E34:E35)</f>
        <v>114</v>
      </c>
      <c r="G35" s="8"/>
      <c r="H35" s="8"/>
      <c r="I35" s="8"/>
      <c r="J35" s="8"/>
      <c r="K35" s="8"/>
    </row>
    <row r="36" spans="1:11" ht="12.75">
      <c r="A36" s="5"/>
      <c r="B36" s="6" t="s">
        <v>27</v>
      </c>
      <c r="C36" s="20">
        <v>23.9</v>
      </c>
      <c r="D36" s="20">
        <v>23.9</v>
      </c>
      <c r="E36" s="105">
        <f t="shared" si="0"/>
        <v>0</v>
      </c>
      <c r="G36" s="8"/>
      <c r="H36" s="8"/>
      <c r="I36" s="8"/>
      <c r="J36" s="8"/>
      <c r="K36" s="8"/>
    </row>
    <row r="37" spans="1:11" ht="12.75">
      <c r="A37" s="5"/>
      <c r="B37" s="6" t="s">
        <v>30</v>
      </c>
      <c r="C37" s="20">
        <v>446.2</v>
      </c>
      <c r="D37" s="20">
        <v>446.2</v>
      </c>
      <c r="E37" s="19">
        <f t="shared" si="0"/>
        <v>0</v>
      </c>
      <c r="G37" s="8"/>
      <c r="H37" s="8"/>
      <c r="I37" s="8"/>
      <c r="J37" s="8"/>
      <c r="K37" s="8"/>
    </row>
    <row r="38" spans="1:11" ht="12.75">
      <c r="A38" s="5"/>
      <c r="B38" s="6" t="s">
        <v>28</v>
      </c>
      <c r="C38" s="20">
        <v>55.2</v>
      </c>
      <c r="D38" s="20">
        <v>55.2</v>
      </c>
      <c r="E38" s="19">
        <f t="shared" si="0"/>
        <v>0</v>
      </c>
      <c r="G38" s="8"/>
      <c r="H38" s="8"/>
      <c r="I38" s="8"/>
      <c r="J38" s="8"/>
      <c r="K38" s="8"/>
    </row>
    <row r="39" spans="1:11" ht="12.75">
      <c r="A39" s="5"/>
      <c r="B39" s="6" t="s">
        <v>35</v>
      </c>
      <c r="C39" s="20">
        <v>916.9</v>
      </c>
      <c r="D39" s="20">
        <v>916.9</v>
      </c>
      <c r="E39" s="19">
        <f t="shared" si="0"/>
        <v>0</v>
      </c>
      <c r="G39" s="8" t="s">
        <v>158</v>
      </c>
      <c r="H39" s="8"/>
      <c r="I39" s="8">
        <v>88.1</v>
      </c>
      <c r="J39" s="8">
        <v>123</v>
      </c>
      <c r="K39" s="8">
        <v>34.9</v>
      </c>
    </row>
    <row r="40" spans="1:11" ht="12.75">
      <c r="A40" s="5"/>
      <c r="B40" s="6" t="s">
        <v>33</v>
      </c>
      <c r="C40" s="20">
        <f>6262.4-492.54+319.615</f>
        <v>6089.474999999999</v>
      </c>
      <c r="D40" s="20">
        <f>6262.4-492.54+319.615</f>
        <v>6089.474999999999</v>
      </c>
      <c r="E40" s="19">
        <f t="shared" si="0"/>
        <v>0</v>
      </c>
      <c r="G40" s="8" t="s">
        <v>112</v>
      </c>
      <c r="H40" s="8"/>
      <c r="I40" s="8">
        <v>418.9</v>
      </c>
      <c r="J40" s="8">
        <v>76.1</v>
      </c>
      <c r="K40" s="8">
        <v>-342.8</v>
      </c>
    </row>
    <row r="41" spans="1:11" ht="12.75">
      <c r="A41" s="5"/>
      <c r="B41" s="6" t="s">
        <v>19</v>
      </c>
      <c r="C41" s="20">
        <v>2543.5</v>
      </c>
      <c r="D41" s="20">
        <v>2543.5</v>
      </c>
      <c r="E41" s="19">
        <f t="shared" si="0"/>
        <v>0</v>
      </c>
      <c r="G41" s="8" t="s">
        <v>113</v>
      </c>
      <c r="H41" s="8" t="s">
        <v>51</v>
      </c>
      <c r="I41" s="8">
        <v>284.4</v>
      </c>
      <c r="J41" s="8">
        <v>285</v>
      </c>
      <c r="K41" s="8">
        <v>0.6000000000000227</v>
      </c>
    </row>
    <row r="42" spans="1:11" ht="12.75">
      <c r="A42" s="5"/>
      <c r="B42" s="6" t="s">
        <v>31</v>
      </c>
      <c r="C42" s="20">
        <f>1885.8-21</f>
        <v>1864.8</v>
      </c>
      <c r="D42" s="20">
        <f>1885.8-21</f>
        <v>1864.8</v>
      </c>
      <c r="E42" s="19">
        <f t="shared" si="0"/>
        <v>0</v>
      </c>
      <c r="G42" s="8" t="s">
        <v>114</v>
      </c>
      <c r="H42" s="8" t="s">
        <v>52</v>
      </c>
      <c r="I42" s="8">
        <v>521.4</v>
      </c>
      <c r="J42" s="8">
        <v>595</v>
      </c>
      <c r="K42" s="8">
        <v>73.6</v>
      </c>
    </row>
    <row r="43" spans="1:14" s="8" customFormat="1" ht="12.75">
      <c r="A43" s="7" t="s">
        <v>154</v>
      </c>
      <c r="B43" s="9"/>
      <c r="C43" s="15">
        <f>SUM(C24:C42)</f>
        <v>33577.396</v>
      </c>
      <c r="D43" s="15">
        <f>SUM(D24:D42)</f>
        <v>33691.396</v>
      </c>
      <c r="E43" s="17">
        <f t="shared" si="0"/>
        <v>114</v>
      </c>
      <c r="G43" s="8" t="s">
        <v>115</v>
      </c>
      <c r="H43" s="8" t="s">
        <v>53</v>
      </c>
      <c r="I43" s="8">
        <v>45.6</v>
      </c>
      <c r="J43" s="8">
        <v>9.4</v>
      </c>
      <c r="K43" s="8">
        <v>-36.2</v>
      </c>
      <c r="L43"/>
      <c r="M43"/>
      <c r="N43"/>
    </row>
    <row r="44" spans="1:14" ht="12.75">
      <c r="A44" s="4" t="s">
        <v>106</v>
      </c>
      <c r="B44" s="4" t="s">
        <v>36</v>
      </c>
      <c r="C44" s="18">
        <v>217.1</v>
      </c>
      <c r="D44" s="18">
        <v>217.1</v>
      </c>
      <c r="E44" s="19">
        <f t="shared" si="0"/>
        <v>0</v>
      </c>
      <c r="G44" s="8" t="s">
        <v>116</v>
      </c>
      <c r="H44" s="8" t="s">
        <v>54</v>
      </c>
      <c r="I44" s="8">
        <v>206.2</v>
      </c>
      <c r="J44" s="8">
        <v>29.6</v>
      </c>
      <c r="K44" s="8">
        <v>-176.6</v>
      </c>
      <c r="M44" s="8"/>
      <c r="N44" s="8"/>
    </row>
    <row r="45" spans="1:11" ht="12.75">
      <c r="A45" s="5"/>
      <c r="B45" s="6" t="s">
        <v>37</v>
      </c>
      <c r="C45" s="20">
        <v>1171.7</v>
      </c>
      <c r="D45" s="20">
        <v>1171.7</v>
      </c>
      <c r="E45" s="19">
        <f t="shared" si="0"/>
        <v>0</v>
      </c>
      <c r="G45" s="8" t="s">
        <v>118</v>
      </c>
      <c r="H45" s="8" t="s">
        <v>56</v>
      </c>
      <c r="I45" s="8">
        <v>424</v>
      </c>
      <c r="J45" s="8">
        <v>357</v>
      </c>
      <c r="K45" s="8">
        <v>-67</v>
      </c>
    </row>
    <row r="46" spans="1:14" s="8" customFormat="1" ht="12.75">
      <c r="A46" s="7" t="s">
        <v>155</v>
      </c>
      <c r="B46" s="9"/>
      <c r="C46" s="15">
        <f>SUM(C44:C45)</f>
        <v>1388.8</v>
      </c>
      <c r="D46" s="15">
        <f>SUM(D44:D45)</f>
        <v>1388.8</v>
      </c>
      <c r="E46" s="17">
        <f t="shared" si="0"/>
        <v>0</v>
      </c>
      <c r="G46" s="8" t="s">
        <v>120</v>
      </c>
      <c r="H46" s="8" t="s">
        <v>58</v>
      </c>
      <c r="I46" s="8">
        <v>1346</v>
      </c>
      <c r="J46" s="8">
        <v>987.9</v>
      </c>
      <c r="K46" s="8">
        <v>-358.1</v>
      </c>
      <c r="L46"/>
      <c r="M46"/>
      <c r="N46"/>
    </row>
    <row r="47" spans="1:12" s="8" customFormat="1" ht="12.75">
      <c r="A47" s="7" t="s">
        <v>107</v>
      </c>
      <c r="B47" s="7" t="s">
        <v>38</v>
      </c>
      <c r="C47" s="16">
        <v>1137.8</v>
      </c>
      <c r="D47" s="16">
        <v>1137.8</v>
      </c>
      <c r="E47" s="17">
        <f t="shared" si="0"/>
        <v>0</v>
      </c>
      <c r="G47" s="8" t="s">
        <v>121</v>
      </c>
      <c r="H47" s="8" t="s">
        <v>59</v>
      </c>
      <c r="I47" s="8">
        <v>1055.1</v>
      </c>
      <c r="J47" s="8">
        <v>1062.9</v>
      </c>
      <c r="K47" s="8">
        <v>7.800000000000182</v>
      </c>
      <c r="L47"/>
    </row>
    <row r="48" spans="1:14" ht="12.75">
      <c r="A48" s="4" t="s">
        <v>108</v>
      </c>
      <c r="B48" s="4" t="s">
        <v>40</v>
      </c>
      <c r="C48" s="18">
        <v>540.5</v>
      </c>
      <c r="D48" s="18">
        <v>540.5</v>
      </c>
      <c r="E48" s="19">
        <f t="shared" si="0"/>
        <v>0</v>
      </c>
      <c r="G48" s="8" t="s">
        <v>122</v>
      </c>
      <c r="H48" s="8" t="s">
        <v>60</v>
      </c>
      <c r="I48" s="8">
        <v>1.3</v>
      </c>
      <c r="J48" s="8">
        <v>1.3</v>
      </c>
      <c r="K48" s="8">
        <v>0</v>
      </c>
      <c r="M48" s="8"/>
      <c r="N48" s="8"/>
    </row>
    <row r="49" spans="1:11" ht="13.5" thickBot="1">
      <c r="A49" s="5"/>
      <c r="B49" s="6" t="s">
        <v>41</v>
      </c>
      <c r="C49" s="20">
        <v>230.9</v>
      </c>
      <c r="D49" s="20">
        <v>230.9</v>
      </c>
      <c r="E49" s="19">
        <f t="shared" si="0"/>
        <v>0</v>
      </c>
      <c r="G49" s="8" t="s">
        <v>123</v>
      </c>
      <c r="H49" s="8" t="s">
        <v>61</v>
      </c>
      <c r="I49" s="8">
        <v>280.4</v>
      </c>
      <c r="J49" s="8">
        <v>150.8</v>
      </c>
      <c r="K49" s="8">
        <v>-129.6</v>
      </c>
    </row>
    <row r="50" spans="1:11" ht="15.75" thickBot="1">
      <c r="A50" s="5"/>
      <c r="B50" s="114" t="s">
        <v>39</v>
      </c>
      <c r="C50" s="115">
        <f>727.9-46.49</f>
        <v>681.41</v>
      </c>
      <c r="D50" s="115">
        <f>727.9-46.49+49</f>
        <v>730.41</v>
      </c>
      <c r="E50" s="116">
        <f t="shared" si="0"/>
        <v>49</v>
      </c>
      <c r="F50" s="127">
        <f>SUM(E50)</f>
        <v>49</v>
      </c>
      <c r="G50" s="8" t="s">
        <v>124</v>
      </c>
      <c r="H50" s="8" t="s">
        <v>62</v>
      </c>
      <c r="I50" s="8">
        <v>530.1</v>
      </c>
      <c r="J50" s="8">
        <v>138.1</v>
      </c>
      <c r="K50" s="8">
        <v>-392</v>
      </c>
    </row>
    <row r="51" spans="1:14" s="8" customFormat="1" ht="12.75">
      <c r="A51" s="7" t="s">
        <v>156</v>
      </c>
      <c r="B51" s="112"/>
      <c r="C51" s="21">
        <f>SUM(C48:C50)</f>
        <v>1452.81</v>
      </c>
      <c r="D51" s="21">
        <f>SUM(D48:D50)</f>
        <v>1501.81</v>
      </c>
      <c r="E51" s="113">
        <f t="shared" si="0"/>
        <v>49</v>
      </c>
      <c r="G51" s="8" t="s">
        <v>125</v>
      </c>
      <c r="H51" s="8" t="s">
        <v>63</v>
      </c>
      <c r="I51" s="8">
        <v>329.1</v>
      </c>
      <c r="J51" s="8">
        <v>149.8</v>
      </c>
      <c r="K51" s="8">
        <v>-179.3</v>
      </c>
      <c r="L51"/>
      <c r="M51"/>
      <c r="N51"/>
    </row>
    <row r="52" spans="1:14" ht="12.75">
      <c r="A52" s="4" t="s">
        <v>109</v>
      </c>
      <c r="B52" s="4" t="s">
        <v>42</v>
      </c>
      <c r="C52" s="18">
        <v>64.7</v>
      </c>
      <c r="D52" s="18">
        <v>64.7</v>
      </c>
      <c r="E52" s="19">
        <f t="shared" si="0"/>
        <v>0</v>
      </c>
      <c r="G52" s="8" t="s">
        <v>126</v>
      </c>
      <c r="H52" s="8" t="s">
        <v>64</v>
      </c>
      <c r="I52" s="8">
        <v>195.8</v>
      </c>
      <c r="J52" s="8">
        <v>82.2</v>
      </c>
      <c r="K52" s="8">
        <v>-113.6</v>
      </c>
      <c r="L52" s="8"/>
      <c r="M52" s="8"/>
      <c r="N52" s="8"/>
    </row>
    <row r="53" spans="1:11" ht="12.75">
      <c r="A53" s="5"/>
      <c r="B53" s="6" t="s">
        <v>43</v>
      </c>
      <c r="C53" s="20">
        <v>1507.5</v>
      </c>
      <c r="D53" s="20">
        <v>1507.5</v>
      </c>
      <c r="E53" s="19">
        <f t="shared" si="0"/>
        <v>0</v>
      </c>
      <c r="G53" s="8" t="s">
        <v>127</v>
      </c>
      <c r="H53" s="8" t="s">
        <v>65</v>
      </c>
      <c r="I53" s="8">
        <v>179.3</v>
      </c>
      <c r="J53" s="8">
        <v>93.6</v>
      </c>
      <c r="K53" s="8">
        <v>-85.7</v>
      </c>
    </row>
    <row r="54" spans="1:11" ht="12.75">
      <c r="A54" s="5"/>
      <c r="B54" s="6" t="s">
        <v>44</v>
      </c>
      <c r="C54" s="20">
        <v>1372.4</v>
      </c>
      <c r="D54" s="20">
        <v>1372.4</v>
      </c>
      <c r="E54" s="19">
        <f t="shared" si="0"/>
        <v>0</v>
      </c>
      <c r="G54" s="8" t="s">
        <v>128</v>
      </c>
      <c r="H54" s="8" t="s">
        <v>66</v>
      </c>
      <c r="I54" s="8">
        <v>325.5</v>
      </c>
      <c r="J54" s="8">
        <v>129.4</v>
      </c>
      <c r="K54" s="8">
        <v>-196.1</v>
      </c>
    </row>
    <row r="55" spans="1:11" ht="12.75">
      <c r="A55" s="5"/>
      <c r="B55" s="6" t="s">
        <v>45</v>
      </c>
      <c r="C55" s="20">
        <v>585.9</v>
      </c>
      <c r="D55" s="20">
        <v>585.9</v>
      </c>
      <c r="E55" s="19">
        <f t="shared" si="0"/>
        <v>0</v>
      </c>
      <c r="G55" s="8" t="s">
        <v>129</v>
      </c>
      <c r="H55" s="8" t="s">
        <v>67</v>
      </c>
      <c r="I55" s="8">
        <v>33.4</v>
      </c>
      <c r="J55" s="8">
        <v>57.8</v>
      </c>
      <c r="K55" s="8">
        <v>24.4</v>
      </c>
    </row>
    <row r="56" spans="1:11" ht="12.75">
      <c r="A56" s="5"/>
      <c r="B56" s="6" t="s">
        <v>46</v>
      </c>
      <c r="C56" s="20">
        <v>2392.2</v>
      </c>
      <c r="D56" s="20">
        <v>2392.2</v>
      </c>
      <c r="E56" s="19">
        <f t="shared" si="0"/>
        <v>0</v>
      </c>
      <c r="G56" s="8" t="s">
        <v>130</v>
      </c>
      <c r="H56" s="8" t="s">
        <v>68</v>
      </c>
      <c r="I56" s="8">
        <v>92.3</v>
      </c>
      <c r="J56" s="8">
        <v>13.8</v>
      </c>
      <c r="K56" s="8">
        <v>-78.5</v>
      </c>
    </row>
    <row r="57" spans="1:14" s="8" customFormat="1" ht="12.75">
      <c r="A57" s="7" t="s">
        <v>157</v>
      </c>
      <c r="B57" s="9"/>
      <c r="C57" s="15">
        <f>SUM(C52:C56)</f>
        <v>5922.700000000001</v>
      </c>
      <c r="D57" s="15">
        <f>SUM(D52:D56)</f>
        <v>5922.700000000001</v>
      </c>
      <c r="E57" s="15">
        <f>SUM(E52:E56)</f>
        <v>0</v>
      </c>
      <c r="G57" s="8" t="s">
        <v>131</v>
      </c>
      <c r="H57" s="8" t="s">
        <v>69</v>
      </c>
      <c r="I57" s="8">
        <v>455</v>
      </c>
      <c r="J57" s="8">
        <v>455</v>
      </c>
      <c r="K57" s="8">
        <v>0</v>
      </c>
      <c r="M57"/>
      <c r="N57"/>
    </row>
    <row r="58" spans="1:11" s="8" customFormat="1" ht="12.75">
      <c r="A58" s="7" t="s">
        <v>110</v>
      </c>
      <c r="B58" s="7" t="s">
        <v>47</v>
      </c>
      <c r="C58" s="16">
        <v>2771.3</v>
      </c>
      <c r="D58" s="16">
        <v>2771.3</v>
      </c>
      <c r="E58" s="17">
        <f t="shared" si="0"/>
        <v>0</v>
      </c>
      <c r="G58" s="8" t="s">
        <v>132</v>
      </c>
      <c r="H58" s="8" t="s">
        <v>70</v>
      </c>
      <c r="I58" s="8">
        <v>106.9</v>
      </c>
      <c r="J58" s="8">
        <v>106.9</v>
      </c>
      <c r="K58" s="8">
        <v>0</v>
      </c>
    </row>
    <row r="59" spans="1:5" s="80" customFormat="1" ht="15.75">
      <c r="A59" s="78" t="s">
        <v>356</v>
      </c>
      <c r="B59" s="78"/>
      <c r="C59" s="79">
        <f>SUM(C58,C57,C51,C47,C46,C43,C23,C12,C5)</f>
        <v>61388.835999999996</v>
      </c>
      <c r="D59" s="79">
        <f>SUM(D58,D57,D51,D47,D46,D43,D23,D12,D5)</f>
        <v>61551.835999999996</v>
      </c>
      <c r="E59" s="79">
        <f>SUM(E58,E57,E51,E47,E46,E43,E23,E12,E5)</f>
        <v>163</v>
      </c>
    </row>
    <row r="60" spans="1:14" ht="12.75">
      <c r="A60" s="4" t="s">
        <v>111</v>
      </c>
      <c r="B60" s="4" t="s">
        <v>48</v>
      </c>
      <c r="C60" s="18">
        <v>62.9</v>
      </c>
      <c r="D60" s="18">
        <v>62.9</v>
      </c>
      <c r="E60" s="19">
        <f t="shared" si="0"/>
        <v>0</v>
      </c>
      <c r="G60" t="s">
        <v>133</v>
      </c>
      <c r="H60" t="s">
        <v>71</v>
      </c>
      <c r="I60">
        <v>15</v>
      </c>
      <c r="J60">
        <v>15</v>
      </c>
      <c r="K60">
        <v>0</v>
      </c>
      <c r="M60" s="8"/>
      <c r="N60" s="8"/>
    </row>
    <row r="61" spans="1:11" ht="12.75">
      <c r="A61" s="5"/>
      <c r="B61" s="6" t="s">
        <v>49</v>
      </c>
      <c r="C61" s="20">
        <v>60.1</v>
      </c>
      <c r="D61" s="20">
        <v>60.1</v>
      </c>
      <c r="E61" s="19">
        <f aca="true" t="shared" si="1" ref="E61:E105">+D61-C61</f>
        <v>0</v>
      </c>
      <c r="H61" t="s">
        <v>72</v>
      </c>
      <c r="I61">
        <v>9.4</v>
      </c>
      <c r="J61">
        <v>9.4</v>
      </c>
      <c r="K61">
        <v>0</v>
      </c>
    </row>
    <row r="62" spans="1:14" s="8" customFormat="1" ht="12.75">
      <c r="A62" s="7" t="s">
        <v>158</v>
      </c>
      <c r="B62" s="9"/>
      <c r="C62" s="16">
        <v>123</v>
      </c>
      <c r="D62" s="16">
        <v>123</v>
      </c>
      <c r="E62" s="17">
        <f t="shared" si="1"/>
        <v>0</v>
      </c>
      <c r="G62" s="8" t="s">
        <v>159</v>
      </c>
      <c r="I62" s="8">
        <v>24.4</v>
      </c>
      <c r="J62" s="8">
        <v>24.4</v>
      </c>
      <c r="K62" s="8">
        <v>0</v>
      </c>
      <c r="L62"/>
      <c r="M62"/>
      <c r="N62"/>
    </row>
    <row r="63" spans="1:14" ht="12.75">
      <c r="A63" s="4" t="s">
        <v>112</v>
      </c>
      <c r="B63" s="4" t="s">
        <v>48</v>
      </c>
      <c r="C63" s="18"/>
      <c r="D63" s="18"/>
      <c r="E63" s="19">
        <f t="shared" si="1"/>
        <v>0</v>
      </c>
      <c r="G63" s="8" t="s">
        <v>134</v>
      </c>
      <c r="H63" s="8" t="s">
        <v>73</v>
      </c>
      <c r="I63" s="8">
        <v>32.2</v>
      </c>
      <c r="J63" s="8">
        <v>32.6</v>
      </c>
      <c r="K63" s="8">
        <v>0.3999999999999986</v>
      </c>
      <c r="L63" s="8"/>
      <c r="M63" s="8"/>
      <c r="N63" s="8"/>
    </row>
    <row r="64" spans="1:11" ht="12.75">
      <c r="A64" s="5"/>
      <c r="B64" s="6" t="s">
        <v>50</v>
      </c>
      <c r="C64" s="20">
        <v>76.1</v>
      </c>
      <c r="D64" s="20">
        <v>76.1</v>
      </c>
      <c r="E64" s="19">
        <f t="shared" si="1"/>
        <v>0</v>
      </c>
      <c r="G64" s="8" t="s">
        <v>146</v>
      </c>
      <c r="H64" s="8" t="s">
        <v>99</v>
      </c>
      <c r="I64" s="8">
        <v>9.1</v>
      </c>
      <c r="J64" s="8"/>
      <c r="K64" s="8">
        <v>-9.1</v>
      </c>
    </row>
    <row r="65" spans="1:14" s="8" customFormat="1" ht="12.75">
      <c r="A65" s="13" t="s">
        <v>112</v>
      </c>
      <c r="B65" s="13"/>
      <c r="C65" s="21">
        <f>SUM(C63:C64)</f>
        <v>76.1</v>
      </c>
      <c r="D65" s="21">
        <f>SUM(D63:D64)</f>
        <v>76.1</v>
      </c>
      <c r="E65" s="17">
        <f t="shared" si="1"/>
        <v>0</v>
      </c>
      <c r="G65" s="8" t="s">
        <v>135</v>
      </c>
      <c r="H65" s="8" t="s">
        <v>74</v>
      </c>
      <c r="I65" s="8">
        <v>109.1</v>
      </c>
      <c r="J65" s="8">
        <v>112.9</v>
      </c>
      <c r="K65" s="8">
        <v>3.8000000000000114</v>
      </c>
      <c r="L65"/>
      <c r="M65"/>
      <c r="N65"/>
    </row>
    <row r="66" spans="1:12" s="8" customFormat="1" ht="12.75">
      <c r="A66" s="7" t="s">
        <v>113</v>
      </c>
      <c r="B66" s="7" t="s">
        <v>51</v>
      </c>
      <c r="C66" s="16">
        <v>285</v>
      </c>
      <c r="D66" s="16">
        <v>285</v>
      </c>
      <c r="E66" s="17">
        <f t="shared" si="1"/>
        <v>0</v>
      </c>
      <c r="G66" s="8" t="s">
        <v>136</v>
      </c>
      <c r="H66" s="8" t="s">
        <v>75</v>
      </c>
      <c r="I66" s="8">
        <v>1753.1</v>
      </c>
      <c r="J66" s="8">
        <v>1773</v>
      </c>
      <c r="K66" s="8">
        <v>19.90000000000009</v>
      </c>
      <c r="L66"/>
    </row>
    <row r="67" spans="1:5" s="80" customFormat="1" ht="15.75">
      <c r="A67" s="78" t="s">
        <v>362</v>
      </c>
      <c r="B67" s="78"/>
      <c r="C67" s="79">
        <f>SUM(C62,C65,C66)</f>
        <v>484.1</v>
      </c>
      <c r="D67" s="79">
        <f>SUM(D62,D65,D66)</f>
        <v>484.1</v>
      </c>
      <c r="E67" s="79">
        <f>SUM(E62,E65,E66)</f>
        <v>0</v>
      </c>
    </row>
    <row r="68" spans="1:12" s="8" customFormat="1" ht="12.75">
      <c r="A68" s="7" t="s">
        <v>114</v>
      </c>
      <c r="B68" s="7" t="s">
        <v>52</v>
      </c>
      <c r="C68" s="16">
        <f>595-76.41</f>
        <v>518.59</v>
      </c>
      <c r="D68" s="16">
        <f>595-76.41</f>
        <v>518.59</v>
      </c>
      <c r="E68" s="17">
        <f t="shared" si="1"/>
        <v>0</v>
      </c>
      <c r="G68" t="s">
        <v>137</v>
      </c>
      <c r="H68" t="s">
        <v>76</v>
      </c>
      <c r="I68">
        <v>1063.4</v>
      </c>
      <c r="J68">
        <v>935.4</v>
      </c>
      <c r="K68">
        <v>-128</v>
      </c>
      <c r="L68"/>
    </row>
    <row r="69" spans="1:12" s="8" customFormat="1" ht="12.75">
      <c r="A69" s="7" t="s">
        <v>115</v>
      </c>
      <c r="B69" s="7" t="s">
        <v>53</v>
      </c>
      <c r="C69" s="16">
        <v>9.4</v>
      </c>
      <c r="D69" s="16">
        <v>9.4</v>
      </c>
      <c r="E69" s="17">
        <f t="shared" si="1"/>
        <v>0</v>
      </c>
      <c r="G69"/>
      <c r="H69" t="s">
        <v>100</v>
      </c>
      <c r="I69">
        <v>74.6</v>
      </c>
      <c r="J69"/>
      <c r="K69">
        <v>-74.6</v>
      </c>
      <c r="L69"/>
    </row>
    <row r="70" spans="1:11" s="8" customFormat="1" ht="12.75">
      <c r="A70" s="7" t="s">
        <v>116</v>
      </c>
      <c r="B70" s="7" t="s">
        <v>54</v>
      </c>
      <c r="C70" s="16">
        <v>29.6</v>
      </c>
      <c r="D70" s="16">
        <v>29.6</v>
      </c>
      <c r="E70" s="17">
        <f t="shared" si="1"/>
        <v>0</v>
      </c>
      <c r="G70"/>
      <c r="H70" t="s">
        <v>77</v>
      </c>
      <c r="I70">
        <v>1275.3</v>
      </c>
      <c r="J70">
        <v>1269.6</v>
      </c>
      <c r="K70">
        <v>-5.7000000000000455</v>
      </c>
    </row>
    <row r="71" spans="1:11" s="8" customFormat="1" ht="12.75">
      <c r="A71" s="7" t="s">
        <v>117</v>
      </c>
      <c r="B71" s="7" t="s">
        <v>55</v>
      </c>
      <c r="C71" s="16">
        <f>338.8--6.5</f>
        <v>345.3</v>
      </c>
      <c r="D71" s="16">
        <f>338.8--6.5</f>
        <v>345.3</v>
      </c>
      <c r="E71" s="17">
        <f t="shared" si="1"/>
        <v>0</v>
      </c>
      <c r="G71" s="8" t="s">
        <v>160</v>
      </c>
      <c r="I71" s="8">
        <v>2413.3</v>
      </c>
      <c r="J71" s="8">
        <v>2205</v>
      </c>
      <c r="K71" s="8">
        <v>-208.3</v>
      </c>
    </row>
    <row r="72" spans="1:5" s="80" customFormat="1" ht="15.75">
      <c r="A72" s="78" t="s">
        <v>361</v>
      </c>
      <c r="B72" s="78"/>
      <c r="C72" s="79">
        <f>SUM(C68:C71)</f>
        <v>902.8900000000001</v>
      </c>
      <c r="D72" s="79">
        <f>SUM(D68:D71)</f>
        <v>902.8900000000001</v>
      </c>
      <c r="E72" s="79">
        <f>SUM(E68:E71)</f>
        <v>0</v>
      </c>
    </row>
    <row r="73" spans="1:12" s="8" customFormat="1" ht="13.5" thickBot="1">
      <c r="A73" s="7" t="s">
        <v>118</v>
      </c>
      <c r="B73" s="7" t="s">
        <v>56</v>
      </c>
      <c r="C73" s="16">
        <f>357--0.4</f>
        <v>357.4</v>
      </c>
      <c r="D73" s="16">
        <f>357--0.4</f>
        <v>357.4</v>
      </c>
      <c r="E73" s="17">
        <f t="shared" si="1"/>
        <v>0</v>
      </c>
      <c r="G73" s="8" t="s">
        <v>138</v>
      </c>
      <c r="H73" s="8" t="s">
        <v>78</v>
      </c>
      <c r="I73" s="8">
        <v>237.8</v>
      </c>
      <c r="J73" s="8">
        <v>237.6</v>
      </c>
      <c r="K73" s="8">
        <v>-0.20000000000001705</v>
      </c>
      <c r="L73"/>
    </row>
    <row r="74" spans="1:12" s="8" customFormat="1" ht="12.75">
      <c r="A74" s="7" t="s">
        <v>119</v>
      </c>
      <c r="B74" s="119" t="s">
        <v>57</v>
      </c>
      <c r="C74" s="120">
        <f>733.2-113.13</f>
        <v>620.07</v>
      </c>
      <c r="D74" s="120">
        <f>733.2-113.13+105.5</f>
        <v>725.57</v>
      </c>
      <c r="E74" s="121">
        <f t="shared" si="1"/>
        <v>105.5</v>
      </c>
      <c r="G74" t="s">
        <v>139</v>
      </c>
      <c r="H74" t="s">
        <v>79</v>
      </c>
      <c r="I74">
        <v>3937.1</v>
      </c>
      <c r="J74">
        <v>3897.3</v>
      </c>
      <c r="K74">
        <v>-39.79999999999973</v>
      </c>
      <c r="L74"/>
    </row>
    <row r="75" spans="1:11" s="8" customFormat="1" ht="12.75">
      <c r="A75" s="7" t="s">
        <v>120</v>
      </c>
      <c r="B75" s="122" t="s">
        <v>58</v>
      </c>
      <c r="C75" s="117">
        <f>987.9-22.89</f>
        <v>965.01</v>
      </c>
      <c r="D75" s="117">
        <f>987.9-22.89+23.5</f>
        <v>988.51</v>
      </c>
      <c r="E75" s="123">
        <f t="shared" si="1"/>
        <v>23.5</v>
      </c>
      <c r="G75"/>
      <c r="H75" t="s">
        <v>80</v>
      </c>
      <c r="I75">
        <v>515.8</v>
      </c>
      <c r="J75">
        <v>537.5</v>
      </c>
      <c r="K75">
        <v>21.7</v>
      </c>
    </row>
    <row r="76" spans="1:12" s="8" customFormat="1" ht="15.75" thickBot="1">
      <c r="A76" s="7" t="s">
        <v>121</v>
      </c>
      <c r="B76" s="124" t="s">
        <v>59</v>
      </c>
      <c r="C76" s="125">
        <f>1062.9-5.4</f>
        <v>1057.5</v>
      </c>
      <c r="D76" s="125">
        <f>1062.9-5.4+5</f>
        <v>1062.5</v>
      </c>
      <c r="E76" s="126">
        <f t="shared" si="1"/>
        <v>5</v>
      </c>
      <c r="F76" s="127">
        <f>SUM(E74:E76)</f>
        <v>134</v>
      </c>
      <c r="G76"/>
      <c r="H76" t="s">
        <v>88</v>
      </c>
      <c r="I76">
        <v>1608.4</v>
      </c>
      <c r="J76">
        <v>1656.4</v>
      </c>
      <c r="K76">
        <v>48</v>
      </c>
      <c r="L76"/>
    </row>
    <row r="77" spans="1:12" s="8" customFormat="1" ht="12.75">
      <c r="A77" s="7" t="s">
        <v>122</v>
      </c>
      <c r="B77" s="13" t="s">
        <v>60</v>
      </c>
      <c r="C77" s="118">
        <v>1.3</v>
      </c>
      <c r="D77" s="118">
        <v>1.3</v>
      </c>
      <c r="E77" s="113">
        <f t="shared" si="1"/>
        <v>0</v>
      </c>
      <c r="G77" s="8" t="s">
        <v>161</v>
      </c>
      <c r="I77" s="8">
        <v>6061.3</v>
      </c>
      <c r="J77" s="8">
        <v>6091.2</v>
      </c>
      <c r="K77" s="8">
        <v>29.899999999999636</v>
      </c>
      <c r="L77"/>
    </row>
    <row r="78" spans="1:5" s="80" customFormat="1" ht="15.75">
      <c r="A78" s="78" t="s">
        <v>360</v>
      </c>
      <c r="B78" s="78"/>
      <c r="C78" s="79">
        <f>SUM(C73:C77)</f>
        <v>3001.28</v>
      </c>
      <c r="D78" s="79">
        <f>SUM(D73:D77)</f>
        <v>3135.28</v>
      </c>
      <c r="E78" s="79">
        <f>SUM(E73:E77)</f>
        <v>134</v>
      </c>
    </row>
    <row r="79" spans="1:11" s="8" customFormat="1" ht="12.75">
      <c r="A79" s="7" t="s">
        <v>123</v>
      </c>
      <c r="B79" s="7" t="s">
        <v>61</v>
      </c>
      <c r="C79" s="16">
        <v>150.8</v>
      </c>
      <c r="D79" s="16">
        <f>150.8+0</f>
        <v>150.8</v>
      </c>
      <c r="E79" s="17">
        <f t="shared" si="1"/>
        <v>0</v>
      </c>
      <c r="G79" t="s">
        <v>140</v>
      </c>
      <c r="H79" t="s">
        <v>81</v>
      </c>
      <c r="I79">
        <v>2789.4</v>
      </c>
      <c r="J79">
        <v>2963.9</v>
      </c>
      <c r="K79">
        <v>174.5</v>
      </c>
    </row>
    <row r="80" spans="1:11" s="8" customFormat="1" ht="12.75">
      <c r="A80" s="7" t="s">
        <v>124</v>
      </c>
      <c r="B80" s="7" t="s">
        <v>62</v>
      </c>
      <c r="C80" s="16">
        <v>138.1</v>
      </c>
      <c r="D80" s="16">
        <v>138.1</v>
      </c>
      <c r="E80" s="17">
        <f t="shared" si="1"/>
        <v>0</v>
      </c>
      <c r="G80"/>
      <c r="H80" t="s">
        <v>82</v>
      </c>
      <c r="I80">
        <v>959.5</v>
      </c>
      <c r="J80">
        <v>1017</v>
      </c>
      <c r="K80">
        <v>57.5</v>
      </c>
    </row>
    <row r="81" spans="1:11" s="8" customFormat="1" ht="12.75">
      <c r="A81" s="7" t="s">
        <v>125</v>
      </c>
      <c r="B81" s="7" t="s">
        <v>63</v>
      </c>
      <c r="C81" s="16">
        <v>149.8</v>
      </c>
      <c r="D81" s="16">
        <v>149.8</v>
      </c>
      <c r="E81" s="17">
        <f t="shared" si="1"/>
        <v>0</v>
      </c>
      <c r="G81"/>
      <c r="H81" t="s">
        <v>83</v>
      </c>
      <c r="I81">
        <v>724.5</v>
      </c>
      <c r="J81">
        <v>1018.1</v>
      </c>
      <c r="K81">
        <v>293.6</v>
      </c>
    </row>
    <row r="82" spans="1:11" s="8" customFormat="1" ht="12.75">
      <c r="A82" s="7" t="s">
        <v>126</v>
      </c>
      <c r="B82" s="7" t="s">
        <v>64</v>
      </c>
      <c r="C82" s="16">
        <v>82.2</v>
      </c>
      <c r="D82" s="16">
        <v>82.2</v>
      </c>
      <c r="E82" s="17">
        <f t="shared" si="1"/>
        <v>0</v>
      </c>
      <c r="G82"/>
      <c r="H82" t="s">
        <v>84</v>
      </c>
      <c r="I82">
        <v>428.7</v>
      </c>
      <c r="J82">
        <v>487.1</v>
      </c>
      <c r="K82">
        <v>58.4</v>
      </c>
    </row>
    <row r="83" spans="1:11" s="8" customFormat="1" ht="12.75">
      <c r="A83" s="7" t="s">
        <v>127</v>
      </c>
      <c r="B83" s="7" t="s">
        <v>65</v>
      </c>
      <c r="C83" s="16">
        <v>93.6</v>
      </c>
      <c r="D83" s="16">
        <v>93.6</v>
      </c>
      <c r="E83" s="17">
        <f t="shared" si="1"/>
        <v>0</v>
      </c>
      <c r="G83" s="8" t="s">
        <v>162</v>
      </c>
      <c r="I83" s="8">
        <v>4902.1</v>
      </c>
      <c r="J83" s="8">
        <v>5486.1</v>
      </c>
      <c r="K83" s="8">
        <v>584</v>
      </c>
    </row>
    <row r="84" spans="1:11" s="8" customFormat="1" ht="12.75">
      <c r="A84" s="7" t="s">
        <v>128</v>
      </c>
      <c r="B84" s="7" t="s">
        <v>66</v>
      </c>
      <c r="C84" s="16">
        <v>129.4</v>
      </c>
      <c r="D84" s="16">
        <v>129.4</v>
      </c>
      <c r="E84" s="17">
        <f t="shared" si="1"/>
        <v>0</v>
      </c>
      <c r="G84" t="s">
        <v>141</v>
      </c>
      <c r="H84" t="s">
        <v>85</v>
      </c>
      <c r="I84">
        <v>324.1</v>
      </c>
      <c r="J84">
        <v>324.6</v>
      </c>
      <c r="K84">
        <v>0.5</v>
      </c>
    </row>
    <row r="85" spans="1:11" s="8" customFormat="1" ht="12.75">
      <c r="A85" s="7" t="s">
        <v>129</v>
      </c>
      <c r="B85" s="7" t="s">
        <v>67</v>
      </c>
      <c r="C85" s="16">
        <v>57.8</v>
      </c>
      <c r="D85" s="16">
        <v>57.8</v>
      </c>
      <c r="E85" s="17">
        <f t="shared" si="1"/>
        <v>0</v>
      </c>
      <c r="G85"/>
      <c r="H85" t="s">
        <v>86</v>
      </c>
      <c r="I85">
        <v>145.9</v>
      </c>
      <c r="J85">
        <v>146.5</v>
      </c>
      <c r="K85">
        <v>0.5999999999999943</v>
      </c>
    </row>
    <row r="86" spans="1:5" s="80" customFormat="1" ht="15.75">
      <c r="A86" s="78" t="s">
        <v>359</v>
      </c>
      <c r="B86" s="78"/>
      <c r="C86" s="79">
        <f>SUM(C79:C85)</f>
        <v>801.6999999999999</v>
      </c>
      <c r="D86" s="79">
        <f>SUM(D79:D85)</f>
        <v>801.6999999999999</v>
      </c>
      <c r="E86" s="79">
        <f>SUM(E79:E85)</f>
        <v>0</v>
      </c>
    </row>
    <row r="87" spans="1:11" s="8" customFormat="1" ht="12.75">
      <c r="A87" s="7" t="s">
        <v>130</v>
      </c>
      <c r="B87" s="7" t="s">
        <v>68</v>
      </c>
      <c r="C87" s="16">
        <v>13.8</v>
      </c>
      <c r="D87" s="16">
        <v>13.8</v>
      </c>
      <c r="E87" s="17">
        <f t="shared" si="1"/>
        <v>0</v>
      </c>
      <c r="G87" s="8" t="s">
        <v>163</v>
      </c>
      <c r="I87" s="8">
        <v>470</v>
      </c>
      <c r="J87" s="8">
        <v>471.1</v>
      </c>
      <c r="K87" s="8">
        <v>1.1000000000000227</v>
      </c>
    </row>
    <row r="88" spans="1:11" s="8" customFormat="1" ht="12.75">
      <c r="A88" s="7" t="s">
        <v>131</v>
      </c>
      <c r="B88" s="7" t="s">
        <v>69</v>
      </c>
      <c r="C88" s="16">
        <v>455</v>
      </c>
      <c r="D88" s="16">
        <v>455</v>
      </c>
      <c r="E88" s="17">
        <f t="shared" si="1"/>
        <v>0</v>
      </c>
      <c r="G88" s="8" t="s">
        <v>142</v>
      </c>
      <c r="H88" s="8" t="s">
        <v>87</v>
      </c>
      <c r="I88" s="8">
        <v>1197.6</v>
      </c>
      <c r="J88" s="8">
        <v>806.9</v>
      </c>
      <c r="K88" s="8">
        <v>-390.7</v>
      </c>
    </row>
    <row r="89" spans="1:11" s="8" customFormat="1" ht="12.75">
      <c r="A89" s="7" t="s">
        <v>132</v>
      </c>
      <c r="B89" s="7" t="s">
        <v>70</v>
      </c>
      <c r="C89" s="16">
        <v>106.9</v>
      </c>
      <c r="D89" s="16">
        <v>106.9</v>
      </c>
      <c r="E89" s="17">
        <f t="shared" si="1"/>
        <v>0</v>
      </c>
      <c r="G89" s="8" t="s">
        <v>143</v>
      </c>
      <c r="H89" s="8" t="s">
        <v>143</v>
      </c>
      <c r="I89" s="8">
        <v>8720</v>
      </c>
      <c r="J89" s="8">
        <v>7921.4</v>
      </c>
      <c r="K89" s="8">
        <v>-798.6</v>
      </c>
    </row>
    <row r="90" spans="1:14" ht="12.75">
      <c r="A90" s="4" t="s">
        <v>133</v>
      </c>
      <c r="B90" s="4" t="s">
        <v>71</v>
      </c>
      <c r="C90" s="18">
        <v>15</v>
      </c>
      <c r="D90" s="18">
        <v>15</v>
      </c>
      <c r="E90" s="19">
        <f t="shared" si="1"/>
        <v>0</v>
      </c>
      <c r="G90" s="8" t="s">
        <v>144</v>
      </c>
      <c r="H90" s="8" t="s">
        <v>144</v>
      </c>
      <c r="I90" s="8">
        <v>75</v>
      </c>
      <c r="J90" s="8">
        <v>75</v>
      </c>
      <c r="K90" s="8">
        <v>0</v>
      </c>
      <c r="L90" s="8"/>
      <c r="M90" s="8"/>
      <c r="N90" s="8"/>
    </row>
    <row r="91" spans="1:12" ht="12.75">
      <c r="A91" s="5"/>
      <c r="B91" s="6" t="s">
        <v>72</v>
      </c>
      <c r="C91" s="20">
        <v>9.4</v>
      </c>
      <c r="D91" s="20">
        <v>9.4</v>
      </c>
      <c r="E91" s="19">
        <f t="shared" si="1"/>
        <v>0</v>
      </c>
      <c r="G91" s="8" t="s">
        <v>145</v>
      </c>
      <c r="H91" s="8" t="s">
        <v>89</v>
      </c>
      <c r="I91" s="8"/>
      <c r="J91" s="8">
        <v>-406</v>
      </c>
      <c r="K91" s="8">
        <v>-406</v>
      </c>
      <c r="L91" s="8"/>
    </row>
    <row r="92" spans="1:14" s="8" customFormat="1" ht="15.75">
      <c r="A92" s="7" t="s">
        <v>159</v>
      </c>
      <c r="B92" s="9"/>
      <c r="C92" s="16">
        <v>24.4</v>
      </c>
      <c r="D92" s="16">
        <v>24.4</v>
      </c>
      <c r="E92" s="17">
        <f t="shared" si="1"/>
        <v>0</v>
      </c>
      <c r="G92" s="12" t="s">
        <v>151</v>
      </c>
      <c r="H92" s="12"/>
      <c r="I92" s="12">
        <v>92401.4</v>
      </c>
      <c r="J92" s="12">
        <v>92401.4</v>
      </c>
      <c r="K92" s="12">
        <v>0</v>
      </c>
      <c r="M92"/>
      <c r="N92"/>
    </row>
    <row r="93" spans="1:5" s="80" customFormat="1" ht="15.75">
      <c r="A93" s="78" t="s">
        <v>358</v>
      </c>
      <c r="B93" s="78"/>
      <c r="C93" s="79">
        <f>SUM(C87:C89,C92)</f>
        <v>600.1</v>
      </c>
      <c r="D93" s="79">
        <f>SUM(D87:D89,D92)</f>
        <v>600.1</v>
      </c>
      <c r="E93" s="79">
        <f>SUM(E87:E89,E92)</f>
        <v>0</v>
      </c>
    </row>
    <row r="94" spans="1:11" s="8" customFormat="1" ht="12.75">
      <c r="A94" s="7" t="s">
        <v>134</v>
      </c>
      <c r="B94" s="7" t="s">
        <v>73</v>
      </c>
      <c r="C94" s="16">
        <v>32.6</v>
      </c>
      <c r="D94" s="16">
        <v>32.6</v>
      </c>
      <c r="E94" s="17">
        <f t="shared" si="1"/>
        <v>0</v>
      </c>
      <c r="G94"/>
      <c r="H94"/>
      <c r="I94"/>
      <c r="J94"/>
      <c r="K94"/>
    </row>
    <row r="95" spans="1:11" s="8" customFormat="1" ht="12.75">
      <c r="A95" s="7" t="s">
        <v>146</v>
      </c>
      <c r="B95" s="7" t="s">
        <v>99</v>
      </c>
      <c r="C95" s="16"/>
      <c r="D95" s="16"/>
      <c r="E95" s="17">
        <f t="shared" si="1"/>
        <v>0</v>
      </c>
      <c r="G95"/>
      <c r="H95"/>
      <c r="I95"/>
      <c r="J95"/>
      <c r="K95"/>
    </row>
    <row r="96" spans="1:11" s="8" customFormat="1" ht="12.75">
      <c r="A96" s="7" t="s">
        <v>135</v>
      </c>
      <c r="B96" s="7" t="s">
        <v>74</v>
      </c>
      <c r="C96" s="16">
        <v>112.9</v>
      </c>
      <c r="D96" s="16">
        <v>112.9</v>
      </c>
      <c r="E96" s="17">
        <f t="shared" si="1"/>
        <v>0</v>
      </c>
      <c r="G96"/>
      <c r="H96"/>
      <c r="I96"/>
      <c r="J96"/>
      <c r="K96"/>
    </row>
    <row r="97" spans="1:11" s="8" customFormat="1" ht="12.75">
      <c r="A97" s="7" t="s">
        <v>136</v>
      </c>
      <c r="B97" s="7" t="s">
        <v>75</v>
      </c>
      <c r="C97" s="16">
        <v>1773</v>
      </c>
      <c r="D97" s="16">
        <v>1773</v>
      </c>
      <c r="E97" s="17">
        <f t="shared" si="1"/>
        <v>0</v>
      </c>
      <c r="G97"/>
      <c r="H97"/>
      <c r="I97"/>
      <c r="J97"/>
      <c r="K97"/>
    </row>
    <row r="98" spans="1:14" ht="12.75">
      <c r="A98" s="4" t="s">
        <v>137</v>
      </c>
      <c r="B98" s="4" t="s">
        <v>76</v>
      </c>
      <c r="C98" s="18">
        <v>935.4</v>
      </c>
      <c r="D98" s="18">
        <v>935.4</v>
      </c>
      <c r="E98" s="19">
        <f t="shared" si="1"/>
        <v>0</v>
      </c>
      <c r="L98" s="8"/>
      <c r="M98" s="8"/>
      <c r="N98" s="8"/>
    </row>
    <row r="99" spans="1:12" ht="12.75">
      <c r="A99" s="5"/>
      <c r="B99" s="6" t="s">
        <v>100</v>
      </c>
      <c r="C99" s="20"/>
      <c r="D99" s="20"/>
      <c r="E99" s="19">
        <f t="shared" si="1"/>
        <v>0</v>
      </c>
      <c r="L99" s="8"/>
    </row>
    <row r="100" spans="1:12" ht="12.75">
      <c r="A100" s="5"/>
      <c r="B100" s="6" t="s">
        <v>77</v>
      </c>
      <c r="C100" s="20">
        <v>1269.6</v>
      </c>
      <c r="D100" s="20">
        <v>1269.6</v>
      </c>
      <c r="E100" s="19">
        <f t="shared" si="1"/>
        <v>0</v>
      </c>
      <c r="L100" s="8"/>
    </row>
    <row r="101" spans="1:14" s="8" customFormat="1" ht="12.75">
      <c r="A101" s="7" t="s">
        <v>160</v>
      </c>
      <c r="B101" s="9"/>
      <c r="C101" s="15">
        <f>SUM(C98:C100)</f>
        <v>2205</v>
      </c>
      <c r="D101" s="15">
        <f>SUM(D98:D100)</f>
        <v>2205</v>
      </c>
      <c r="E101" s="15">
        <f>SUM(E98:E100)</f>
        <v>0</v>
      </c>
      <c r="G101"/>
      <c r="H101"/>
      <c r="I101"/>
      <c r="J101"/>
      <c r="K101"/>
      <c r="M101"/>
      <c r="N101"/>
    </row>
    <row r="102" spans="1:12" s="8" customFormat="1" ht="12.75">
      <c r="A102" s="7" t="s">
        <v>138</v>
      </c>
      <c r="B102" s="7" t="s">
        <v>78</v>
      </c>
      <c r="C102" s="16">
        <v>237.6</v>
      </c>
      <c r="D102" s="16">
        <v>237.6</v>
      </c>
      <c r="E102" s="17">
        <f t="shared" si="1"/>
        <v>0</v>
      </c>
      <c r="G102"/>
      <c r="H102"/>
      <c r="I102"/>
      <c r="J102"/>
      <c r="K102"/>
      <c r="L102"/>
    </row>
    <row r="103" spans="1:5" s="80" customFormat="1" ht="15.75">
      <c r="A103" s="78" t="s">
        <v>355</v>
      </c>
      <c r="B103" s="78"/>
      <c r="C103" s="79">
        <f>SUM(C94:C97,C101,C102)</f>
        <v>4361.1</v>
      </c>
      <c r="D103" s="79">
        <f>SUM(D94:D97,D101,D102)</f>
        <v>4361.1</v>
      </c>
      <c r="E103" s="79">
        <f>SUM(E94:E97,E101,E102)</f>
        <v>0</v>
      </c>
    </row>
    <row r="104" spans="1:14" ht="12.75">
      <c r="A104" s="4" t="s">
        <v>139</v>
      </c>
      <c r="B104" s="4" t="s">
        <v>79</v>
      </c>
      <c r="C104" s="18">
        <f>3897.3-29.25</f>
        <v>3868.05</v>
      </c>
      <c r="D104" s="18">
        <f>3897.3-29.25</f>
        <v>3868.05</v>
      </c>
      <c r="E104" s="19">
        <f t="shared" si="1"/>
        <v>0</v>
      </c>
      <c r="M104" s="8"/>
      <c r="N104" s="8"/>
    </row>
    <row r="105" spans="1:12" ht="12.75">
      <c r="A105" s="5"/>
      <c r="B105" s="6" t="s">
        <v>80</v>
      </c>
      <c r="C105" s="20">
        <f>537.5-6.1</f>
        <v>531.4</v>
      </c>
      <c r="D105" s="20">
        <f>537.5-6.1</f>
        <v>531.4</v>
      </c>
      <c r="E105" s="19">
        <f t="shared" si="1"/>
        <v>0</v>
      </c>
      <c r="L105" s="8"/>
    </row>
    <row r="106" spans="1:12" ht="12.75">
      <c r="A106" s="5"/>
      <c r="B106" s="6" t="s">
        <v>88</v>
      </c>
      <c r="C106" s="20">
        <f>1656.4-47.99</f>
        <v>1608.41</v>
      </c>
      <c r="D106" s="20">
        <f>1656.4-47.99</f>
        <v>1608.41</v>
      </c>
      <c r="E106" s="19">
        <f aca="true" t="shared" si="2" ref="E106:E116">+D106-C106</f>
        <v>0</v>
      </c>
      <c r="L106" s="8"/>
    </row>
    <row r="107" spans="1:14" s="8" customFormat="1" ht="12.75">
      <c r="A107" s="7" t="s">
        <v>161</v>
      </c>
      <c r="B107" s="9"/>
      <c r="C107" s="15">
        <f>SUM(C104:C106)</f>
        <v>6007.86</v>
      </c>
      <c r="D107" s="15">
        <f>SUM(D104:D106)</f>
        <v>6007.86</v>
      </c>
      <c r="E107" s="15">
        <f>SUM(E104:E106)</f>
        <v>0</v>
      </c>
      <c r="F107" s="60"/>
      <c r="G107"/>
      <c r="H107"/>
      <c r="I107"/>
      <c r="J107"/>
      <c r="K107"/>
      <c r="M107"/>
      <c r="N107"/>
    </row>
    <row r="108" spans="1:14" ht="12.75">
      <c r="A108" s="4" t="s">
        <v>140</v>
      </c>
      <c r="B108" s="4" t="s">
        <v>81</v>
      </c>
      <c r="C108" s="18">
        <f>2963.9-44.44</f>
        <v>2919.46</v>
      </c>
      <c r="D108" s="18">
        <f>2963.9-44.44</f>
        <v>2919.46</v>
      </c>
      <c r="E108" s="19">
        <f t="shared" si="2"/>
        <v>0</v>
      </c>
      <c r="L108" s="8"/>
      <c r="M108" s="8"/>
      <c r="N108" s="8"/>
    </row>
    <row r="109" spans="1:12" ht="12.75">
      <c r="A109" s="5"/>
      <c r="B109" s="6" t="s">
        <v>82</v>
      </c>
      <c r="C109" s="20">
        <f>1017--3.78</f>
        <v>1020.78</v>
      </c>
      <c r="D109" s="20">
        <f>1017--3.78</f>
        <v>1020.78</v>
      </c>
      <c r="E109" s="19">
        <f t="shared" si="2"/>
        <v>0</v>
      </c>
      <c r="L109" s="8"/>
    </row>
    <row r="110" spans="1:5" ht="12.75">
      <c r="A110" s="5"/>
      <c r="B110" s="6" t="s">
        <v>83</v>
      </c>
      <c r="C110" s="20">
        <f>1018.1-141.92+26.074</f>
        <v>902.254</v>
      </c>
      <c r="D110" s="20">
        <f>1018.1-141.92+26.074</f>
        <v>902.254</v>
      </c>
      <c r="E110" s="19">
        <f t="shared" si="2"/>
        <v>0</v>
      </c>
    </row>
    <row r="111" spans="1:5" ht="12.75">
      <c r="A111" s="5"/>
      <c r="B111" s="6" t="s">
        <v>84</v>
      </c>
      <c r="C111" s="20">
        <v>487.1</v>
      </c>
      <c r="D111" s="20">
        <v>487.1</v>
      </c>
      <c r="E111" s="19">
        <f t="shared" si="2"/>
        <v>0</v>
      </c>
    </row>
    <row r="112" spans="1:14" s="8" customFormat="1" ht="12.75">
      <c r="A112" s="7" t="s">
        <v>162</v>
      </c>
      <c r="B112" s="9"/>
      <c r="C112" s="15">
        <f>SUM(C108:C111)</f>
        <v>5329.594</v>
      </c>
      <c r="D112" s="15">
        <f>SUM(D108:D111)</f>
        <v>5329.594</v>
      </c>
      <c r="E112" s="15">
        <f>SUM(E108:E111)</f>
        <v>0</v>
      </c>
      <c r="G112"/>
      <c r="H112"/>
      <c r="I112"/>
      <c r="J112"/>
      <c r="K112"/>
      <c r="L112"/>
      <c r="M112"/>
      <c r="N112"/>
    </row>
    <row r="113" spans="1:14" ht="12.75">
      <c r="A113" s="4" t="s">
        <v>141</v>
      </c>
      <c r="B113" s="4" t="s">
        <v>85</v>
      </c>
      <c r="C113" s="18">
        <v>324.6</v>
      </c>
      <c r="D113" s="18">
        <v>324.6</v>
      </c>
      <c r="E113" s="19">
        <f t="shared" si="2"/>
        <v>0</v>
      </c>
      <c r="L113" s="8"/>
      <c r="M113" s="8"/>
      <c r="N113" s="8"/>
    </row>
    <row r="114" spans="1:12" ht="12.75">
      <c r="A114" s="5"/>
      <c r="B114" s="6" t="s">
        <v>86</v>
      </c>
      <c r="C114" s="20">
        <v>146.5</v>
      </c>
      <c r="D114" s="20">
        <v>146.5</v>
      </c>
      <c r="E114" s="19">
        <f t="shared" si="2"/>
        <v>0</v>
      </c>
      <c r="L114" s="8"/>
    </row>
    <row r="115" spans="1:14" s="8" customFormat="1" ht="12.75">
      <c r="A115" s="7" t="s">
        <v>163</v>
      </c>
      <c r="B115" s="9"/>
      <c r="C115" s="16">
        <v>471.1</v>
      </c>
      <c r="D115" s="16">
        <v>471.1</v>
      </c>
      <c r="E115" s="17">
        <f t="shared" si="2"/>
        <v>0</v>
      </c>
      <c r="G115"/>
      <c r="H115"/>
      <c r="I115"/>
      <c r="J115"/>
      <c r="K115"/>
      <c r="L115"/>
      <c r="M115"/>
      <c r="N115"/>
    </row>
    <row r="116" spans="1:12" s="8" customFormat="1" ht="12.75">
      <c r="A116" s="7" t="s">
        <v>142</v>
      </c>
      <c r="B116" s="7" t="s">
        <v>87</v>
      </c>
      <c r="C116" s="16">
        <v>806.9</v>
      </c>
      <c r="D116" s="16">
        <v>806.9</v>
      </c>
      <c r="E116" s="17">
        <f t="shared" si="2"/>
        <v>0</v>
      </c>
      <c r="G116"/>
      <c r="H116"/>
      <c r="I116"/>
      <c r="J116"/>
      <c r="K116"/>
      <c r="L116"/>
    </row>
    <row r="117" spans="1:5" s="80" customFormat="1" ht="15.75">
      <c r="A117" s="78" t="s">
        <v>357</v>
      </c>
      <c r="B117" s="78"/>
      <c r="C117" s="79">
        <f>SUM(C107,C112,C115,C116)</f>
        <v>12615.454</v>
      </c>
      <c r="D117" s="79">
        <f>SUM(D107,D112,D115,D116)</f>
        <v>12615.454</v>
      </c>
      <c r="E117" s="79">
        <f>SUM(E107,E112,E115,E116)</f>
        <v>0</v>
      </c>
    </row>
    <row r="118" spans="1:5" s="80" customFormat="1" ht="15.75">
      <c r="A118" s="7" t="s">
        <v>145</v>
      </c>
      <c r="B118" s="7" t="s">
        <v>89</v>
      </c>
      <c r="C118" s="16">
        <v>0</v>
      </c>
      <c r="D118" s="16">
        <v>0</v>
      </c>
      <c r="E118" s="17">
        <f>+D118-C118</f>
        <v>0</v>
      </c>
    </row>
    <row r="119" spans="1:5" s="80" customFormat="1" ht="15.75">
      <c r="A119" s="7" t="s">
        <v>144</v>
      </c>
      <c r="B119" s="7" t="s">
        <v>144</v>
      </c>
      <c r="C119" s="16">
        <v>75</v>
      </c>
      <c r="D119" s="16">
        <v>75</v>
      </c>
      <c r="E119" s="17">
        <f>+D119-C119</f>
        <v>0</v>
      </c>
    </row>
    <row r="120" spans="2:12" s="12" customFormat="1" ht="15.75">
      <c r="B120" s="12" t="s">
        <v>364</v>
      </c>
      <c r="C120" s="104">
        <f>SUM(C119,C118,C117,C103,C93,C86,C78,C72,C67,C59)</f>
        <v>84230.45999999999</v>
      </c>
      <c r="D120" s="104">
        <f>SUM(D119,D118,D117,D103,D93,D86,D78,D72,D67,D59)</f>
        <v>84527.45999999999</v>
      </c>
      <c r="E120" s="104">
        <f>SUM(E119,E118,E117,E103,E93,E86,E78,E72,E67,E59)</f>
        <v>297</v>
      </c>
      <c r="G120" s="103"/>
      <c r="H120" s="103"/>
      <c r="I120" s="103"/>
      <c r="J120" s="103"/>
      <c r="K120" s="103"/>
      <c r="L120" s="103"/>
    </row>
    <row r="121" spans="1:11" s="12" customFormat="1" ht="15.75">
      <c r="A121" s="99"/>
      <c r="B121" s="99" t="s">
        <v>143</v>
      </c>
      <c r="C121" s="100">
        <v>8171</v>
      </c>
      <c r="D121" s="101">
        <f>+C121-E120</f>
        <v>7874</v>
      </c>
      <c r="E121" s="102">
        <f>+D121-C121</f>
        <v>-297</v>
      </c>
      <c r="G121" s="103"/>
      <c r="H121" s="103"/>
      <c r="I121" s="103"/>
      <c r="J121" s="103"/>
      <c r="K121" s="103"/>
    </row>
    <row r="122" spans="7:12" s="8" customFormat="1" ht="12.75">
      <c r="G122"/>
      <c r="H122"/>
      <c r="I122"/>
      <c r="J122"/>
      <c r="K122"/>
      <c r="L122"/>
    </row>
    <row r="123" spans="1:14" s="12" customFormat="1" ht="15.75">
      <c r="A123" s="10" t="s">
        <v>151</v>
      </c>
      <c r="B123" s="11"/>
      <c r="C123" s="22">
        <f>SUM(C121,C120)</f>
        <v>92401.45999999999</v>
      </c>
      <c r="D123" s="22">
        <f>SUM(D121,D120)</f>
        <v>92401.45999999999</v>
      </c>
      <c r="E123" s="22">
        <f>SUM(E121,E120)</f>
        <v>0</v>
      </c>
      <c r="G123"/>
      <c r="H123"/>
      <c r="I123"/>
      <c r="J123"/>
      <c r="K123"/>
      <c r="L123"/>
      <c r="M123" s="8"/>
      <c r="N123" s="8"/>
    </row>
    <row r="124" spans="13:14" ht="15.75">
      <c r="M124" s="12"/>
      <c r="N124" s="12"/>
    </row>
    <row r="126" spans="5:12" ht="12.75">
      <c r="E126" s="20">
        <f>SUM(E117,E103,E93,E86,E78,E72,E67,E59)</f>
        <v>297</v>
      </c>
      <c r="L126" s="8"/>
    </row>
    <row r="129" ht="12.75">
      <c r="L129" s="8"/>
    </row>
    <row r="130" ht="12.75">
      <c r="L130" s="8"/>
    </row>
    <row r="131" ht="12.75">
      <c r="L131" s="8"/>
    </row>
    <row r="132" ht="12.75">
      <c r="L132" s="8"/>
    </row>
    <row r="133" ht="12.75">
      <c r="L133" s="8"/>
    </row>
    <row r="134" ht="15.75">
      <c r="L134" s="12"/>
    </row>
  </sheetData>
  <printOptions/>
  <pageMargins left="0.3" right="0.41" top="0.28" bottom="0.27" header="0.19" footer="0.18"/>
  <pageSetup fitToHeight="2" fitToWidth="1" horizontalDpi="600" verticalDpi="600" orientation="portrait" scale="75" r:id="rId1"/>
  <headerFooter alignWithMargins="0">
    <oddFooter xml:space="preserve">&amp;R&amp;F      &amp;A      &amp;D    &amp;T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5"/>
  <sheetViews>
    <sheetView workbookViewId="0" topLeftCell="A51">
      <selection activeCell="E93" sqref="E93"/>
    </sheetView>
  </sheetViews>
  <sheetFormatPr defaultColWidth="9.140625" defaultRowHeight="12.75"/>
  <cols>
    <col min="1" max="1" width="56.57421875" style="0" bestFit="1" customWidth="1"/>
    <col min="2" max="2" width="51.00390625" style="0" bestFit="1" customWidth="1"/>
    <col min="3" max="3" width="9.00390625" style="0" bestFit="1" customWidth="1"/>
    <col min="4" max="4" width="6.00390625" style="0" bestFit="1" customWidth="1"/>
    <col min="5" max="16384" width="30.00390625" style="0" customWidth="1"/>
  </cols>
  <sheetData>
    <row r="1" spans="1:4" ht="12.75">
      <c r="A1" t="s">
        <v>147</v>
      </c>
      <c r="B1" t="s">
        <v>148</v>
      </c>
      <c r="C1" t="s">
        <v>149</v>
      </c>
      <c r="D1" t="s">
        <v>90</v>
      </c>
    </row>
    <row r="2" spans="1:4" ht="12.75">
      <c r="A2" t="s">
        <v>102</v>
      </c>
      <c r="B2" t="s">
        <v>0</v>
      </c>
      <c r="C2">
        <v>0.1</v>
      </c>
      <c r="D2" t="s">
        <v>90</v>
      </c>
    </row>
    <row r="3" spans="1:4" ht="12.75">
      <c r="A3" t="s">
        <v>103</v>
      </c>
      <c r="B3" t="s">
        <v>1</v>
      </c>
      <c r="C3">
        <v>424.4</v>
      </c>
      <c r="D3" t="s">
        <v>90</v>
      </c>
    </row>
    <row r="4" spans="1:4" ht="12.75">
      <c r="A4" t="s">
        <v>103</v>
      </c>
      <c r="B4" t="s">
        <v>2</v>
      </c>
      <c r="C4">
        <v>1770.2</v>
      </c>
      <c r="D4" t="s">
        <v>90</v>
      </c>
    </row>
    <row r="5" spans="1:4" ht="12.75">
      <c r="A5" t="s">
        <v>103</v>
      </c>
      <c r="B5" t="s">
        <v>3</v>
      </c>
      <c r="C5">
        <v>15.6</v>
      </c>
      <c r="D5" t="s">
        <v>90</v>
      </c>
    </row>
    <row r="6" spans="1:4" ht="12.75">
      <c r="A6" t="s">
        <v>103</v>
      </c>
      <c r="B6" t="s">
        <v>4</v>
      </c>
      <c r="C6">
        <v>1270.3</v>
      </c>
      <c r="D6" t="s">
        <v>90</v>
      </c>
    </row>
    <row r="7" spans="1:4" ht="12.75">
      <c r="A7" t="s">
        <v>103</v>
      </c>
      <c r="B7" t="s">
        <v>5</v>
      </c>
      <c r="C7">
        <v>603.5</v>
      </c>
      <c r="D7" t="s">
        <v>90</v>
      </c>
    </row>
    <row r="8" spans="1:4" ht="12.75">
      <c r="A8" t="s">
        <v>103</v>
      </c>
      <c r="B8" t="s">
        <v>6</v>
      </c>
      <c r="C8">
        <v>5727.5</v>
      </c>
      <c r="D8" t="s">
        <v>90</v>
      </c>
    </row>
    <row r="9" spans="1:4" ht="12.75">
      <c r="A9" t="s">
        <v>104</v>
      </c>
      <c r="B9" t="s">
        <v>7</v>
      </c>
      <c r="C9">
        <v>965.8</v>
      </c>
      <c r="D9" t="s">
        <v>90</v>
      </c>
    </row>
    <row r="10" spans="1:4" ht="12.75">
      <c r="A10" t="s">
        <v>104</v>
      </c>
      <c r="B10" t="s">
        <v>8</v>
      </c>
      <c r="C10">
        <v>560.3</v>
      </c>
      <c r="D10" t="s">
        <v>90</v>
      </c>
    </row>
    <row r="11" spans="1:4" ht="12.75">
      <c r="A11" t="s">
        <v>104</v>
      </c>
      <c r="B11" t="s">
        <v>9</v>
      </c>
      <c r="C11">
        <v>469.6</v>
      </c>
      <c r="D11" t="s">
        <v>90</v>
      </c>
    </row>
    <row r="12" spans="1:4" ht="12.75">
      <c r="A12" t="s">
        <v>104</v>
      </c>
      <c r="B12" t="s">
        <v>10</v>
      </c>
      <c r="C12">
        <v>2016.6</v>
      </c>
      <c r="D12" t="s">
        <v>90</v>
      </c>
    </row>
    <row r="13" spans="1:4" ht="12.75">
      <c r="A13" t="s">
        <v>104</v>
      </c>
      <c r="B13" t="s">
        <v>11</v>
      </c>
      <c r="C13">
        <v>132</v>
      </c>
      <c r="D13" t="s">
        <v>90</v>
      </c>
    </row>
    <row r="14" spans="1:4" ht="12.75">
      <c r="A14" t="s">
        <v>104</v>
      </c>
      <c r="B14" t="s">
        <v>12</v>
      </c>
      <c r="C14">
        <v>794.6</v>
      </c>
      <c r="D14" t="s">
        <v>90</v>
      </c>
    </row>
    <row r="15" spans="1:4" ht="12.75">
      <c r="A15" t="s">
        <v>104</v>
      </c>
      <c r="B15" t="s">
        <v>13</v>
      </c>
      <c r="C15">
        <v>103.4</v>
      </c>
      <c r="D15" t="s">
        <v>90</v>
      </c>
    </row>
    <row r="16" spans="1:4" ht="12.75">
      <c r="A16" t="s">
        <v>104</v>
      </c>
      <c r="B16" t="s">
        <v>14</v>
      </c>
      <c r="C16">
        <v>116.9</v>
      </c>
      <c r="D16" t="s">
        <v>90</v>
      </c>
    </row>
    <row r="17" spans="1:4" ht="12.75">
      <c r="A17" t="s">
        <v>104</v>
      </c>
      <c r="B17" t="s">
        <v>15</v>
      </c>
      <c r="C17">
        <v>120.9</v>
      </c>
      <c r="D17" t="s">
        <v>90</v>
      </c>
    </row>
    <row r="18" spans="1:4" ht="12.75">
      <c r="A18" t="s">
        <v>104</v>
      </c>
      <c r="B18" t="s">
        <v>16</v>
      </c>
      <c r="C18">
        <v>91.2</v>
      </c>
      <c r="D18" t="s">
        <v>90</v>
      </c>
    </row>
    <row r="19" spans="1:4" ht="12.75">
      <c r="A19" t="s">
        <v>105</v>
      </c>
      <c r="B19" t="s">
        <v>17</v>
      </c>
      <c r="C19">
        <v>304</v>
      </c>
      <c r="D19" t="s">
        <v>90</v>
      </c>
    </row>
    <row r="20" spans="1:4" ht="12.75">
      <c r="A20" t="s">
        <v>105</v>
      </c>
      <c r="B20" t="s">
        <v>18</v>
      </c>
      <c r="C20">
        <v>239.1</v>
      </c>
      <c r="D20" t="s">
        <v>90</v>
      </c>
    </row>
    <row r="21" spans="1:4" ht="12.75">
      <c r="A21" t="s">
        <v>105</v>
      </c>
      <c r="B21" t="s">
        <v>19</v>
      </c>
      <c r="C21">
        <v>2543.5</v>
      </c>
      <c r="D21" t="s">
        <v>90</v>
      </c>
    </row>
    <row r="22" spans="1:4" ht="12.75">
      <c r="A22" t="s">
        <v>105</v>
      </c>
      <c r="B22" t="s">
        <v>20</v>
      </c>
      <c r="C22">
        <v>27.8</v>
      </c>
      <c r="D22" t="s">
        <v>90</v>
      </c>
    </row>
    <row r="23" spans="1:4" ht="12.75">
      <c r="A23" t="s">
        <v>105</v>
      </c>
      <c r="B23" t="s">
        <v>21</v>
      </c>
      <c r="C23">
        <v>168.1</v>
      </c>
      <c r="D23" t="s">
        <v>90</v>
      </c>
    </row>
    <row r="24" spans="1:4" ht="12.75">
      <c r="A24" t="s">
        <v>105</v>
      </c>
      <c r="B24" t="s">
        <v>22</v>
      </c>
      <c r="C24">
        <v>2571.4</v>
      </c>
      <c r="D24" t="s">
        <v>90</v>
      </c>
    </row>
    <row r="25" spans="1:4" ht="12.75">
      <c r="A25" t="s">
        <v>105</v>
      </c>
      <c r="B25" t="s">
        <v>23</v>
      </c>
      <c r="C25">
        <v>541</v>
      </c>
      <c r="D25" t="s">
        <v>90</v>
      </c>
    </row>
    <row r="26" spans="1:4" ht="12.75">
      <c r="A26" t="s">
        <v>105</v>
      </c>
      <c r="B26" t="s">
        <v>24</v>
      </c>
      <c r="C26">
        <v>2263.6</v>
      </c>
      <c r="D26" t="s">
        <v>90</v>
      </c>
    </row>
    <row r="27" spans="1:4" ht="12.75">
      <c r="A27" t="s">
        <v>105</v>
      </c>
      <c r="B27" t="s">
        <v>25</v>
      </c>
      <c r="C27">
        <v>1050</v>
      </c>
      <c r="D27" t="s">
        <v>90</v>
      </c>
    </row>
    <row r="28" spans="1:4" ht="12.75">
      <c r="A28" t="s">
        <v>105</v>
      </c>
      <c r="B28" t="s">
        <v>26</v>
      </c>
      <c r="C28">
        <v>861.7</v>
      </c>
      <c r="D28" t="s">
        <v>90</v>
      </c>
    </row>
    <row r="29" spans="1:4" ht="12.75">
      <c r="A29" t="s">
        <v>105</v>
      </c>
      <c r="B29" t="s">
        <v>27</v>
      </c>
      <c r="C29">
        <v>23.9</v>
      </c>
      <c r="D29" t="s">
        <v>90</v>
      </c>
    </row>
    <row r="30" spans="1:4" ht="12.75">
      <c r="A30" t="s">
        <v>105</v>
      </c>
      <c r="B30" t="s">
        <v>28</v>
      </c>
      <c r="C30">
        <v>55.2</v>
      </c>
      <c r="D30" t="s">
        <v>90</v>
      </c>
    </row>
    <row r="31" spans="1:4" ht="12.75">
      <c r="A31" t="s">
        <v>105</v>
      </c>
      <c r="B31" t="s">
        <v>29</v>
      </c>
      <c r="C31">
        <v>3496.6</v>
      </c>
      <c r="D31" t="s">
        <v>90</v>
      </c>
    </row>
    <row r="32" spans="1:4" ht="12.75">
      <c r="A32" t="s">
        <v>105</v>
      </c>
      <c r="B32" t="s">
        <v>30</v>
      </c>
      <c r="C32">
        <v>446.2</v>
      </c>
      <c r="D32" t="s">
        <v>90</v>
      </c>
    </row>
    <row r="33" spans="1:4" ht="12.75">
      <c r="A33" t="s">
        <v>105</v>
      </c>
      <c r="B33" t="s">
        <v>31</v>
      </c>
      <c r="C33">
        <v>1885.8</v>
      </c>
      <c r="D33" t="s">
        <v>90</v>
      </c>
    </row>
    <row r="34" spans="1:4" ht="12.75">
      <c r="A34" t="s">
        <v>105</v>
      </c>
      <c r="B34" t="s">
        <v>32</v>
      </c>
      <c r="C34">
        <v>9581.3</v>
      </c>
      <c r="D34" t="s">
        <v>90</v>
      </c>
    </row>
    <row r="35" spans="1:4" ht="12.75">
      <c r="A35" t="s">
        <v>105</v>
      </c>
      <c r="B35" t="s">
        <v>33</v>
      </c>
      <c r="C35">
        <v>6262.4</v>
      </c>
      <c r="D35" t="s">
        <v>90</v>
      </c>
    </row>
    <row r="36" spans="1:4" ht="12.75">
      <c r="A36" t="s">
        <v>105</v>
      </c>
      <c r="B36" t="s">
        <v>34</v>
      </c>
      <c r="C36">
        <v>452.3</v>
      </c>
      <c r="D36" t="s">
        <v>90</v>
      </c>
    </row>
    <row r="37" spans="1:4" ht="12.75">
      <c r="A37" t="s">
        <v>105</v>
      </c>
      <c r="B37" t="s">
        <v>35</v>
      </c>
      <c r="C37">
        <v>916.9</v>
      </c>
      <c r="D37" t="s">
        <v>90</v>
      </c>
    </row>
    <row r="38" spans="1:4" ht="12.75">
      <c r="A38" t="s">
        <v>106</v>
      </c>
      <c r="B38" t="s">
        <v>36</v>
      </c>
      <c r="C38">
        <v>217.1</v>
      </c>
      <c r="D38" t="s">
        <v>90</v>
      </c>
    </row>
    <row r="39" spans="1:4" ht="12.75">
      <c r="A39" t="s">
        <v>106</v>
      </c>
      <c r="B39" t="s">
        <v>37</v>
      </c>
      <c r="C39">
        <v>1171.7</v>
      </c>
      <c r="D39" t="s">
        <v>90</v>
      </c>
    </row>
    <row r="40" spans="1:4" ht="12.75">
      <c r="A40" t="s">
        <v>107</v>
      </c>
      <c r="B40" t="s">
        <v>38</v>
      </c>
      <c r="C40">
        <v>1137.8</v>
      </c>
      <c r="D40" t="s">
        <v>90</v>
      </c>
    </row>
    <row r="41" spans="1:4" ht="12.75">
      <c r="A41" t="s">
        <v>108</v>
      </c>
      <c r="B41" t="s">
        <v>39</v>
      </c>
      <c r="C41">
        <v>727.9</v>
      </c>
      <c r="D41" t="s">
        <v>90</v>
      </c>
    </row>
    <row r="42" spans="1:4" ht="12.75">
      <c r="A42" t="s">
        <v>108</v>
      </c>
      <c r="B42" t="s">
        <v>40</v>
      </c>
      <c r="C42">
        <v>540.5</v>
      </c>
      <c r="D42" t="s">
        <v>90</v>
      </c>
    </row>
    <row r="43" spans="1:4" ht="12.75">
      <c r="A43" t="s">
        <v>108</v>
      </c>
      <c r="B43" t="s">
        <v>41</v>
      </c>
      <c r="C43">
        <v>230.9</v>
      </c>
      <c r="D43" t="s">
        <v>90</v>
      </c>
    </row>
    <row r="44" spans="1:4" ht="12.75">
      <c r="A44" t="s">
        <v>109</v>
      </c>
      <c r="B44" t="s">
        <v>42</v>
      </c>
      <c r="C44">
        <v>64.7</v>
      </c>
      <c r="D44" t="s">
        <v>90</v>
      </c>
    </row>
    <row r="45" spans="1:4" ht="12.75">
      <c r="A45" t="s">
        <v>109</v>
      </c>
      <c r="B45" t="s">
        <v>43</v>
      </c>
      <c r="C45">
        <v>1507.5</v>
      </c>
      <c r="D45" t="s">
        <v>90</v>
      </c>
    </row>
    <row r="46" spans="1:4" ht="12.75">
      <c r="A46" t="s">
        <v>109</v>
      </c>
      <c r="B46" t="s">
        <v>44</v>
      </c>
      <c r="C46">
        <v>1372.4</v>
      </c>
      <c r="D46" t="s">
        <v>90</v>
      </c>
    </row>
    <row r="47" spans="1:4" ht="12.75">
      <c r="A47" t="s">
        <v>109</v>
      </c>
      <c r="B47" t="s">
        <v>45</v>
      </c>
      <c r="C47">
        <v>585.9</v>
      </c>
      <c r="D47" t="s">
        <v>90</v>
      </c>
    </row>
    <row r="48" spans="1:4" ht="12.75">
      <c r="A48" t="s">
        <v>109</v>
      </c>
      <c r="B48" t="s">
        <v>46</v>
      </c>
      <c r="C48">
        <v>2392.2</v>
      </c>
      <c r="D48" t="s">
        <v>90</v>
      </c>
    </row>
    <row r="49" spans="1:4" ht="12.75">
      <c r="A49" t="s">
        <v>110</v>
      </c>
      <c r="B49" t="s">
        <v>47</v>
      </c>
      <c r="C49">
        <v>2771.3</v>
      </c>
      <c r="D49" t="s">
        <v>90</v>
      </c>
    </row>
    <row r="50" spans="1:4" ht="12.75">
      <c r="A50" t="s">
        <v>111</v>
      </c>
      <c r="B50" t="s">
        <v>48</v>
      </c>
      <c r="C50">
        <v>62.9</v>
      </c>
      <c r="D50" t="s">
        <v>90</v>
      </c>
    </row>
    <row r="51" spans="1:4" ht="12.75">
      <c r="A51" t="s">
        <v>111</v>
      </c>
      <c r="B51" t="s">
        <v>49</v>
      </c>
      <c r="C51">
        <v>60.1</v>
      </c>
      <c r="D51" t="s">
        <v>90</v>
      </c>
    </row>
    <row r="52" spans="1:4" ht="12.75">
      <c r="A52" t="s">
        <v>112</v>
      </c>
      <c r="B52" t="s">
        <v>50</v>
      </c>
      <c r="C52">
        <v>76.1</v>
      </c>
      <c r="D52" t="s">
        <v>90</v>
      </c>
    </row>
    <row r="53" spans="1:4" ht="12.75">
      <c r="A53" t="s">
        <v>113</v>
      </c>
      <c r="B53" t="s">
        <v>51</v>
      </c>
      <c r="C53">
        <v>285</v>
      </c>
      <c r="D53" t="s">
        <v>90</v>
      </c>
    </row>
    <row r="54" spans="1:4" ht="12.75">
      <c r="A54" t="s">
        <v>114</v>
      </c>
      <c r="B54" t="s">
        <v>52</v>
      </c>
      <c r="C54">
        <v>595</v>
      </c>
      <c r="D54" t="s">
        <v>90</v>
      </c>
    </row>
    <row r="55" spans="1:4" ht="12.75">
      <c r="A55" t="s">
        <v>115</v>
      </c>
      <c r="B55" t="s">
        <v>53</v>
      </c>
      <c r="C55">
        <v>9.4</v>
      </c>
      <c r="D55" t="s">
        <v>90</v>
      </c>
    </row>
    <row r="56" spans="1:4" ht="12.75">
      <c r="A56" t="s">
        <v>116</v>
      </c>
      <c r="B56" t="s">
        <v>54</v>
      </c>
      <c r="C56">
        <v>29.6</v>
      </c>
      <c r="D56" t="s">
        <v>90</v>
      </c>
    </row>
    <row r="57" spans="1:4" ht="12.75">
      <c r="A57" t="s">
        <v>117</v>
      </c>
      <c r="B57" t="s">
        <v>55</v>
      </c>
      <c r="C57">
        <v>338.8</v>
      </c>
      <c r="D57" t="s">
        <v>90</v>
      </c>
    </row>
    <row r="58" spans="1:4" ht="12.75">
      <c r="A58" t="s">
        <v>118</v>
      </c>
      <c r="B58" t="s">
        <v>56</v>
      </c>
      <c r="C58">
        <v>357</v>
      </c>
      <c r="D58" t="s">
        <v>90</v>
      </c>
    </row>
    <row r="59" spans="1:4" ht="12.75">
      <c r="A59" t="s">
        <v>119</v>
      </c>
      <c r="B59" t="s">
        <v>57</v>
      </c>
      <c r="C59">
        <v>733.2</v>
      </c>
      <c r="D59" t="s">
        <v>90</v>
      </c>
    </row>
    <row r="60" spans="1:4" ht="12.75">
      <c r="A60" t="s">
        <v>120</v>
      </c>
      <c r="B60" t="s">
        <v>58</v>
      </c>
      <c r="C60">
        <v>987.9</v>
      </c>
      <c r="D60" t="s">
        <v>90</v>
      </c>
    </row>
    <row r="61" spans="1:4" ht="12.75">
      <c r="A61" t="s">
        <v>121</v>
      </c>
      <c r="B61" t="s">
        <v>59</v>
      </c>
      <c r="C61">
        <v>1062.9</v>
      </c>
      <c r="D61" t="s">
        <v>90</v>
      </c>
    </row>
    <row r="62" spans="1:4" ht="12.75">
      <c r="A62" t="s">
        <v>122</v>
      </c>
      <c r="B62" t="s">
        <v>60</v>
      </c>
      <c r="C62">
        <v>1.3</v>
      </c>
      <c r="D62" t="s">
        <v>90</v>
      </c>
    </row>
    <row r="63" spans="1:4" ht="12.75">
      <c r="A63" t="s">
        <v>123</v>
      </c>
      <c r="B63" t="s">
        <v>61</v>
      </c>
      <c r="C63">
        <v>150.8</v>
      </c>
      <c r="D63" t="s">
        <v>90</v>
      </c>
    </row>
    <row r="64" spans="1:4" ht="12.75">
      <c r="A64" t="s">
        <v>124</v>
      </c>
      <c r="B64" t="s">
        <v>62</v>
      </c>
      <c r="C64">
        <v>138.1</v>
      </c>
      <c r="D64" t="s">
        <v>90</v>
      </c>
    </row>
    <row r="65" spans="1:4" ht="12.75">
      <c r="A65" t="s">
        <v>125</v>
      </c>
      <c r="B65" t="s">
        <v>63</v>
      </c>
      <c r="C65">
        <v>149.8</v>
      </c>
      <c r="D65" t="s">
        <v>90</v>
      </c>
    </row>
    <row r="66" spans="1:4" ht="12.75">
      <c r="A66" t="s">
        <v>126</v>
      </c>
      <c r="B66" t="s">
        <v>64</v>
      </c>
      <c r="C66">
        <v>82.2</v>
      </c>
      <c r="D66" t="s">
        <v>90</v>
      </c>
    </row>
    <row r="67" spans="1:4" ht="12.75">
      <c r="A67" t="s">
        <v>127</v>
      </c>
      <c r="B67" t="s">
        <v>65</v>
      </c>
      <c r="C67">
        <v>93.6</v>
      </c>
      <c r="D67" t="s">
        <v>90</v>
      </c>
    </row>
    <row r="68" spans="1:4" ht="12.75">
      <c r="A68" t="s">
        <v>128</v>
      </c>
      <c r="B68" t="s">
        <v>66</v>
      </c>
      <c r="C68">
        <v>129.4</v>
      </c>
      <c r="D68" t="s">
        <v>90</v>
      </c>
    </row>
    <row r="69" spans="1:4" ht="12.75">
      <c r="A69" t="s">
        <v>129</v>
      </c>
      <c r="B69" t="s">
        <v>67</v>
      </c>
      <c r="C69">
        <v>57.8</v>
      </c>
      <c r="D69" t="s">
        <v>90</v>
      </c>
    </row>
    <row r="70" spans="1:4" ht="12.75">
      <c r="A70" t="s">
        <v>130</v>
      </c>
      <c r="B70" t="s">
        <v>68</v>
      </c>
      <c r="C70">
        <v>13.8</v>
      </c>
      <c r="D70" t="s">
        <v>90</v>
      </c>
    </row>
    <row r="71" spans="1:4" ht="12.75">
      <c r="A71" t="s">
        <v>131</v>
      </c>
      <c r="B71" t="s">
        <v>69</v>
      </c>
      <c r="C71">
        <v>455</v>
      </c>
      <c r="D71" t="s">
        <v>90</v>
      </c>
    </row>
    <row r="72" spans="1:4" ht="12.75">
      <c r="A72" t="s">
        <v>132</v>
      </c>
      <c r="B72" t="s">
        <v>70</v>
      </c>
      <c r="C72">
        <v>106.9</v>
      </c>
      <c r="D72" t="s">
        <v>90</v>
      </c>
    </row>
    <row r="73" spans="1:4" ht="12.75">
      <c r="A73" t="s">
        <v>133</v>
      </c>
      <c r="B73" t="s">
        <v>71</v>
      </c>
      <c r="C73">
        <v>15</v>
      </c>
      <c r="D73" t="s">
        <v>90</v>
      </c>
    </row>
    <row r="74" spans="1:4" ht="12.75">
      <c r="A74" t="s">
        <v>133</v>
      </c>
      <c r="B74" t="s">
        <v>72</v>
      </c>
      <c r="C74">
        <v>9.4</v>
      </c>
      <c r="D74" t="s">
        <v>90</v>
      </c>
    </row>
    <row r="75" spans="1:4" ht="12.75">
      <c r="A75" t="s">
        <v>134</v>
      </c>
      <c r="B75" t="s">
        <v>73</v>
      </c>
      <c r="C75">
        <v>32.6</v>
      </c>
      <c r="D75" t="s">
        <v>90</v>
      </c>
    </row>
    <row r="76" spans="1:4" ht="12.75">
      <c r="A76" t="s">
        <v>135</v>
      </c>
      <c r="B76" t="s">
        <v>74</v>
      </c>
      <c r="C76">
        <v>112.9</v>
      </c>
      <c r="D76" t="s">
        <v>90</v>
      </c>
    </row>
    <row r="77" spans="1:4" ht="12.75">
      <c r="A77" t="s">
        <v>136</v>
      </c>
      <c r="B77" t="s">
        <v>75</v>
      </c>
      <c r="C77">
        <v>1773</v>
      </c>
      <c r="D77" t="s">
        <v>90</v>
      </c>
    </row>
    <row r="78" spans="1:4" ht="12.75">
      <c r="A78" t="s">
        <v>137</v>
      </c>
      <c r="B78" t="s">
        <v>76</v>
      </c>
      <c r="C78">
        <v>935.4</v>
      </c>
      <c r="D78" t="s">
        <v>90</v>
      </c>
    </row>
    <row r="79" spans="1:4" ht="12.75">
      <c r="A79" t="s">
        <v>137</v>
      </c>
      <c r="B79" t="s">
        <v>77</v>
      </c>
      <c r="C79">
        <v>1269.6</v>
      </c>
      <c r="D79" t="s">
        <v>90</v>
      </c>
    </row>
    <row r="80" spans="1:4" ht="12.75">
      <c r="A80" t="s">
        <v>138</v>
      </c>
      <c r="B80" t="s">
        <v>78</v>
      </c>
      <c r="C80">
        <v>237.6</v>
      </c>
      <c r="D80" t="s">
        <v>90</v>
      </c>
    </row>
    <row r="81" spans="1:4" ht="12.75">
      <c r="A81" t="s">
        <v>139</v>
      </c>
      <c r="B81" t="s">
        <v>79</v>
      </c>
      <c r="C81">
        <v>3897.3</v>
      </c>
      <c r="D81" t="s">
        <v>90</v>
      </c>
    </row>
    <row r="82" spans="1:4" ht="12.75">
      <c r="A82" t="s">
        <v>139</v>
      </c>
      <c r="B82" t="s">
        <v>80</v>
      </c>
      <c r="C82">
        <v>537.5</v>
      </c>
      <c r="D82" t="s">
        <v>90</v>
      </c>
    </row>
    <row r="83" spans="1:4" ht="12.75">
      <c r="A83" t="s">
        <v>140</v>
      </c>
      <c r="B83" t="s">
        <v>81</v>
      </c>
      <c r="C83">
        <v>2963.9</v>
      </c>
      <c r="D83" t="s">
        <v>90</v>
      </c>
    </row>
    <row r="84" spans="1:4" ht="12.75">
      <c r="A84" t="s">
        <v>140</v>
      </c>
      <c r="B84" t="s">
        <v>82</v>
      </c>
      <c r="C84">
        <v>1017</v>
      </c>
      <c r="D84" t="s">
        <v>90</v>
      </c>
    </row>
    <row r="85" spans="1:4" ht="12.75">
      <c r="A85" t="s">
        <v>140</v>
      </c>
      <c r="B85" t="s">
        <v>83</v>
      </c>
      <c r="C85">
        <v>1018.1</v>
      </c>
      <c r="D85" t="s">
        <v>90</v>
      </c>
    </row>
    <row r="86" spans="1:4" ht="12.75">
      <c r="A86" t="s">
        <v>140</v>
      </c>
      <c r="B86" t="s">
        <v>84</v>
      </c>
      <c r="C86">
        <v>487.1</v>
      </c>
      <c r="D86" t="s">
        <v>90</v>
      </c>
    </row>
    <row r="87" spans="1:4" ht="12.75">
      <c r="A87" t="s">
        <v>141</v>
      </c>
      <c r="B87" t="s">
        <v>85</v>
      </c>
      <c r="C87">
        <v>324.6</v>
      </c>
      <c r="D87" t="s">
        <v>90</v>
      </c>
    </row>
    <row r="88" spans="1:4" ht="12.75">
      <c r="A88" t="s">
        <v>141</v>
      </c>
      <c r="B88" t="s">
        <v>86</v>
      </c>
      <c r="C88">
        <v>146.5</v>
      </c>
      <c r="D88" t="s">
        <v>90</v>
      </c>
    </row>
    <row r="89" spans="1:4" ht="12.75">
      <c r="A89" t="s">
        <v>142</v>
      </c>
      <c r="B89" t="s">
        <v>87</v>
      </c>
      <c r="C89">
        <v>806.9</v>
      </c>
      <c r="D89" t="s">
        <v>90</v>
      </c>
    </row>
    <row r="90" spans="1:4" ht="12.75">
      <c r="A90" t="s">
        <v>139</v>
      </c>
      <c r="B90" t="s">
        <v>88</v>
      </c>
      <c r="C90">
        <v>1656.4</v>
      </c>
      <c r="D90" t="s">
        <v>90</v>
      </c>
    </row>
    <row r="91" spans="1:4" ht="12.75">
      <c r="A91" t="s">
        <v>143</v>
      </c>
      <c r="B91" t="s">
        <v>143</v>
      </c>
      <c r="C91">
        <v>7921.4</v>
      </c>
      <c r="D91" t="s">
        <v>90</v>
      </c>
    </row>
    <row r="92" spans="1:4" ht="12.75">
      <c r="A92" t="s">
        <v>144</v>
      </c>
      <c r="B92" t="s">
        <v>144</v>
      </c>
      <c r="C92">
        <v>75</v>
      </c>
      <c r="D92" t="s">
        <v>90</v>
      </c>
    </row>
    <row r="93" spans="1:5" ht="12.75">
      <c r="A93" t="s">
        <v>145</v>
      </c>
      <c r="B93" t="s">
        <v>89</v>
      </c>
      <c r="C93">
        <v>-406</v>
      </c>
      <c r="D93" t="s">
        <v>90</v>
      </c>
      <c r="E93">
        <f>SUM(C2:C93)</f>
        <v>92401.40000000001</v>
      </c>
    </row>
    <row r="94" spans="1:4" ht="12.75">
      <c r="A94" t="s">
        <v>102</v>
      </c>
      <c r="B94" t="s">
        <v>0</v>
      </c>
      <c r="C94">
        <v>0.1</v>
      </c>
      <c r="D94" t="s">
        <v>101</v>
      </c>
    </row>
    <row r="95" spans="1:4" ht="12.75">
      <c r="A95" t="s">
        <v>103</v>
      </c>
      <c r="B95" t="s">
        <v>1</v>
      </c>
      <c r="C95">
        <v>424.4</v>
      </c>
      <c r="D95" t="s">
        <v>101</v>
      </c>
    </row>
    <row r="96" spans="1:4" ht="12.75">
      <c r="A96" t="s">
        <v>103</v>
      </c>
      <c r="B96" t="s">
        <v>2</v>
      </c>
      <c r="C96">
        <v>1770.2</v>
      </c>
      <c r="D96" t="s">
        <v>101</v>
      </c>
    </row>
    <row r="97" spans="1:4" ht="12.75">
      <c r="A97" t="s">
        <v>103</v>
      </c>
      <c r="B97" t="s">
        <v>3</v>
      </c>
      <c r="C97">
        <v>15.6</v>
      </c>
      <c r="D97" t="s">
        <v>101</v>
      </c>
    </row>
    <row r="98" spans="1:4" ht="12.75">
      <c r="A98" t="s">
        <v>103</v>
      </c>
      <c r="B98" t="s">
        <v>4</v>
      </c>
      <c r="C98">
        <v>1100.8</v>
      </c>
      <c r="D98" t="s">
        <v>101</v>
      </c>
    </row>
    <row r="99" spans="1:4" ht="12.75">
      <c r="A99" t="s">
        <v>103</v>
      </c>
      <c r="B99" t="s">
        <v>92</v>
      </c>
      <c r="C99">
        <v>458.7</v>
      </c>
      <c r="D99" t="s">
        <v>101</v>
      </c>
    </row>
    <row r="100" spans="1:4" ht="12.75">
      <c r="A100" t="s">
        <v>103</v>
      </c>
      <c r="B100" t="s">
        <v>6</v>
      </c>
      <c r="C100">
        <v>5669.8</v>
      </c>
      <c r="D100" t="s">
        <v>101</v>
      </c>
    </row>
    <row r="101" spans="1:4" ht="12.75">
      <c r="A101" t="s">
        <v>104</v>
      </c>
      <c r="B101" t="s">
        <v>7</v>
      </c>
      <c r="C101">
        <v>946.3</v>
      </c>
      <c r="D101" t="s">
        <v>101</v>
      </c>
    </row>
    <row r="102" spans="1:4" ht="12.75">
      <c r="A102" t="s">
        <v>104</v>
      </c>
      <c r="B102" t="s">
        <v>8</v>
      </c>
      <c r="C102">
        <v>743.2</v>
      </c>
      <c r="D102" t="s">
        <v>101</v>
      </c>
    </row>
    <row r="103" spans="1:4" ht="12.75">
      <c r="A103" t="s">
        <v>104</v>
      </c>
      <c r="B103" t="s">
        <v>9</v>
      </c>
      <c r="C103">
        <v>870.4</v>
      </c>
      <c r="D103" t="s">
        <v>101</v>
      </c>
    </row>
    <row r="104" spans="1:4" ht="12.75">
      <c r="A104" t="s">
        <v>104</v>
      </c>
      <c r="B104" t="s">
        <v>93</v>
      </c>
      <c r="C104">
        <v>659.9</v>
      </c>
      <c r="D104" t="s">
        <v>101</v>
      </c>
    </row>
    <row r="105" spans="1:4" ht="12.75">
      <c r="A105" t="s">
        <v>104</v>
      </c>
      <c r="B105" t="s">
        <v>94</v>
      </c>
      <c r="C105">
        <v>230.1</v>
      </c>
      <c r="D105" t="s">
        <v>101</v>
      </c>
    </row>
    <row r="106" spans="1:4" ht="12.75">
      <c r="A106" t="s">
        <v>104</v>
      </c>
      <c r="B106" t="s">
        <v>12</v>
      </c>
      <c r="C106">
        <v>895.9</v>
      </c>
      <c r="D106" t="s">
        <v>101</v>
      </c>
    </row>
    <row r="107" spans="1:4" ht="12.75">
      <c r="A107" t="s">
        <v>104</v>
      </c>
      <c r="B107" t="s">
        <v>95</v>
      </c>
      <c r="C107">
        <v>265.8</v>
      </c>
      <c r="D107" t="s">
        <v>101</v>
      </c>
    </row>
    <row r="108" spans="1:4" ht="12.75">
      <c r="A108" t="s">
        <v>104</v>
      </c>
      <c r="B108" t="s">
        <v>96</v>
      </c>
      <c r="C108">
        <v>103.4</v>
      </c>
      <c r="D108" t="s">
        <v>101</v>
      </c>
    </row>
    <row r="109" spans="1:4" ht="12.75">
      <c r="A109" t="s">
        <v>104</v>
      </c>
      <c r="B109" t="s">
        <v>16</v>
      </c>
      <c r="C109">
        <v>91.2</v>
      </c>
      <c r="D109" t="s">
        <v>101</v>
      </c>
    </row>
    <row r="110" spans="1:4" ht="12.75">
      <c r="A110" t="s">
        <v>105</v>
      </c>
      <c r="B110" t="s">
        <v>17</v>
      </c>
      <c r="C110">
        <v>304</v>
      </c>
      <c r="D110" t="s">
        <v>101</v>
      </c>
    </row>
    <row r="111" spans="1:4" ht="12.75">
      <c r="A111" t="s">
        <v>105</v>
      </c>
      <c r="B111" t="s">
        <v>18</v>
      </c>
      <c r="C111">
        <v>239.1</v>
      </c>
      <c r="D111" t="s">
        <v>101</v>
      </c>
    </row>
    <row r="112" spans="1:4" ht="12.75">
      <c r="A112" t="s">
        <v>105</v>
      </c>
      <c r="B112" t="s">
        <v>19</v>
      </c>
      <c r="C112">
        <v>2543.5</v>
      </c>
      <c r="D112" t="s">
        <v>101</v>
      </c>
    </row>
    <row r="113" spans="1:4" ht="12.75">
      <c r="A113" t="s">
        <v>105</v>
      </c>
      <c r="B113" t="s">
        <v>20</v>
      </c>
      <c r="C113">
        <v>28.2</v>
      </c>
      <c r="D113" t="s">
        <v>101</v>
      </c>
    </row>
    <row r="114" spans="1:4" ht="12.75">
      <c r="A114" t="s">
        <v>105</v>
      </c>
      <c r="B114" t="s">
        <v>21</v>
      </c>
      <c r="C114">
        <v>168.1</v>
      </c>
      <c r="D114" t="s">
        <v>101</v>
      </c>
    </row>
    <row r="115" spans="1:4" ht="12.75">
      <c r="A115" t="s">
        <v>105</v>
      </c>
      <c r="B115" t="s">
        <v>22</v>
      </c>
      <c r="C115">
        <v>2546</v>
      </c>
      <c r="D115" t="s">
        <v>101</v>
      </c>
    </row>
    <row r="116" spans="1:4" ht="12.75">
      <c r="A116" t="s">
        <v>105</v>
      </c>
      <c r="B116" t="s">
        <v>23</v>
      </c>
      <c r="C116">
        <v>537.4</v>
      </c>
      <c r="D116" t="s">
        <v>101</v>
      </c>
    </row>
    <row r="117" spans="1:4" ht="12.75">
      <c r="A117" t="s">
        <v>105</v>
      </c>
      <c r="B117" t="s">
        <v>24</v>
      </c>
      <c r="C117">
        <v>2246.6</v>
      </c>
      <c r="D117" t="s">
        <v>101</v>
      </c>
    </row>
    <row r="118" spans="1:4" ht="12.75">
      <c r="A118" t="s">
        <v>105</v>
      </c>
      <c r="B118" t="s">
        <v>25</v>
      </c>
      <c r="C118">
        <v>1050.2</v>
      </c>
      <c r="D118" t="s">
        <v>101</v>
      </c>
    </row>
    <row r="119" spans="1:4" ht="12.75">
      <c r="A119" t="s">
        <v>105</v>
      </c>
      <c r="B119" t="s">
        <v>26</v>
      </c>
      <c r="C119">
        <v>915.9</v>
      </c>
      <c r="D119" t="s">
        <v>101</v>
      </c>
    </row>
    <row r="120" spans="1:4" ht="12.75">
      <c r="A120" t="s">
        <v>105</v>
      </c>
      <c r="B120" t="s">
        <v>27</v>
      </c>
      <c r="C120">
        <v>23.9</v>
      </c>
      <c r="D120" t="s">
        <v>101</v>
      </c>
    </row>
    <row r="121" spans="1:4" ht="12.75">
      <c r="A121" t="s">
        <v>105</v>
      </c>
      <c r="B121" t="s">
        <v>28</v>
      </c>
      <c r="C121">
        <v>48</v>
      </c>
      <c r="D121" t="s">
        <v>101</v>
      </c>
    </row>
    <row r="122" spans="1:4" ht="12.75">
      <c r="A122" t="s">
        <v>105</v>
      </c>
      <c r="B122" t="s">
        <v>29</v>
      </c>
      <c r="C122">
        <v>3156.2</v>
      </c>
      <c r="D122" t="s">
        <v>101</v>
      </c>
    </row>
    <row r="123" spans="1:4" ht="12.75">
      <c r="A123" t="s">
        <v>105</v>
      </c>
      <c r="B123" t="s">
        <v>30</v>
      </c>
      <c r="C123">
        <v>756.3</v>
      </c>
      <c r="D123" t="s">
        <v>101</v>
      </c>
    </row>
    <row r="124" spans="1:4" ht="12.75">
      <c r="A124" t="s">
        <v>105</v>
      </c>
      <c r="B124" t="s">
        <v>31</v>
      </c>
      <c r="C124">
        <v>1811.9</v>
      </c>
      <c r="D124" t="s">
        <v>101</v>
      </c>
    </row>
    <row r="125" spans="1:4" ht="12.75">
      <c r="A125" t="s">
        <v>105</v>
      </c>
      <c r="B125" t="s">
        <v>32</v>
      </c>
      <c r="C125">
        <v>9597.8</v>
      </c>
      <c r="D125" t="s">
        <v>101</v>
      </c>
    </row>
    <row r="126" spans="1:4" ht="12.75">
      <c r="A126" t="s">
        <v>105</v>
      </c>
      <c r="B126" t="s">
        <v>33</v>
      </c>
      <c r="C126">
        <v>5155.8</v>
      </c>
      <c r="D126" t="s">
        <v>101</v>
      </c>
    </row>
    <row r="127" spans="1:4" ht="12.75">
      <c r="A127" t="s">
        <v>105</v>
      </c>
      <c r="B127" t="s">
        <v>34</v>
      </c>
      <c r="C127">
        <v>295.2</v>
      </c>
      <c r="D127" t="s">
        <v>101</v>
      </c>
    </row>
    <row r="128" spans="1:4" ht="12.75">
      <c r="A128" t="s">
        <v>105</v>
      </c>
      <c r="B128" t="s">
        <v>35</v>
      </c>
      <c r="C128">
        <v>830.1</v>
      </c>
      <c r="D128" t="s">
        <v>101</v>
      </c>
    </row>
    <row r="129" spans="1:4" ht="12.75">
      <c r="A129" t="s">
        <v>106</v>
      </c>
      <c r="B129" t="s">
        <v>97</v>
      </c>
      <c r="C129">
        <v>208.4</v>
      </c>
      <c r="D129" t="s">
        <v>101</v>
      </c>
    </row>
    <row r="130" spans="1:4" ht="12.75">
      <c r="A130" t="s">
        <v>106</v>
      </c>
      <c r="B130" t="s">
        <v>98</v>
      </c>
      <c r="C130">
        <v>1177.7</v>
      </c>
      <c r="D130" t="s">
        <v>101</v>
      </c>
    </row>
    <row r="131" spans="1:4" ht="12.75">
      <c r="A131" t="s">
        <v>107</v>
      </c>
      <c r="B131" t="s">
        <v>38</v>
      </c>
      <c r="C131">
        <v>1135</v>
      </c>
      <c r="D131" t="s">
        <v>101</v>
      </c>
    </row>
    <row r="132" spans="1:4" ht="12.75">
      <c r="A132" t="s">
        <v>108</v>
      </c>
      <c r="B132" t="s">
        <v>39</v>
      </c>
      <c r="C132">
        <v>681</v>
      </c>
      <c r="D132" t="s">
        <v>101</v>
      </c>
    </row>
    <row r="133" spans="1:4" ht="12.75">
      <c r="A133" t="s">
        <v>108</v>
      </c>
      <c r="B133" t="s">
        <v>40</v>
      </c>
      <c r="C133">
        <v>540.5</v>
      </c>
      <c r="D133" t="s">
        <v>101</v>
      </c>
    </row>
    <row r="134" spans="1:4" ht="12.75">
      <c r="A134" t="s">
        <v>108</v>
      </c>
      <c r="B134" t="s">
        <v>41</v>
      </c>
      <c r="C134">
        <v>311.4</v>
      </c>
      <c r="D134" t="s">
        <v>101</v>
      </c>
    </row>
    <row r="135" spans="1:4" ht="12.75">
      <c r="A135" t="s">
        <v>109</v>
      </c>
      <c r="B135" t="s">
        <v>42</v>
      </c>
      <c r="C135">
        <v>60.8</v>
      </c>
      <c r="D135" t="s">
        <v>101</v>
      </c>
    </row>
    <row r="136" spans="1:4" ht="12.75">
      <c r="A136" t="s">
        <v>109</v>
      </c>
      <c r="B136" t="s">
        <v>43</v>
      </c>
      <c r="C136">
        <v>1485</v>
      </c>
      <c r="D136" t="s">
        <v>101</v>
      </c>
    </row>
    <row r="137" spans="1:4" ht="12.75">
      <c r="A137" t="s">
        <v>109</v>
      </c>
      <c r="B137" t="s">
        <v>44</v>
      </c>
      <c r="C137">
        <v>1050.6</v>
      </c>
      <c r="D137" t="s">
        <v>101</v>
      </c>
    </row>
    <row r="138" spans="1:4" ht="12.75">
      <c r="A138" t="s">
        <v>109</v>
      </c>
      <c r="B138" t="s">
        <v>45</v>
      </c>
      <c r="C138">
        <v>486.4</v>
      </c>
      <c r="D138" t="s">
        <v>101</v>
      </c>
    </row>
    <row r="139" spans="1:4" ht="12.75">
      <c r="A139" t="s">
        <v>109</v>
      </c>
      <c r="B139" t="s">
        <v>46</v>
      </c>
      <c r="C139">
        <v>2199.2</v>
      </c>
      <c r="D139" t="s">
        <v>101</v>
      </c>
    </row>
    <row r="140" spans="1:4" ht="12.75">
      <c r="A140" t="s">
        <v>110</v>
      </c>
      <c r="B140" t="s">
        <v>47</v>
      </c>
      <c r="C140">
        <v>2767</v>
      </c>
      <c r="D140" t="s">
        <v>101</v>
      </c>
    </row>
    <row r="141" spans="1:4" ht="12.75">
      <c r="A141" t="s">
        <v>111</v>
      </c>
      <c r="B141" t="s">
        <v>49</v>
      </c>
      <c r="C141">
        <v>88.1</v>
      </c>
      <c r="D141" t="s">
        <v>101</v>
      </c>
    </row>
    <row r="142" spans="1:4" ht="12.75">
      <c r="A142" t="s">
        <v>112</v>
      </c>
      <c r="B142" t="s">
        <v>48</v>
      </c>
      <c r="C142">
        <v>63.7</v>
      </c>
      <c r="D142" t="s">
        <v>101</v>
      </c>
    </row>
    <row r="143" spans="1:4" ht="12.75">
      <c r="A143" t="s">
        <v>112</v>
      </c>
      <c r="B143" t="s">
        <v>50</v>
      </c>
      <c r="C143">
        <v>355.2</v>
      </c>
      <c r="D143" t="s">
        <v>101</v>
      </c>
    </row>
    <row r="144" spans="1:4" ht="12.75">
      <c r="A144" t="s">
        <v>113</v>
      </c>
      <c r="B144" t="s">
        <v>51</v>
      </c>
      <c r="C144">
        <v>284.4</v>
      </c>
      <c r="D144" t="s">
        <v>101</v>
      </c>
    </row>
    <row r="145" spans="1:4" ht="12.75">
      <c r="A145" t="s">
        <v>114</v>
      </c>
      <c r="B145" t="s">
        <v>52</v>
      </c>
      <c r="C145">
        <v>521.4</v>
      </c>
      <c r="D145" t="s">
        <v>101</v>
      </c>
    </row>
    <row r="146" spans="1:4" ht="12.75">
      <c r="A146" t="s">
        <v>115</v>
      </c>
      <c r="B146" t="s">
        <v>53</v>
      </c>
      <c r="C146">
        <v>45.6</v>
      </c>
      <c r="D146" t="s">
        <v>101</v>
      </c>
    </row>
    <row r="147" spans="1:4" ht="12.75">
      <c r="A147" t="s">
        <v>116</v>
      </c>
      <c r="B147" t="s">
        <v>54</v>
      </c>
      <c r="C147">
        <v>206.2</v>
      </c>
      <c r="D147" t="s">
        <v>101</v>
      </c>
    </row>
    <row r="148" spans="1:4" ht="12.75">
      <c r="A148" t="s">
        <v>117</v>
      </c>
      <c r="B148" t="s">
        <v>55</v>
      </c>
      <c r="C148">
        <v>345.3</v>
      </c>
      <c r="D148" t="s">
        <v>101</v>
      </c>
    </row>
    <row r="149" spans="1:4" ht="12.75">
      <c r="A149" t="s">
        <v>118</v>
      </c>
      <c r="B149" t="s">
        <v>56</v>
      </c>
      <c r="C149">
        <v>424</v>
      </c>
      <c r="D149" t="s">
        <v>101</v>
      </c>
    </row>
    <row r="150" spans="1:4" ht="12.75">
      <c r="A150" t="s">
        <v>119</v>
      </c>
      <c r="B150" t="s">
        <v>57</v>
      </c>
      <c r="C150">
        <v>528.5</v>
      </c>
      <c r="D150" t="s">
        <v>101</v>
      </c>
    </row>
    <row r="151" spans="1:4" ht="12.75">
      <c r="A151" t="s">
        <v>120</v>
      </c>
      <c r="B151" t="s">
        <v>58</v>
      </c>
      <c r="C151">
        <v>1346</v>
      </c>
      <c r="D151" t="s">
        <v>101</v>
      </c>
    </row>
    <row r="152" spans="1:4" ht="12.75">
      <c r="A152" t="s">
        <v>121</v>
      </c>
      <c r="B152" t="s">
        <v>59</v>
      </c>
      <c r="C152">
        <v>1055.1</v>
      </c>
      <c r="D152" t="s">
        <v>101</v>
      </c>
    </row>
    <row r="153" spans="1:4" ht="12.75">
      <c r="A153" t="s">
        <v>122</v>
      </c>
      <c r="B153" t="s">
        <v>60</v>
      </c>
      <c r="C153">
        <v>1.3</v>
      </c>
      <c r="D153" t="s">
        <v>101</v>
      </c>
    </row>
    <row r="154" spans="1:4" ht="12.75">
      <c r="A154" t="s">
        <v>123</v>
      </c>
      <c r="B154" t="s">
        <v>61</v>
      </c>
      <c r="C154">
        <v>280.4</v>
      </c>
      <c r="D154" t="s">
        <v>101</v>
      </c>
    </row>
    <row r="155" spans="1:4" ht="12.75">
      <c r="A155" t="s">
        <v>124</v>
      </c>
      <c r="B155" t="s">
        <v>62</v>
      </c>
      <c r="C155">
        <v>530.1</v>
      </c>
      <c r="D155" t="s">
        <v>101</v>
      </c>
    </row>
    <row r="156" spans="1:4" ht="12.75">
      <c r="A156" t="s">
        <v>125</v>
      </c>
      <c r="B156" t="s">
        <v>63</v>
      </c>
      <c r="C156">
        <v>329.1</v>
      </c>
      <c r="D156" t="s">
        <v>101</v>
      </c>
    </row>
    <row r="157" spans="1:4" ht="12.75">
      <c r="A157" t="s">
        <v>126</v>
      </c>
      <c r="B157" t="s">
        <v>64</v>
      </c>
      <c r="C157">
        <v>195.8</v>
      </c>
      <c r="D157" t="s">
        <v>101</v>
      </c>
    </row>
    <row r="158" spans="1:4" ht="12.75">
      <c r="A158" t="s">
        <v>127</v>
      </c>
      <c r="B158" t="s">
        <v>65</v>
      </c>
      <c r="C158">
        <v>179.3</v>
      </c>
      <c r="D158" t="s">
        <v>101</v>
      </c>
    </row>
    <row r="159" spans="1:4" ht="12.75">
      <c r="A159" t="s">
        <v>128</v>
      </c>
      <c r="B159" t="s">
        <v>66</v>
      </c>
      <c r="C159">
        <v>325.5</v>
      </c>
      <c r="D159" t="s">
        <v>101</v>
      </c>
    </row>
    <row r="160" spans="1:4" ht="12.75">
      <c r="A160" t="s">
        <v>129</v>
      </c>
      <c r="B160" t="s">
        <v>67</v>
      </c>
      <c r="C160">
        <v>33.4</v>
      </c>
      <c r="D160" t="s">
        <v>101</v>
      </c>
    </row>
    <row r="161" spans="1:4" ht="12.75">
      <c r="A161" t="s">
        <v>130</v>
      </c>
      <c r="B161" t="s">
        <v>68</v>
      </c>
      <c r="C161">
        <v>92.3</v>
      </c>
      <c r="D161" t="s">
        <v>101</v>
      </c>
    </row>
    <row r="162" spans="1:4" ht="12.75">
      <c r="A162" t="s">
        <v>131</v>
      </c>
      <c r="B162" t="s">
        <v>69</v>
      </c>
      <c r="C162">
        <v>455</v>
      </c>
      <c r="D162" t="s">
        <v>101</v>
      </c>
    </row>
    <row r="163" spans="1:4" ht="12.75">
      <c r="A163" t="s">
        <v>132</v>
      </c>
      <c r="B163" t="s">
        <v>70</v>
      </c>
      <c r="C163">
        <v>106.9</v>
      </c>
      <c r="D163" t="s">
        <v>101</v>
      </c>
    </row>
    <row r="164" spans="1:4" ht="12.75">
      <c r="A164" t="s">
        <v>133</v>
      </c>
      <c r="B164" t="s">
        <v>71</v>
      </c>
      <c r="C164">
        <v>15</v>
      </c>
      <c r="D164" t="s">
        <v>101</v>
      </c>
    </row>
    <row r="165" spans="1:4" ht="12.75">
      <c r="A165" t="s">
        <v>133</v>
      </c>
      <c r="B165" t="s">
        <v>72</v>
      </c>
      <c r="C165">
        <v>9.4</v>
      </c>
      <c r="D165" t="s">
        <v>101</v>
      </c>
    </row>
    <row r="166" spans="1:4" ht="12.75">
      <c r="A166" t="s">
        <v>134</v>
      </c>
      <c r="B166" t="s">
        <v>73</v>
      </c>
      <c r="C166">
        <v>32.2</v>
      </c>
      <c r="D166" t="s">
        <v>101</v>
      </c>
    </row>
    <row r="167" spans="1:4" ht="12.75">
      <c r="A167" t="s">
        <v>146</v>
      </c>
      <c r="B167" t="s">
        <v>99</v>
      </c>
      <c r="C167">
        <v>9.1</v>
      </c>
      <c r="D167" t="s">
        <v>101</v>
      </c>
    </row>
    <row r="168" spans="1:4" ht="12.75">
      <c r="A168" t="s">
        <v>135</v>
      </c>
      <c r="B168" t="s">
        <v>74</v>
      </c>
      <c r="C168">
        <v>109.1</v>
      </c>
      <c r="D168" t="s">
        <v>101</v>
      </c>
    </row>
    <row r="169" spans="1:4" ht="12.75">
      <c r="A169" t="s">
        <v>136</v>
      </c>
      <c r="B169" t="s">
        <v>75</v>
      </c>
      <c r="C169">
        <v>1753.1</v>
      </c>
      <c r="D169" t="s">
        <v>101</v>
      </c>
    </row>
    <row r="170" spans="1:4" ht="12.75">
      <c r="A170" t="s">
        <v>137</v>
      </c>
      <c r="B170" t="s">
        <v>76</v>
      </c>
      <c r="C170">
        <v>1063.4</v>
      </c>
      <c r="D170" t="s">
        <v>101</v>
      </c>
    </row>
    <row r="171" spans="1:4" ht="12.75">
      <c r="A171" t="s">
        <v>137</v>
      </c>
      <c r="B171" t="s">
        <v>100</v>
      </c>
      <c r="C171">
        <v>74.6</v>
      </c>
      <c r="D171" t="s">
        <v>101</v>
      </c>
    </row>
    <row r="172" spans="1:4" ht="12.75">
      <c r="A172" t="s">
        <v>137</v>
      </c>
      <c r="B172" t="s">
        <v>77</v>
      </c>
      <c r="C172">
        <v>1275.3</v>
      </c>
      <c r="D172" t="s">
        <v>101</v>
      </c>
    </row>
    <row r="173" spans="1:4" ht="12.75">
      <c r="A173" t="s">
        <v>138</v>
      </c>
      <c r="B173" t="s">
        <v>78</v>
      </c>
      <c r="C173">
        <v>237.8</v>
      </c>
      <c r="D173" t="s">
        <v>101</v>
      </c>
    </row>
    <row r="174" spans="1:4" ht="12.75">
      <c r="A174" t="s">
        <v>139</v>
      </c>
      <c r="B174" t="s">
        <v>79</v>
      </c>
      <c r="C174">
        <v>3937.1</v>
      </c>
      <c r="D174" t="s">
        <v>101</v>
      </c>
    </row>
    <row r="175" spans="1:4" ht="12.75">
      <c r="A175" t="s">
        <v>139</v>
      </c>
      <c r="B175" t="s">
        <v>80</v>
      </c>
      <c r="C175">
        <v>515.8</v>
      </c>
      <c r="D175" t="s">
        <v>101</v>
      </c>
    </row>
    <row r="176" spans="1:4" ht="12.75">
      <c r="A176" t="s">
        <v>140</v>
      </c>
      <c r="B176" t="s">
        <v>81</v>
      </c>
      <c r="C176">
        <v>2789.4</v>
      </c>
      <c r="D176" t="s">
        <v>101</v>
      </c>
    </row>
    <row r="177" spans="1:4" ht="12.75">
      <c r="A177" t="s">
        <v>140</v>
      </c>
      <c r="B177" t="s">
        <v>82</v>
      </c>
      <c r="C177">
        <v>959.5</v>
      </c>
      <c r="D177" t="s">
        <v>101</v>
      </c>
    </row>
    <row r="178" spans="1:4" ht="12.75">
      <c r="A178" t="s">
        <v>140</v>
      </c>
      <c r="B178" t="s">
        <v>83</v>
      </c>
      <c r="C178">
        <v>724.5</v>
      </c>
      <c r="D178" t="s">
        <v>101</v>
      </c>
    </row>
    <row r="179" spans="1:4" ht="12.75">
      <c r="A179" t="s">
        <v>140</v>
      </c>
      <c r="B179" t="s">
        <v>84</v>
      </c>
      <c r="C179">
        <v>428.7</v>
      </c>
      <c r="D179" t="s">
        <v>101</v>
      </c>
    </row>
    <row r="180" spans="1:4" ht="12.75">
      <c r="A180" t="s">
        <v>141</v>
      </c>
      <c r="B180" t="s">
        <v>85</v>
      </c>
      <c r="C180">
        <v>324.1</v>
      </c>
      <c r="D180" t="s">
        <v>101</v>
      </c>
    </row>
    <row r="181" spans="1:4" ht="12.75">
      <c r="A181" t="s">
        <v>141</v>
      </c>
      <c r="B181" t="s">
        <v>86</v>
      </c>
      <c r="C181">
        <v>145.9</v>
      </c>
      <c r="D181" t="s">
        <v>101</v>
      </c>
    </row>
    <row r="182" spans="1:4" ht="12.75">
      <c r="A182" t="s">
        <v>142</v>
      </c>
      <c r="B182" t="s">
        <v>87</v>
      </c>
      <c r="C182">
        <v>1197.6</v>
      </c>
      <c r="D182" t="s">
        <v>101</v>
      </c>
    </row>
    <row r="183" spans="1:4" ht="12.75">
      <c r="A183" t="s">
        <v>139</v>
      </c>
      <c r="B183" t="s">
        <v>88</v>
      </c>
      <c r="C183">
        <v>1608.4</v>
      </c>
      <c r="D183" t="s">
        <v>101</v>
      </c>
    </row>
    <row r="184" spans="1:4" ht="12.75">
      <c r="A184" t="s">
        <v>143</v>
      </c>
      <c r="B184" t="s">
        <v>143</v>
      </c>
      <c r="C184">
        <v>8720</v>
      </c>
      <c r="D184" t="s">
        <v>101</v>
      </c>
    </row>
    <row r="185" spans="1:4" ht="12.75">
      <c r="A185" t="s">
        <v>144</v>
      </c>
      <c r="B185" t="s">
        <v>144</v>
      </c>
      <c r="C185">
        <v>75</v>
      </c>
      <c r="D185" t="s"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2006-07-27T12:44:05Z</cp:lastPrinted>
  <dcterms:created xsi:type="dcterms:W3CDTF">2006-05-26T12:06:25Z</dcterms:created>
  <dcterms:modified xsi:type="dcterms:W3CDTF">2006-07-27T12:53:50Z</dcterms:modified>
  <cp:category/>
  <cp:version/>
  <cp:contentType/>
  <cp:contentStatus/>
</cp:coreProperties>
</file>