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0" windowWidth="7920" windowHeight="9420" activeTab="6"/>
  </bookViews>
  <sheets>
    <sheet name="Fab Project" sheetId="1" r:id="rId1"/>
    <sheet name="Other Costs" sheetId="2" r:id="rId2"/>
    <sheet name="Engr" sheetId="3" r:id="rId3"/>
    <sheet name="R&amp;D" sheetId="4" r:id="rId4"/>
    <sheet name="M&amp;S" sheetId="5" r:id="rId5"/>
    <sheet name="Fab_assy" sheetId="6" r:id="rId6"/>
    <sheet name="Installation" sheetId="7" r:id="rId7"/>
  </sheets>
  <definedNames>
    <definedName name="_xlnm.Print_Area" localSheetId="2">'Engr'!$A$1:$Q$65</definedName>
    <definedName name="_xlnm.Print_Area" localSheetId="0">'Fab Project'!$A$1:$K$117</definedName>
    <definedName name="_xlnm.Print_Area" localSheetId="5">'Fab_assy'!$A$1:$O$24</definedName>
    <definedName name="_xlnm.Print_Area" localSheetId="6">'Installation'!$A$1:$M$33</definedName>
    <definedName name="_xlnm.Print_Area" localSheetId="4">'M&amp;S'!$A$1:$J$136</definedName>
    <definedName name="_xlnm.Print_Area" localSheetId="1">'Other Costs'!$A$4:$I$85</definedName>
    <definedName name="_xlnm.Print_Area" localSheetId="3">'R&amp;D'!$A$1:$Q$26</definedName>
    <definedName name="_xlnm.Print_Titles" localSheetId="2">'Engr'!$1:$3</definedName>
    <definedName name="_xlnm.Print_Titles" localSheetId="0">'Fab Project'!$1:$1</definedName>
    <definedName name="_xlnm.Print_Titles" localSheetId="5">'Fab_assy'!$1:$3</definedName>
    <definedName name="_xlnm.Print_Titles" localSheetId="6">'Installation'!$1:$3</definedName>
    <definedName name="_xlnm.Print_Titles" localSheetId="4">'M&amp;S'!$1:$3</definedName>
    <definedName name="_xlnm.Print_Titles" localSheetId="1">'Other Costs'!$1:$3</definedName>
    <definedName name="_xlnm.Print_Titles" localSheetId="3">'R&amp;D'!$1:$3</definedName>
  </definedNames>
  <calcPr fullCalcOnLoad="1"/>
</workbook>
</file>

<file path=xl/sharedStrings.xml><?xml version="1.0" encoding="utf-8"?>
<sst xmlns="http://schemas.openxmlformats.org/spreadsheetml/2006/main" count="578" uniqueCount="308">
  <si>
    <t>Activity Title</t>
  </si>
  <si>
    <t>Manhours</t>
  </si>
  <si>
    <t>Labor Type</t>
  </si>
  <si>
    <t>Comments</t>
  </si>
  <si>
    <t>Start Date  Month/Year</t>
  </si>
  <si>
    <t>End Date  Month/Year</t>
  </si>
  <si>
    <t>Preliminary Design (Title I)</t>
  </si>
  <si>
    <t>Final Design (Title II)</t>
  </si>
  <si>
    <t>EAEM</t>
  </si>
  <si>
    <t>EASM</t>
  </si>
  <si>
    <t>EADM</t>
  </si>
  <si>
    <t>ORNL Eng</t>
  </si>
  <si>
    <t>SAMPLE - Put in specific labor type</t>
  </si>
  <si>
    <t>M&amp;S Costs</t>
  </si>
  <si>
    <t>Procured Hardware/Material</t>
  </si>
  <si>
    <t>Purchased Design Services</t>
  </si>
  <si>
    <t>Procured Installation/Assembly Costs</t>
  </si>
  <si>
    <t>RMRM3</t>
  </si>
  <si>
    <t>Research Planning/Preparations</t>
  </si>
  <si>
    <t>Operational Spares</t>
  </si>
  <si>
    <t>Instructions for Completing Form</t>
  </si>
  <si>
    <t>(1) One form for each 3 digit WBS element (e.g., 111, 121, 452, etc.) =&gt; if no 3 digit WBS, use 2 digit WBS (e.g., 81, 82, 84)</t>
  </si>
  <si>
    <t>(3) For M&amp;S, provide estimate in FY2002 direct dollars if procured by PPPL, or in fully loaded dollars if procured by ORNL</t>
  </si>
  <si>
    <t>(4) Start and end date provided in month/year format =&gt; March/2003</t>
  </si>
  <si>
    <t>(2) For Lab labor, provide estimate in manhours =&gt; provide estimate by specific labor type.</t>
  </si>
  <si>
    <t>Other Costs</t>
  </si>
  <si>
    <t>Travel</t>
  </si>
  <si>
    <t>Allocations (WBS 81 only)</t>
  </si>
  <si>
    <t>Lab Fab/Assembly/Installation (Title III)</t>
  </si>
  <si>
    <t>Labor</t>
  </si>
  <si>
    <t>Manufacturing Development</t>
  </si>
  <si>
    <t xml:space="preserve"> </t>
  </si>
  <si>
    <t xml:space="preserve">Level of Effort </t>
  </si>
  <si>
    <t>FCEM</t>
  </si>
  <si>
    <t>FY2003</t>
  </si>
  <si>
    <t>FY2004</t>
  </si>
  <si>
    <t>FY2005</t>
  </si>
  <si>
    <t>FY2006</t>
  </si>
  <si>
    <t>FY2007</t>
  </si>
  <si>
    <t>Research Prep Activities</t>
  </si>
  <si>
    <t>Identify each procurement over $100K individually</t>
  </si>
  <si>
    <t>ORNL Physics</t>
  </si>
  <si>
    <t>Include any M&amp;S carried over from FY2002</t>
  </si>
  <si>
    <t>XX represents the 2 digit WBS code</t>
  </si>
  <si>
    <t>PPPL Designer</t>
  </si>
  <si>
    <t>PPPL Engineer</t>
  </si>
  <si>
    <t>PPPL monthly support</t>
  </si>
  <si>
    <t>Composite of ORNL Engineer / Designer</t>
  </si>
  <si>
    <t>Composite of ORNL Physicist</t>
  </si>
  <si>
    <t>Pro-E models</t>
  </si>
  <si>
    <t>assy dwgs</t>
  </si>
  <si>
    <t>Detail drawings</t>
  </si>
  <si>
    <t>installation dwg</t>
  </si>
  <si>
    <t>multiplier</t>
  </si>
  <si>
    <t>unit</t>
  </si>
  <si>
    <t>no.</t>
  </si>
  <si>
    <t>hrs/model</t>
  </si>
  <si>
    <t>hrs/dwg</t>
  </si>
  <si>
    <t>hrs/calc</t>
  </si>
  <si>
    <t>hrs/spec</t>
  </si>
  <si>
    <t>hrs/wk</t>
  </si>
  <si>
    <t>Engineering, Title I, II and III</t>
  </si>
  <si>
    <t>hrs</t>
  </si>
  <si>
    <t>Title I, II design</t>
  </si>
  <si>
    <t xml:space="preserve">Title III </t>
  </si>
  <si>
    <t>As-built drawings</t>
  </si>
  <si>
    <t>vendor oversight, inspection</t>
  </si>
  <si>
    <t>Disposition of deviation requests and non-conformances</t>
  </si>
  <si>
    <t>PPPL Physics</t>
  </si>
  <si>
    <t>subtotal</t>
  </si>
  <si>
    <t>Description:</t>
  </si>
  <si>
    <t>Schedule assumptions</t>
  </si>
  <si>
    <t>Title II Design</t>
  </si>
  <si>
    <t>Procurement</t>
  </si>
  <si>
    <t>Installation / final assembly</t>
  </si>
  <si>
    <t>In-house fab / sub-assy</t>
  </si>
  <si>
    <t>start</t>
  </si>
  <si>
    <t>end</t>
  </si>
  <si>
    <t>duration (weeks)</t>
  </si>
  <si>
    <t>cooling schematic</t>
  </si>
  <si>
    <t>electrical schematic</t>
  </si>
  <si>
    <t>I&amp;C schematic</t>
  </si>
  <si>
    <t>special analysis</t>
  </si>
  <si>
    <t>stress analysis</t>
  </si>
  <si>
    <t>thermal analysis</t>
  </si>
  <si>
    <t>preliminary and final design reviews</t>
  </si>
  <si>
    <t>hrs/rev</t>
  </si>
  <si>
    <t>meetings/reporting/presentations</t>
  </si>
  <si>
    <t>% of tot</t>
  </si>
  <si>
    <t>procurement specifications</t>
  </si>
  <si>
    <t>fract.</t>
  </si>
  <si>
    <t>total fraction</t>
  </si>
  <si>
    <t>hours</t>
  </si>
  <si>
    <t>Notes and worksheets</t>
  </si>
  <si>
    <t>PPPL Physics/scientific</t>
  </si>
  <si>
    <t>Composite of ORNL Physics / scientific</t>
  </si>
  <si>
    <t>Labor category</t>
  </si>
  <si>
    <t>R&amp;D</t>
  </si>
  <si>
    <t>Summary</t>
  </si>
  <si>
    <t>duration
(weeks)</t>
  </si>
  <si>
    <t>FY2008</t>
  </si>
  <si>
    <t>EMTB</t>
  </si>
  <si>
    <t>PPPL Technician</t>
  </si>
  <si>
    <t>Duration of activity per fiscal year (weeks)</t>
  </si>
  <si>
    <t>Lab R&amp;D labor</t>
  </si>
  <si>
    <t>Manufacturing Development (R&amp;D)</t>
  </si>
  <si>
    <t>per hour</t>
  </si>
  <si>
    <t>Materials and Subcontracts (M&amp;S)</t>
  </si>
  <si>
    <t>outside engr rate =</t>
  </si>
  <si>
    <t>$ per hour</t>
  </si>
  <si>
    <t>outside fab rate =</t>
  </si>
  <si>
    <t>outside inspection/technician rate =</t>
  </si>
  <si>
    <t xml:space="preserve">    fab rate</t>
  </si>
  <si>
    <t xml:space="preserve">   inspection/technician rate</t>
  </si>
  <si>
    <t>w/o G&amp;A</t>
  </si>
  <si>
    <t>Purchased parts:</t>
  </si>
  <si>
    <t>Worksheet:</t>
  </si>
  <si>
    <t>subtotal, purchased parts</t>
  </si>
  <si>
    <t>In-house Fabrication and Assembly</t>
  </si>
  <si>
    <t>total, procured hdwe/matl.</t>
  </si>
  <si>
    <t>total, manf/dev (R&amp;D)</t>
  </si>
  <si>
    <t>Manhours per fiscal year by labor category</t>
  </si>
  <si>
    <t>Installation</t>
  </si>
  <si>
    <t>This element is not part of the WBS 1 scope of work</t>
  </si>
  <si>
    <t>TOTAL</t>
  </si>
  <si>
    <t>Comment</t>
  </si>
  <si>
    <t>no purchased services anticipated</t>
  </si>
  <si>
    <t>All installation and assembly costs are included in WBS 7</t>
  </si>
  <si>
    <t>Summary Costs</t>
  </si>
  <si>
    <t>M&amp;S, Other</t>
  </si>
  <si>
    <t>subtotal, labor</t>
  </si>
  <si>
    <t>subtotal, M&amp;S</t>
  </si>
  <si>
    <t>G&amp;A</t>
  </si>
  <si>
    <t>on all purchased materials, subcontracts, travel</t>
  </si>
  <si>
    <t>Subtotal without contingency</t>
  </si>
  <si>
    <t>Contingency</t>
  </si>
  <si>
    <t>Total cost</t>
  </si>
  <si>
    <t>Overall on this WBS</t>
  </si>
  <si>
    <t>PPPL</t>
  </si>
  <si>
    <t>ORNL</t>
  </si>
  <si>
    <t>PPPL Effort</t>
  </si>
  <si>
    <t>ORNL effort</t>
  </si>
  <si>
    <t>ORNL Phys</t>
  </si>
  <si>
    <t>PPPL Phys</t>
  </si>
  <si>
    <t>Assumed rates:</t>
  </si>
  <si>
    <t>Start Date  Month/Yr</t>
  </si>
  <si>
    <t>End Date  Month/Yr</t>
  </si>
  <si>
    <t>ORNL Phys.</t>
  </si>
  <si>
    <t>PPPL Phys.</t>
  </si>
  <si>
    <t>ORNL Phy</t>
  </si>
  <si>
    <t>PPPL Phy</t>
  </si>
  <si>
    <t xml:space="preserve"> of design is preliminary design</t>
  </si>
  <si>
    <t>of design schedule is final design</t>
  </si>
  <si>
    <t>special analysis (electromagnetics)</t>
  </si>
  <si>
    <t>Title I Design</t>
  </si>
  <si>
    <t>total</t>
  </si>
  <si>
    <t>Fab operations summary</t>
  </si>
  <si>
    <t>Assembly operations summary</t>
  </si>
  <si>
    <t xml:space="preserve">   design rate:</t>
  </si>
  <si>
    <t>EASM, EMSM</t>
  </si>
  <si>
    <t>hrs / coil</t>
  </si>
  <si>
    <t>Subcontractor labor rates:</t>
  </si>
  <si>
    <t>hr/coil</t>
  </si>
  <si>
    <t>hrs/line</t>
  </si>
  <si>
    <t>hrs/lot</t>
  </si>
  <si>
    <t>hr/lot</t>
  </si>
  <si>
    <t>reviews</t>
  </si>
  <si>
    <t xml:space="preserve">assy dwgs </t>
  </si>
  <si>
    <t>Pro-E models (avg)</t>
  </si>
  <si>
    <t>procurement/fab specifications</t>
  </si>
  <si>
    <t>see notes below</t>
  </si>
  <si>
    <t>Cast and machined winding forms</t>
  </si>
  <si>
    <t xml:space="preserve">Vendor surveillance via </t>
  </si>
  <si>
    <t>No fabrication and assembly is associated with this WBS</t>
  </si>
  <si>
    <t>included in hardware estimate</t>
  </si>
  <si>
    <t xml:space="preserve">Profit </t>
  </si>
  <si>
    <t xml:space="preserve">This effort covers procurement of the TF coil windings.   The coils are procured via a fixed price contract and include the winding assembly with terminal blocks for attachment of leads.  </t>
  </si>
  <si>
    <t>No R&amp;D is associated with this WBS</t>
  </si>
  <si>
    <t>TF Coil windings</t>
  </si>
  <si>
    <t>Windings</t>
  </si>
  <si>
    <t>Crossovers and lead blocks</t>
  </si>
  <si>
    <t>Length_m</t>
  </si>
  <si>
    <t>NumberCoils</t>
  </si>
  <si>
    <t>TurnsHigh</t>
  </si>
  <si>
    <t>TurnsWide</t>
  </si>
  <si>
    <t>Turns</t>
  </si>
  <si>
    <t>ConductorLengthPerDP_m</t>
  </si>
  <si>
    <t>EnvelopeHeight_mm</t>
  </si>
  <si>
    <t>EnvelopeWidth_mm</t>
  </si>
  <si>
    <t>BundleHeight_mm</t>
  </si>
  <si>
    <t>BundleWidth_mm</t>
  </si>
  <si>
    <t>BundleArea_mm2</t>
  </si>
  <si>
    <t>BundleArea_m2</t>
  </si>
  <si>
    <t>EquivRadius_m</t>
  </si>
  <si>
    <t>GroundWrap_mm</t>
  </si>
  <si>
    <t>TurnInsulation_mm</t>
  </si>
  <si>
    <t>PancakeInsulation_mm</t>
  </si>
  <si>
    <t>ConductorHeight_mm</t>
  </si>
  <si>
    <t>ConductorWidth_mm</t>
  </si>
  <si>
    <t>CornerRadius_mm</t>
  </si>
  <si>
    <t>CornerArea_mm2</t>
  </si>
  <si>
    <t>CoolingArea_mm2</t>
  </si>
  <si>
    <t>ConductorArea_mm2</t>
  </si>
  <si>
    <t>FillFactor</t>
  </si>
  <si>
    <t>CopperArea_mm2</t>
  </si>
  <si>
    <t>Weight/coil, kg</t>
  </si>
  <si>
    <t>Tooling engineering/mfg. Plans</t>
  </si>
  <si>
    <t>hrs.</t>
  </si>
  <si>
    <t>Tooling engineering</t>
  </si>
  <si>
    <t>$</t>
  </si>
  <si>
    <t>Tooling design</t>
  </si>
  <si>
    <t>(half engineer; half designer)</t>
  </si>
  <si>
    <t>II.  Materials</t>
  </si>
  <si>
    <t>Ordering/stocking materials</t>
  </si>
  <si>
    <t>technician hours</t>
  </si>
  <si>
    <t>"      "</t>
  </si>
  <si>
    <t>m/m</t>
  </si>
  <si>
    <t>turn ins.  Tape Thickness</t>
  </si>
  <si>
    <t>mm</t>
  </si>
  <si>
    <t>No. half lapped layers</t>
  </si>
  <si>
    <t>#</t>
  </si>
  <si>
    <t>meters of ins. /roll</t>
  </si>
  <si>
    <t>m</t>
  </si>
  <si>
    <t>no. rolls/coil</t>
  </si>
  <si>
    <t>insulation waste factor</t>
  </si>
  <si>
    <t xml:space="preserve">total rolls of turn ins. reqd. </t>
  </si>
  <si>
    <t>turn insulation cost per roll</t>
  </si>
  <si>
    <t>$/roll</t>
  </si>
  <si>
    <t>turn insulation total cost, 18 coils</t>
  </si>
  <si>
    <t>ground wall tape thickness</t>
  </si>
  <si>
    <t>total ground wall thick.</t>
  </si>
  <si>
    <t>ground wall tape width</t>
  </si>
  <si>
    <t>cm</t>
  </si>
  <si>
    <t>gw tape length reqd.</t>
  </si>
  <si>
    <t>no. rolls of GW insulation, 18 coils</t>
  </si>
  <si>
    <t>GW tape cost per roll</t>
  </si>
  <si>
    <t>GW insulation cost, 18 coils</t>
  </si>
  <si>
    <t>Epoxy volume reqd. (15% void fraction)</t>
  </si>
  <si>
    <t>l</t>
  </si>
  <si>
    <t>Epoxy cost/liter</t>
  </si>
  <si>
    <t>$/l</t>
  </si>
  <si>
    <t>Epoxy cost for 18 coils</t>
  </si>
  <si>
    <t>II. Material cost for 18 coils</t>
  </si>
  <si>
    <t>M&amp;S w/o G&amp;A</t>
  </si>
  <si>
    <t xml:space="preserve">Tooling prep. </t>
  </si>
  <si>
    <t>shifts</t>
  </si>
  <si>
    <t>turns/8 hr. shift, incl. Insulation application</t>
  </si>
  <si>
    <t>crew size</t>
  </si>
  <si>
    <t>Shifts reqd. per coil</t>
  </si>
  <si>
    <t>person-hours to prep &amp;  wind coil</t>
  </si>
  <si>
    <t>technical oversight/coil</t>
  </si>
  <si>
    <t>tech. Oversight cost</t>
  </si>
  <si>
    <t>GW application time-rolls/shift</t>
  </si>
  <si>
    <t>crew size for GW</t>
  </si>
  <si>
    <t>person hours to apply</t>
  </si>
  <si>
    <t xml:space="preserve">crew size for VPI </t>
  </si>
  <si>
    <t>elec/hydraulic test</t>
  </si>
  <si>
    <t>Total labor hours for 18 coils</t>
  </si>
  <si>
    <t>(technician labor)</t>
  </si>
  <si>
    <t>III.Total Labor Cost</t>
  </si>
  <si>
    <t>$/kg</t>
  </si>
  <si>
    <t>copper extrusion cost</t>
  </si>
  <si>
    <t>Copper order factor</t>
  </si>
  <si>
    <t>average perimeter per turn</t>
  </si>
  <si>
    <t>copper density_kg/mm^3</t>
  </si>
  <si>
    <t xml:space="preserve">I.  Tooling by vendor </t>
  </si>
  <si>
    <t>Total Manufacturing Costs,TF Coils</t>
  </si>
  <si>
    <t xml:space="preserve">copper cost , 18 coils ;  </t>
  </si>
  <si>
    <t xml:space="preserve"> assume 25% overage</t>
  </si>
  <si>
    <t>factor</t>
  </si>
  <si>
    <t>Leads and coolant connections/coil</t>
  </si>
  <si>
    <t>Leads &amp; coolant con's., all coils</t>
  </si>
  <si>
    <t>III.  Labor</t>
  </si>
  <si>
    <t>half time for all shifts</t>
  </si>
  <si>
    <t>Total tooling cost</t>
  </si>
  <si>
    <t>Total tooling design hours</t>
  </si>
  <si>
    <t>Tooling fabrication (200% of  1 coil matl)</t>
  </si>
  <si>
    <t>VPI prep &amp; process.- hrs/ m-coil</t>
  </si>
  <si>
    <t>person hours/coil for VPI</t>
  </si>
  <si>
    <t>one procurement specification for winding</t>
  </si>
  <si>
    <t>global and local analysis of winding pack and lead regions</t>
  </si>
  <si>
    <t>em analysis of lead area, general analysis in WBS 171</t>
  </si>
  <si>
    <t>double pancake, crossover/lead area, overall assy</t>
  </si>
  <si>
    <t>winding, lead blocks, crossover fillers</t>
  </si>
  <si>
    <t>TF Coil winding design</t>
  </si>
  <si>
    <t>covered in WBS 133</t>
  </si>
  <si>
    <t>TF Winding cost details</t>
  </si>
  <si>
    <t>Ref. P. Heitzenroeder</t>
  </si>
  <si>
    <t>TF Winding geometry</t>
  </si>
  <si>
    <t>only two trips are anticipated</t>
  </si>
  <si>
    <t>misc matl -$ per lb of Cu in coils</t>
  </si>
  <si>
    <t>misc. matl. Cost, pair of coils</t>
  </si>
  <si>
    <t>WBS 131 TF Coils</t>
  </si>
  <si>
    <t>FY2003 $$</t>
  </si>
  <si>
    <t>This effort covers all Title I, II, and III engineering  for the TF coil windings.   The coils are procured via a fixed price contract.    All installation oversight will be performed as part of WBS 7.</t>
  </si>
  <si>
    <t>Tooling for Nose shaving&amp;curing</t>
  </si>
  <si>
    <t>Tooling Fab for nose</t>
  </si>
  <si>
    <t>turn insul.:  length/meter of cond./layer</t>
  </si>
  <si>
    <t>glass insul width</t>
  </si>
  <si>
    <t>No. half lapped Kapton layers</t>
  </si>
  <si>
    <t>G&amp;A adjustment on large procurement</t>
  </si>
  <si>
    <t>set of 18 TF coils</t>
  </si>
  <si>
    <t>Kapton insul width</t>
  </si>
  <si>
    <t>incl in tooling design</t>
  </si>
  <si>
    <t>assume 10%</t>
  </si>
  <si>
    <t>CoolingHoleDia_mm (equiv.)</t>
  </si>
  <si>
    <t>Shave nose Machinist</t>
  </si>
  <si>
    <t>Wrap &amp; Cure nose (2 men 4 days)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</si>
</sst>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0.000"/>
    <numFmt numFmtId="175" formatCode="0.0000"/>
    <numFmt numFmtId="176" formatCode="0.000E+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;\-0;;@\ "/>
    <numFmt numFmtId="181" formatCode="0.00000000"/>
  </numFmts>
  <fonts count="2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i/>
      <u val="single"/>
      <sz val="12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43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u val="single"/>
      <sz val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Continuous" wrapText="1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14" fontId="1" fillId="0" borderId="0" xfId="0" applyNumberFormat="1" applyFont="1" applyAlignment="1">
      <alignment/>
    </xf>
    <xf numFmtId="14" fontId="2" fillId="0" borderId="0" xfId="0" applyNumberFormat="1" applyFont="1" applyAlignment="1">
      <alignment horizontal="center" wrapText="1"/>
    </xf>
    <xf numFmtId="14" fontId="2" fillId="2" borderId="0" xfId="0" applyNumberFormat="1" applyFont="1" applyFill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9" fontId="7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17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right"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 wrapText="1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166" fontId="7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 vertical="top" wrapText="1"/>
    </xf>
    <xf numFmtId="166" fontId="0" fillId="0" borderId="0" xfId="0" applyNumberFormat="1" applyFont="1" applyAlignment="1">
      <alignment horizontal="right" vertical="top" wrapText="1"/>
    </xf>
    <xf numFmtId="166" fontId="0" fillId="0" borderId="0" xfId="0" applyNumberFormat="1" applyAlignment="1">
      <alignment horizontal="right"/>
    </xf>
    <xf numFmtId="1" fontId="7" fillId="0" borderId="0" xfId="0" applyNumberFormat="1" applyFont="1" applyAlignment="1">
      <alignment horizontal="center"/>
    </xf>
    <xf numFmtId="166" fontId="5" fillId="0" borderId="0" xfId="0" applyNumberFormat="1" applyFont="1" applyAlignment="1">
      <alignment/>
    </xf>
    <xf numFmtId="0" fontId="0" fillId="0" borderId="0" xfId="0" applyFill="1" applyAlignment="1">
      <alignment/>
    </xf>
    <xf numFmtId="0" fontId="2" fillId="2" borderId="0" xfId="0" applyFont="1" applyFill="1" applyAlignment="1">
      <alignment/>
    </xf>
    <xf numFmtId="14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1" fontId="0" fillId="2" borderId="0" xfId="0" applyNumberFormat="1" applyFill="1" applyAlignment="1">
      <alignment horizontal="center"/>
    </xf>
    <xf numFmtId="0" fontId="9" fillId="0" borderId="0" xfId="0" applyFont="1" applyAlignment="1">
      <alignment horizontal="left"/>
    </xf>
    <xf numFmtId="1" fontId="4" fillId="0" borderId="0" xfId="0" applyNumberFormat="1" applyFont="1" applyAlignment="1">
      <alignment/>
    </xf>
    <xf numFmtId="14" fontId="2" fillId="0" borderId="0" xfId="0" applyNumberFormat="1" applyFont="1" applyAlignment="1">
      <alignment horizontal="left"/>
    </xf>
    <xf numFmtId="14" fontId="0" fillId="0" borderId="0" xfId="0" applyNumberFormat="1" applyFill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166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0" fontId="4" fillId="0" borderId="0" xfId="0" applyFont="1" applyFill="1" applyAlignment="1">
      <alignment/>
    </xf>
    <xf numFmtId="1" fontId="0" fillId="0" borderId="0" xfId="0" applyNumberFormat="1" applyFill="1" applyAlignment="1">
      <alignment horizontal="center"/>
    </xf>
    <xf numFmtId="14" fontId="2" fillId="0" borderId="0" xfId="0" applyNumberFormat="1" applyFont="1" applyAlignment="1">
      <alignment/>
    </xf>
    <xf numFmtId="14" fontId="2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8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14" fontId="1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14" fontId="2" fillId="0" borderId="1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4" fillId="0" borderId="1" xfId="0" applyFont="1" applyBorder="1" applyAlignment="1">
      <alignment/>
    </xf>
    <xf numFmtId="17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17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1" fontId="0" fillId="0" borderId="0" xfId="0" applyNumberFormat="1" applyFont="1" applyAlignment="1">
      <alignment/>
    </xf>
    <xf numFmtId="168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68" fontId="13" fillId="0" borderId="0" xfId="0" applyNumberFormat="1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" fontId="0" fillId="0" borderId="0" xfId="0" applyNumberFormat="1" applyFont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8" fontId="2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9" fontId="20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 textRotation="90"/>
    </xf>
    <xf numFmtId="0" fontId="0" fillId="0" borderId="0" xfId="0" applyFont="1" applyFill="1" applyBorder="1" applyAlignment="1">
      <alignment horizontal="left"/>
    </xf>
    <xf numFmtId="8" fontId="3" fillId="0" borderId="0" xfId="0" applyNumberFormat="1" applyFont="1" applyFill="1" applyBorder="1" applyAlignment="1">
      <alignment horizontal="center"/>
    </xf>
    <xf numFmtId="8" fontId="14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68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70" fontId="7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textRotation="90" wrapText="1"/>
    </xf>
    <xf numFmtId="0" fontId="3" fillId="0" borderId="0" xfId="0" applyFont="1" applyFill="1" applyBorder="1" applyAlignment="1">
      <alignment horizontal="center"/>
    </xf>
    <xf numFmtId="3" fontId="2" fillId="0" borderId="0" xfId="0" applyNumberFormat="1" applyFont="1" applyAlignment="1">
      <alignment horizontal="center" wrapText="1"/>
    </xf>
    <xf numFmtId="166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166" fontId="0" fillId="0" borderId="0" xfId="0" applyNumberFormat="1" applyAlignment="1">
      <alignment horizontal="right" wrapText="1"/>
    </xf>
    <xf numFmtId="166" fontId="7" fillId="0" borderId="0" xfId="0" applyNumberFormat="1" applyFont="1" applyAlignment="1">
      <alignment wrapText="1"/>
    </xf>
    <xf numFmtId="166" fontId="7" fillId="0" borderId="0" xfId="0" applyNumberFormat="1" applyFont="1" applyAlignment="1">
      <alignment horizontal="right" wrapText="1"/>
    </xf>
    <xf numFmtId="166" fontId="0" fillId="0" borderId="0" xfId="0" applyNumberFormat="1" applyAlignment="1">
      <alignment horizontal="left" wrapText="1"/>
    </xf>
    <xf numFmtId="0" fontId="0" fillId="0" borderId="0" xfId="0" applyAlignment="1">
      <alignment horizontal="right" wrapText="1"/>
    </xf>
    <xf numFmtId="0" fontId="7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22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1" fontId="0" fillId="0" borderId="0" xfId="0" applyNumberFormat="1" applyFill="1" applyBorder="1" applyAlignment="1">
      <alignment horizontal="center"/>
    </xf>
    <xf numFmtId="4" fontId="0" fillId="0" borderId="0" xfId="0" applyNumberFormat="1" applyAlignment="1">
      <alignment horizontal="right" wrapText="1"/>
    </xf>
    <xf numFmtId="2" fontId="0" fillId="0" borderId="0" xfId="0" applyNumberFormat="1" applyAlignment="1">
      <alignment wrapText="1"/>
    </xf>
    <xf numFmtId="2" fontId="0" fillId="0" borderId="0" xfId="0" applyNumberFormat="1" applyFont="1" applyAlignment="1">
      <alignment horizontal="center" wrapText="1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170" fontId="11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169" fontId="12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17" fontId="0" fillId="0" borderId="0" xfId="0" applyNumberFormat="1" applyFont="1" applyFill="1" applyBorder="1" applyAlignment="1">
      <alignment horizontal="center"/>
    </xf>
    <xf numFmtId="17" fontId="0" fillId="0" borderId="0" xfId="0" applyNumberFormat="1" applyFill="1" applyBorder="1" applyAlignment="1">
      <alignment horizontal="center"/>
    </xf>
    <xf numFmtId="17" fontId="0" fillId="0" borderId="0" xfId="0" applyNumberFormat="1" applyFill="1" applyBorder="1" applyAlignment="1">
      <alignment/>
    </xf>
    <xf numFmtId="0" fontId="20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8" fontId="20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168" fontId="13" fillId="0" borderId="0" xfId="0" applyNumberFormat="1" applyFont="1" applyFill="1" applyBorder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166" fontId="0" fillId="0" borderId="0" xfId="0" applyNumberFormat="1" applyFill="1" applyAlignment="1">
      <alignment wrapText="1"/>
    </xf>
    <xf numFmtId="166" fontId="7" fillId="0" borderId="0" xfId="0" applyNumberFormat="1" applyFont="1" applyFill="1" applyAlignment="1">
      <alignment wrapText="1"/>
    </xf>
    <xf numFmtId="0" fontId="2" fillId="0" borderId="0" xfId="0" applyFont="1" applyAlignment="1">
      <alignment wrapText="1"/>
    </xf>
    <xf numFmtId="11" fontId="0" fillId="0" borderId="0" xfId="0" applyNumberFormat="1" applyAlignment="1">
      <alignment/>
    </xf>
    <xf numFmtId="165" fontId="23" fillId="0" borderId="0" xfId="0" applyNumberFormat="1" applyFont="1" applyFill="1" applyBorder="1" applyAlignment="1">
      <alignment wrapText="1"/>
    </xf>
    <xf numFmtId="165" fontId="24" fillId="0" borderId="0" xfId="0" applyNumberFormat="1" applyFont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174" fontId="0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165" fontId="26" fillId="0" borderId="0" xfId="0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wrapText="1"/>
    </xf>
    <xf numFmtId="0" fontId="27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11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165" fontId="24" fillId="0" borderId="0" xfId="0" applyNumberFormat="1" applyFont="1" applyAlignment="1">
      <alignment horizontal="center" wrapText="1"/>
    </xf>
    <xf numFmtId="165" fontId="0" fillId="0" borderId="0" xfId="0" applyNumberFormat="1" applyFont="1" applyAlignment="1">
      <alignment horizontal="center" wrapText="1"/>
    </xf>
    <xf numFmtId="165" fontId="25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74" fontId="25" fillId="0" borderId="0" xfId="0" applyNumberFormat="1" applyFont="1" applyAlignment="1">
      <alignment horizontal="center" wrapText="1"/>
    </xf>
    <xf numFmtId="165" fontId="26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11" fontId="0" fillId="0" borderId="0" xfId="0" applyNumberFormat="1" applyFill="1" applyAlignment="1">
      <alignment wrapText="1"/>
    </xf>
    <xf numFmtId="0" fontId="6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9" fontId="0" fillId="0" borderId="0" xfId="0" applyNumberFormat="1" applyAlignment="1">
      <alignment horizontal="center"/>
    </xf>
    <xf numFmtId="0" fontId="28" fillId="0" borderId="0" xfId="0" applyFont="1" applyAlignment="1">
      <alignment/>
    </xf>
    <xf numFmtId="174" fontId="0" fillId="0" borderId="0" xfId="0" applyNumberFormat="1" applyAlignment="1">
      <alignment/>
    </xf>
    <xf numFmtId="180" fontId="28" fillId="0" borderId="0" xfId="0" applyNumberFormat="1" applyFont="1" applyBorder="1" applyAlignment="1">
      <alignment horizontal="right" wrapText="1"/>
    </xf>
    <xf numFmtId="174" fontId="28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172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72" fontId="13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6" fontId="0" fillId="0" borderId="0" xfId="0" applyNumberFormat="1" applyFont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166" fontId="0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166" fontId="0" fillId="0" borderId="0" xfId="0" applyNumberFormat="1" applyAlignment="1">
      <alignment horizontal="center" wrapText="1"/>
    </xf>
    <xf numFmtId="176" fontId="0" fillId="0" borderId="0" xfId="0" applyNumberFormat="1" applyAlignment="1">
      <alignment/>
    </xf>
    <xf numFmtId="165" fontId="0" fillId="0" borderId="0" xfId="0" applyNumberFormat="1" applyFont="1" applyAlignment="1">
      <alignment horizontal="center"/>
    </xf>
    <xf numFmtId="17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1" fontId="13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9" fontId="1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170" fontId="13" fillId="0" borderId="0" xfId="0" applyNumberFormat="1" applyFont="1" applyFill="1" applyBorder="1" applyAlignment="1">
      <alignment horizontal="center"/>
    </xf>
    <xf numFmtId="169" fontId="12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66" fontId="0" fillId="0" borderId="0" xfId="0" applyNumberFormat="1" applyAlignment="1">
      <alignment horizontal="right"/>
    </xf>
    <xf numFmtId="169" fontId="2" fillId="0" borderId="0" xfId="0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9" fontId="13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168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6"/>
  <sheetViews>
    <sheetView view="pageBreakPreview" zoomScale="60" workbookViewId="0" topLeftCell="A4">
      <selection activeCell="E71" sqref="E71"/>
    </sheetView>
  </sheetViews>
  <sheetFormatPr defaultColWidth="9.140625" defaultRowHeight="12.75"/>
  <cols>
    <col min="1" max="1" width="1.28515625" style="0" customWidth="1"/>
    <col min="2" max="2" width="1.57421875" style="0" customWidth="1"/>
    <col min="3" max="3" width="32.28125" style="0" customWidth="1"/>
    <col min="4" max="4" width="10.7109375" style="0" customWidth="1"/>
    <col min="5" max="5" width="11.28125" style="0" customWidth="1"/>
    <col min="6" max="6" width="10.7109375" style="0" customWidth="1"/>
    <col min="7" max="8" width="10.7109375" style="19" customWidth="1"/>
    <col min="9" max="10" width="10.7109375" style="0" customWidth="1"/>
    <col min="11" max="11" width="12.57421875" style="0" customWidth="1"/>
    <col min="12" max="12" width="12.28125" style="0" customWidth="1"/>
    <col min="13" max="13" width="11.00390625" style="0" customWidth="1"/>
    <col min="14" max="14" width="10.7109375" style="0" customWidth="1"/>
    <col min="15" max="15" width="10.28125" style="0" customWidth="1"/>
    <col min="16" max="17" width="10.140625" style="0" bestFit="1" customWidth="1"/>
    <col min="18" max="19" width="11.421875" style="0" bestFit="1" customWidth="1"/>
    <col min="20" max="20" width="9.8515625" style="0" bestFit="1" customWidth="1"/>
    <col min="21" max="21" width="10.140625" style="0" bestFit="1" customWidth="1"/>
  </cols>
  <sheetData>
    <row r="1" spans="1:20" s="2" customFormat="1" ht="20.25">
      <c r="A1" s="259" t="s">
        <v>292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">
        <v>17</v>
      </c>
      <c r="O1" s="257" t="s">
        <v>103</v>
      </c>
      <c r="P1" s="257"/>
      <c r="Q1" s="257"/>
      <c r="R1" s="257"/>
      <c r="S1" s="257"/>
      <c r="T1" s="257"/>
    </row>
    <row r="2" spans="1:20" s="2" customFormat="1" ht="15.75">
      <c r="A2" s="21"/>
      <c r="B2" s="21"/>
      <c r="C2" s="21"/>
      <c r="D2" s="21"/>
      <c r="E2" s="21"/>
      <c r="G2" s="16"/>
      <c r="H2" s="16"/>
      <c r="O2" s="25"/>
      <c r="P2" s="25"/>
      <c r="Q2" s="25"/>
      <c r="R2" s="25"/>
      <c r="S2" s="25"/>
      <c r="T2" s="25"/>
    </row>
    <row r="3" spans="1:20" s="2" customFormat="1" ht="18.75" thickBot="1">
      <c r="A3" s="258" t="s">
        <v>29</v>
      </c>
      <c r="B3" s="258"/>
      <c r="C3" s="258"/>
      <c r="D3" s="258"/>
      <c r="E3" s="75"/>
      <c r="F3" s="76"/>
      <c r="G3" s="77"/>
      <c r="H3" s="77"/>
      <c r="I3" s="76"/>
      <c r="J3" s="76"/>
      <c r="K3" s="76"/>
      <c r="O3" s="25"/>
      <c r="P3" s="25"/>
      <c r="Q3" s="25"/>
      <c r="R3" s="25"/>
      <c r="S3" s="25"/>
      <c r="T3" s="25"/>
    </row>
    <row r="4" spans="2:21" s="3" customFormat="1" ht="27.75" customHeight="1">
      <c r="B4" s="7" t="s">
        <v>0</v>
      </c>
      <c r="C4" s="7"/>
      <c r="D4" s="3" t="s">
        <v>1</v>
      </c>
      <c r="E4" s="3" t="s">
        <v>293</v>
      </c>
      <c r="F4" s="3" t="s">
        <v>2</v>
      </c>
      <c r="G4" s="17" t="s">
        <v>145</v>
      </c>
      <c r="H4" s="17" t="s">
        <v>146</v>
      </c>
      <c r="I4" s="1" t="s">
        <v>3</v>
      </c>
      <c r="J4" s="2"/>
      <c r="K4" s="2"/>
      <c r="L4" s="2"/>
      <c r="M4" s="2"/>
      <c r="N4" s="3" t="s">
        <v>99</v>
      </c>
      <c r="O4" s="17">
        <v>37530</v>
      </c>
      <c r="P4" s="17">
        <v>37895</v>
      </c>
      <c r="Q4" s="17">
        <v>38261</v>
      </c>
      <c r="R4" s="17">
        <v>38626</v>
      </c>
      <c r="S4" s="17">
        <v>38991</v>
      </c>
      <c r="T4" s="17">
        <v>39356</v>
      </c>
      <c r="U4" s="17">
        <v>39722</v>
      </c>
    </row>
    <row r="5" spans="7:13" s="4" customFormat="1" ht="12.75">
      <c r="G5" s="18"/>
      <c r="H5" s="18"/>
      <c r="L5" s="5"/>
      <c r="M5" s="5"/>
    </row>
    <row r="6" spans="1:21" ht="12.75">
      <c r="A6" s="256" t="s">
        <v>6</v>
      </c>
      <c r="B6" s="256"/>
      <c r="C6" s="256"/>
      <c r="D6" s="256"/>
      <c r="E6" s="8"/>
      <c r="I6" s="14"/>
      <c r="J6" s="14"/>
      <c r="K6" s="14"/>
      <c r="L6" s="14"/>
      <c r="M6" s="14"/>
      <c r="U6" s="30"/>
    </row>
    <row r="7" spans="3:25" ht="12.75">
      <c r="C7" t="str">
        <f>CONCATENATE("( ",ROUND(W7,0),"% of design schedule)")</f>
        <v>( 50% of design schedule)</v>
      </c>
      <c r="D7" s="31">
        <f>X7*Engr!$I$24</f>
        <v>275.4</v>
      </c>
      <c r="E7" s="8"/>
      <c r="F7" s="6" t="s">
        <v>8</v>
      </c>
      <c r="G7" s="34">
        <f>Engr!B$38</f>
        <v>37920</v>
      </c>
      <c r="H7" s="34">
        <f>Engr!D$38</f>
        <v>38046</v>
      </c>
      <c r="I7" s="14" t="s">
        <v>45</v>
      </c>
      <c r="J7" s="14"/>
      <c r="K7" s="14"/>
      <c r="L7" s="14"/>
      <c r="M7" s="14"/>
      <c r="N7" s="40">
        <f>(H7-G7)/7</f>
        <v>18</v>
      </c>
      <c r="O7" s="40">
        <f aca="true" t="shared" si="0" ref="O7:T11">(1/7)*IF((OR((O$4&gt;=$H7),(P$4&lt;=$G7))),0,IF(AND((O$4&lt;=$G7),(P$4&gt;=$H7)),($H7-$G7),IF(AND((O$4&gt;=$G7),(P$4&gt;=$H7)),($H7-O$4),IF(AND((O$4&gt;=$G7),($H7&gt;=P$4)),365,IF(AND((O$4&lt;=$G7),($H7&gt;=P$4)),(P$4-$G7))))))</f>
        <v>0</v>
      </c>
      <c r="P7" s="40">
        <f t="shared" si="0"/>
        <v>18</v>
      </c>
      <c r="Q7" s="40">
        <f t="shared" si="0"/>
        <v>0</v>
      </c>
      <c r="R7" s="40">
        <f t="shared" si="0"/>
        <v>0</v>
      </c>
      <c r="S7" s="40">
        <f t="shared" si="0"/>
        <v>0</v>
      </c>
      <c r="T7" s="40">
        <f t="shared" si="0"/>
        <v>0</v>
      </c>
      <c r="U7" s="40"/>
      <c r="W7">
        <f>100*X7</f>
        <v>50</v>
      </c>
      <c r="X7" s="65">
        <f>Engr!C38/(Engr!C38+Engr!C39)</f>
        <v>0.5</v>
      </c>
      <c r="Y7" t="s">
        <v>151</v>
      </c>
    </row>
    <row r="8" spans="4:21" ht="12.75">
      <c r="D8" s="31">
        <f>X7*Engr!$K$24</f>
        <v>290</v>
      </c>
      <c r="E8" s="8"/>
      <c r="F8" s="6" t="s">
        <v>10</v>
      </c>
      <c r="G8" s="34">
        <f>Engr!B$38</f>
        <v>37920</v>
      </c>
      <c r="H8" s="34">
        <f>Engr!D$38</f>
        <v>38046</v>
      </c>
      <c r="I8" s="14" t="s">
        <v>44</v>
      </c>
      <c r="J8" s="14"/>
      <c r="K8" s="14"/>
      <c r="L8" s="14"/>
      <c r="M8" s="14"/>
      <c r="N8" s="40">
        <f>(H8-G8)/7</f>
        <v>18</v>
      </c>
      <c r="O8" s="40">
        <f t="shared" si="0"/>
        <v>0</v>
      </c>
      <c r="P8" s="40">
        <f t="shared" si="0"/>
        <v>18</v>
      </c>
      <c r="Q8" s="40">
        <f t="shared" si="0"/>
        <v>0</v>
      </c>
      <c r="R8" s="40">
        <f t="shared" si="0"/>
        <v>0</v>
      </c>
      <c r="S8" s="40">
        <f t="shared" si="0"/>
        <v>0</v>
      </c>
      <c r="T8" s="40">
        <f t="shared" si="0"/>
        <v>0</v>
      </c>
      <c r="U8" s="40"/>
    </row>
    <row r="9" spans="4:21" ht="12.75">
      <c r="D9" s="31">
        <f>X7*Engr!$M$24</f>
        <v>72.6</v>
      </c>
      <c r="E9" s="8"/>
      <c r="F9" s="6" t="s">
        <v>11</v>
      </c>
      <c r="G9" s="34">
        <f>Engr!B$38</f>
        <v>37920</v>
      </c>
      <c r="H9" s="34">
        <f>Engr!D$38</f>
        <v>38046</v>
      </c>
      <c r="I9" s="14" t="s">
        <v>47</v>
      </c>
      <c r="J9" s="14"/>
      <c r="K9" s="14"/>
      <c r="L9" s="14"/>
      <c r="M9" s="14"/>
      <c r="N9" s="40">
        <f>(H9-G9)/7</f>
        <v>18</v>
      </c>
      <c r="O9" s="40">
        <f t="shared" si="0"/>
        <v>0</v>
      </c>
      <c r="P9" s="40">
        <f t="shared" si="0"/>
        <v>18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/>
    </row>
    <row r="10" spans="4:21" ht="12.75">
      <c r="D10" s="31">
        <f>X7*Engr!$O$24</f>
        <v>0</v>
      </c>
      <c r="E10" s="8"/>
      <c r="F10" s="6" t="s">
        <v>147</v>
      </c>
      <c r="G10" s="34">
        <f>Engr!B$38</f>
        <v>37920</v>
      </c>
      <c r="H10" s="34">
        <f>Engr!D$38</f>
        <v>38046</v>
      </c>
      <c r="I10" s="14" t="s">
        <v>95</v>
      </c>
      <c r="J10" s="14"/>
      <c r="K10" s="14"/>
      <c r="L10" s="14"/>
      <c r="M10" s="14"/>
      <c r="N10" s="40">
        <f>(H10-G10)/7</f>
        <v>18</v>
      </c>
      <c r="O10" s="40">
        <f t="shared" si="0"/>
        <v>0</v>
      </c>
      <c r="P10" s="40">
        <f t="shared" si="0"/>
        <v>18</v>
      </c>
      <c r="Q10" s="40">
        <f t="shared" si="0"/>
        <v>0</v>
      </c>
      <c r="R10" s="40">
        <f t="shared" si="0"/>
        <v>0</v>
      </c>
      <c r="S10" s="40">
        <f t="shared" si="0"/>
        <v>0</v>
      </c>
      <c r="T10" s="40">
        <f t="shared" si="0"/>
        <v>0</v>
      </c>
      <c r="U10" s="40"/>
    </row>
    <row r="11" spans="4:21" ht="12.75">
      <c r="D11" s="31">
        <f>X7*Engr!$Q$24</f>
        <v>0</v>
      </c>
      <c r="E11" s="8"/>
      <c r="F11" s="6" t="s">
        <v>148</v>
      </c>
      <c r="G11" s="34">
        <f>Engr!B$38</f>
        <v>37920</v>
      </c>
      <c r="H11" s="34">
        <f>Engr!D$38</f>
        <v>38046</v>
      </c>
      <c r="I11" s="14" t="s">
        <v>94</v>
      </c>
      <c r="J11" s="14"/>
      <c r="K11" s="14"/>
      <c r="L11" s="14"/>
      <c r="M11" s="14"/>
      <c r="N11" s="40">
        <f>(H11-G11)/7</f>
        <v>18</v>
      </c>
      <c r="O11" s="40">
        <f t="shared" si="0"/>
        <v>0</v>
      </c>
      <c r="P11" s="40">
        <f t="shared" si="0"/>
        <v>18</v>
      </c>
      <c r="Q11" s="40">
        <f t="shared" si="0"/>
        <v>0</v>
      </c>
      <c r="R11" s="40">
        <f t="shared" si="0"/>
        <v>0</v>
      </c>
      <c r="S11" s="40">
        <f t="shared" si="0"/>
        <v>0</v>
      </c>
      <c r="T11" s="40">
        <f t="shared" si="0"/>
        <v>0</v>
      </c>
      <c r="U11" s="40"/>
    </row>
    <row r="12" spans="5:21" ht="12.75">
      <c r="E12" s="8"/>
      <c r="F12" s="6"/>
      <c r="G12" s="34"/>
      <c r="H12" s="34"/>
      <c r="I12" s="14"/>
      <c r="J12" s="14"/>
      <c r="K12" s="14"/>
      <c r="L12" s="14"/>
      <c r="M12" s="14"/>
      <c r="N12" s="40" t="s">
        <v>31</v>
      </c>
      <c r="O12" s="40"/>
      <c r="P12" s="40"/>
      <c r="Q12" s="40"/>
      <c r="R12" s="40"/>
      <c r="S12" s="40"/>
      <c r="T12" s="40"/>
      <c r="U12" s="40"/>
    </row>
    <row r="13" spans="1:20" ht="12.75">
      <c r="A13" s="256" t="s">
        <v>7</v>
      </c>
      <c r="B13" s="256"/>
      <c r="C13" s="256"/>
      <c r="D13" s="256"/>
      <c r="E13" s="8"/>
      <c r="G13" s="34"/>
      <c r="H13" s="34"/>
      <c r="I13" s="14"/>
      <c r="J13" s="14"/>
      <c r="K13" s="14"/>
      <c r="L13" s="14"/>
      <c r="M13" s="14"/>
      <c r="N13" s="40"/>
      <c r="O13" s="40"/>
      <c r="P13" s="40"/>
      <c r="Q13" s="40"/>
      <c r="R13" s="40"/>
      <c r="S13" s="40"/>
      <c r="T13" s="40"/>
    </row>
    <row r="14" spans="3:25" ht="12.75">
      <c r="C14" t="str">
        <f>CONCATENATE("( ",ROUND(W14,0),"% of design schedule)")</f>
        <v>( 50% of design schedule)</v>
      </c>
      <c r="D14" s="31">
        <f>X14*Engr!$I$24</f>
        <v>275.4</v>
      </c>
      <c r="E14" s="8"/>
      <c r="F14" s="6" t="s">
        <v>8</v>
      </c>
      <c r="G14" s="34">
        <f>Engr!B$39</f>
        <v>38046</v>
      </c>
      <c r="H14" s="34">
        <f>Engr!D$39</f>
        <v>38172</v>
      </c>
      <c r="I14" s="14" t="s">
        <v>45</v>
      </c>
      <c r="J14" s="14"/>
      <c r="K14" s="14"/>
      <c r="L14" s="14"/>
      <c r="M14" s="14"/>
      <c r="N14" s="40">
        <f>(H14-G14)/7</f>
        <v>18</v>
      </c>
      <c r="O14" s="40">
        <f aca="true" t="shared" si="1" ref="O14:T18">(1/7)*IF((OR((O$4&gt;=$H14),(P$4&lt;=$G14))),0,IF(AND((O$4&lt;=$G14),(P$4&gt;=$H14)),($H14-$G14),IF(AND((O$4&gt;=$G14),(P$4&gt;=$H14)),($H14-O$4),IF(AND((O$4&gt;=$G14),($H14&gt;=P$4)),365,IF(AND((O$4&lt;=$G14),($H14&gt;=P$4)),(P$4-$G14))))))</f>
        <v>0</v>
      </c>
      <c r="P14" s="40">
        <f t="shared" si="1"/>
        <v>18</v>
      </c>
      <c r="Q14" s="40">
        <f t="shared" si="1"/>
        <v>0</v>
      </c>
      <c r="R14" s="40">
        <f t="shared" si="1"/>
        <v>0</v>
      </c>
      <c r="S14" s="40">
        <f t="shared" si="1"/>
        <v>0</v>
      </c>
      <c r="T14" s="40">
        <f t="shared" si="1"/>
        <v>0</v>
      </c>
      <c r="U14" s="40"/>
      <c r="W14">
        <f>100*X14</f>
        <v>50</v>
      </c>
      <c r="X14" s="65">
        <f>1-X7</f>
        <v>0.5</v>
      </c>
      <c r="Y14" t="s">
        <v>152</v>
      </c>
    </row>
    <row r="15" spans="4:21" ht="12.75">
      <c r="D15" s="31">
        <f>X14*Engr!$K$24</f>
        <v>290</v>
      </c>
      <c r="E15" s="8"/>
      <c r="F15" s="6" t="s">
        <v>10</v>
      </c>
      <c r="G15" s="34">
        <f>Engr!B$39</f>
        <v>38046</v>
      </c>
      <c r="H15" s="34">
        <f>Engr!D$39</f>
        <v>38172</v>
      </c>
      <c r="I15" s="14" t="s">
        <v>44</v>
      </c>
      <c r="J15" s="14"/>
      <c r="K15" s="14"/>
      <c r="L15" s="14"/>
      <c r="M15" s="14"/>
      <c r="N15" s="40">
        <f>(H15-G15)/7</f>
        <v>18</v>
      </c>
      <c r="O15" s="40">
        <f t="shared" si="1"/>
        <v>0</v>
      </c>
      <c r="P15" s="40">
        <f t="shared" si="1"/>
        <v>18</v>
      </c>
      <c r="Q15" s="40">
        <f t="shared" si="1"/>
        <v>0</v>
      </c>
      <c r="R15" s="40">
        <f t="shared" si="1"/>
        <v>0</v>
      </c>
      <c r="S15" s="40">
        <f t="shared" si="1"/>
        <v>0</v>
      </c>
      <c r="T15" s="40">
        <f t="shared" si="1"/>
        <v>0</v>
      </c>
      <c r="U15" s="40"/>
    </row>
    <row r="16" spans="4:21" ht="12.75">
      <c r="D16" s="31">
        <f>X14*Engr!$M$24</f>
        <v>72.6</v>
      </c>
      <c r="E16" s="8"/>
      <c r="F16" s="6" t="s">
        <v>11</v>
      </c>
      <c r="G16" s="34">
        <f>Engr!B$39</f>
        <v>38046</v>
      </c>
      <c r="H16" s="34">
        <f>Engr!D$39</f>
        <v>38172</v>
      </c>
      <c r="I16" s="14" t="s">
        <v>47</v>
      </c>
      <c r="J16" s="14"/>
      <c r="K16" s="14"/>
      <c r="L16" s="14"/>
      <c r="M16" s="14"/>
      <c r="N16" s="40">
        <f>(H16-G16)/7</f>
        <v>18</v>
      </c>
      <c r="O16" s="40">
        <f t="shared" si="1"/>
        <v>0</v>
      </c>
      <c r="P16" s="40">
        <f t="shared" si="1"/>
        <v>18</v>
      </c>
      <c r="Q16" s="40">
        <f t="shared" si="1"/>
        <v>0</v>
      </c>
      <c r="R16" s="40">
        <f t="shared" si="1"/>
        <v>0</v>
      </c>
      <c r="S16" s="40">
        <f t="shared" si="1"/>
        <v>0</v>
      </c>
      <c r="T16" s="40">
        <f t="shared" si="1"/>
        <v>0</v>
      </c>
      <c r="U16" s="40"/>
    </row>
    <row r="17" spans="4:21" ht="12.75">
      <c r="D17" s="31">
        <f>X14*Engr!$O$24</f>
        <v>0</v>
      </c>
      <c r="E17" s="8"/>
      <c r="F17" s="6" t="s">
        <v>147</v>
      </c>
      <c r="G17" s="34">
        <f>Engr!B$39</f>
        <v>38046</v>
      </c>
      <c r="H17" s="34">
        <f>Engr!D$39</f>
        <v>38172</v>
      </c>
      <c r="I17" s="14" t="s">
        <v>48</v>
      </c>
      <c r="J17" s="14"/>
      <c r="K17" s="14"/>
      <c r="L17" s="14"/>
      <c r="M17" s="14"/>
      <c r="N17" s="40">
        <f>(H17-G17)/7</f>
        <v>18</v>
      </c>
      <c r="O17" s="40">
        <f t="shared" si="1"/>
        <v>0</v>
      </c>
      <c r="P17" s="40">
        <f t="shared" si="1"/>
        <v>18</v>
      </c>
      <c r="Q17" s="40">
        <f t="shared" si="1"/>
        <v>0</v>
      </c>
      <c r="R17" s="40">
        <f t="shared" si="1"/>
        <v>0</v>
      </c>
      <c r="S17" s="40">
        <f t="shared" si="1"/>
        <v>0</v>
      </c>
      <c r="T17" s="40">
        <f t="shared" si="1"/>
        <v>0</v>
      </c>
      <c r="U17" s="40"/>
    </row>
    <row r="18" spans="4:21" ht="12.75">
      <c r="D18" s="31">
        <f>X14*Engr!$Q$24</f>
        <v>0</v>
      </c>
      <c r="E18" s="8"/>
      <c r="F18" s="6" t="s">
        <v>148</v>
      </c>
      <c r="G18" s="34">
        <f>Engr!B$39</f>
        <v>38046</v>
      </c>
      <c r="H18" s="34">
        <f>Engr!D$39</f>
        <v>38172</v>
      </c>
      <c r="I18" s="14" t="s">
        <v>94</v>
      </c>
      <c r="J18" s="14"/>
      <c r="K18" s="14"/>
      <c r="L18" s="14"/>
      <c r="M18" s="14"/>
      <c r="N18" s="40">
        <f>(H18-G18)/7</f>
        <v>18</v>
      </c>
      <c r="O18" s="40">
        <f t="shared" si="1"/>
        <v>0</v>
      </c>
      <c r="P18" s="40">
        <f t="shared" si="1"/>
        <v>18</v>
      </c>
      <c r="Q18" s="40">
        <f t="shared" si="1"/>
        <v>0</v>
      </c>
      <c r="R18" s="40">
        <f t="shared" si="1"/>
        <v>0</v>
      </c>
      <c r="S18" s="40">
        <f t="shared" si="1"/>
        <v>0</v>
      </c>
      <c r="T18" s="40">
        <f t="shared" si="1"/>
        <v>0</v>
      </c>
      <c r="U18" s="40"/>
    </row>
    <row r="19" spans="5:21" ht="12.75">
      <c r="E19" s="8"/>
      <c r="G19" s="34"/>
      <c r="H19" s="34"/>
      <c r="I19" s="14"/>
      <c r="J19" s="14"/>
      <c r="K19" s="14"/>
      <c r="L19" s="14"/>
      <c r="M19" s="14"/>
      <c r="N19" s="40"/>
      <c r="O19" s="40"/>
      <c r="P19" s="40"/>
      <c r="Q19" s="40"/>
      <c r="R19" s="40"/>
      <c r="S19" s="40"/>
      <c r="T19" s="40"/>
      <c r="U19" s="40"/>
    </row>
    <row r="20" spans="1:21" ht="12.75">
      <c r="A20" s="256" t="s">
        <v>104</v>
      </c>
      <c r="B20" s="256"/>
      <c r="C20" s="256"/>
      <c r="D20" s="256"/>
      <c r="E20" s="8"/>
      <c r="G20" s="34"/>
      <c r="H20" s="34"/>
      <c r="I20" s="14"/>
      <c r="J20" s="14"/>
      <c r="K20" s="14"/>
      <c r="L20" s="14"/>
      <c r="M20" s="14"/>
      <c r="N20" s="40"/>
      <c r="O20" s="40"/>
      <c r="P20" s="40"/>
      <c r="Q20" s="40"/>
      <c r="R20" s="40"/>
      <c r="S20" s="40"/>
      <c r="T20" s="40"/>
      <c r="U20" s="40"/>
    </row>
    <row r="21" spans="4:21" ht="12.75">
      <c r="D21" s="31">
        <f>'R&amp;D'!I50+'R&amp;D'!I59</f>
        <v>0</v>
      </c>
      <c r="E21" s="8"/>
      <c r="F21" s="6" t="s">
        <v>8</v>
      </c>
      <c r="G21" s="34">
        <f>Engr!B$38</f>
        <v>37920</v>
      </c>
      <c r="H21" s="34">
        <f>Engr!D$38</f>
        <v>38046</v>
      </c>
      <c r="I21" s="14" t="s">
        <v>45</v>
      </c>
      <c r="J21" s="14"/>
      <c r="K21" s="14"/>
      <c r="L21" s="14"/>
      <c r="M21" s="14"/>
      <c r="N21" s="40">
        <f>(H21-G21)/7</f>
        <v>18</v>
      </c>
      <c r="O21" s="40">
        <f aca="true" t="shared" si="2" ref="O21:T25">(1/7)*IF((OR((O$4&gt;=$H21),(P$4&lt;=$G21))),0,IF(AND((O$4&lt;=$G21),(P$4&gt;=$H21)),($H21-$G21),IF(AND((O$4&gt;=$G21),(P$4&gt;=$H21)),($H21-O$4),IF(AND((O$4&gt;=$G21),($H21&gt;=P$4)),365,IF(AND((O$4&lt;=$G21),($H21&gt;=P$4)),(P$4-$G21))))))</f>
        <v>0</v>
      </c>
      <c r="P21" s="40">
        <f t="shared" si="2"/>
        <v>18</v>
      </c>
      <c r="Q21" s="40">
        <f t="shared" si="2"/>
        <v>0</v>
      </c>
      <c r="R21" s="40">
        <f t="shared" si="2"/>
        <v>0</v>
      </c>
      <c r="S21" s="40">
        <f t="shared" si="2"/>
        <v>0</v>
      </c>
      <c r="T21" s="40">
        <f t="shared" si="2"/>
        <v>0</v>
      </c>
      <c r="U21" s="40"/>
    </row>
    <row r="22" spans="4:21" ht="12.75">
      <c r="D22" s="31">
        <f>'R&amp;D'!K50+'R&amp;D'!K59</f>
        <v>0</v>
      </c>
      <c r="E22" s="8"/>
      <c r="F22" s="6" t="s">
        <v>10</v>
      </c>
      <c r="G22" s="34">
        <f>Engr!B$38</f>
        <v>37920</v>
      </c>
      <c r="H22" s="34">
        <f>Engr!D$38</f>
        <v>38046</v>
      </c>
      <c r="I22" s="14" t="s">
        <v>44</v>
      </c>
      <c r="J22" s="14"/>
      <c r="K22" s="14"/>
      <c r="L22" s="14"/>
      <c r="M22" s="14"/>
      <c r="N22" s="40">
        <f>(H22-G22)/7</f>
        <v>18</v>
      </c>
      <c r="O22" s="40">
        <f t="shared" si="2"/>
        <v>0</v>
      </c>
      <c r="P22" s="40">
        <f t="shared" si="2"/>
        <v>18</v>
      </c>
      <c r="Q22" s="40">
        <f t="shared" si="2"/>
        <v>0</v>
      </c>
      <c r="R22" s="40">
        <f t="shared" si="2"/>
        <v>0</v>
      </c>
      <c r="S22" s="40">
        <f t="shared" si="2"/>
        <v>0</v>
      </c>
      <c r="T22" s="40">
        <f t="shared" si="2"/>
        <v>0</v>
      </c>
      <c r="U22" s="40"/>
    </row>
    <row r="23" spans="4:21" ht="12.75">
      <c r="D23" s="31">
        <f>'R&amp;D'!M50+'R&amp;D'!M59</f>
        <v>0</v>
      </c>
      <c r="E23" s="8"/>
      <c r="F23" s="6" t="s">
        <v>11</v>
      </c>
      <c r="G23" s="34">
        <f>Engr!B$38</f>
        <v>37920</v>
      </c>
      <c r="H23" s="34">
        <f>Engr!D$38</f>
        <v>38046</v>
      </c>
      <c r="I23" s="14" t="s">
        <v>47</v>
      </c>
      <c r="J23" s="14"/>
      <c r="K23" s="14"/>
      <c r="L23" s="14"/>
      <c r="M23" s="14"/>
      <c r="N23" s="40">
        <f>(H23-G23)/7</f>
        <v>18</v>
      </c>
      <c r="O23" s="40">
        <f t="shared" si="2"/>
        <v>0</v>
      </c>
      <c r="P23" s="40">
        <f t="shared" si="2"/>
        <v>18</v>
      </c>
      <c r="Q23" s="40">
        <f t="shared" si="2"/>
        <v>0</v>
      </c>
      <c r="R23" s="40">
        <f t="shared" si="2"/>
        <v>0</v>
      </c>
      <c r="S23" s="40">
        <f t="shared" si="2"/>
        <v>0</v>
      </c>
      <c r="T23" s="40">
        <f t="shared" si="2"/>
        <v>0</v>
      </c>
      <c r="U23" s="40"/>
    </row>
    <row r="24" spans="4:21" ht="12.75">
      <c r="D24" s="31">
        <f>'R&amp;D'!O50+'R&amp;D'!O59</f>
        <v>0</v>
      </c>
      <c r="E24" s="8"/>
      <c r="F24" s="6" t="s">
        <v>9</v>
      </c>
      <c r="G24" s="34">
        <f>Engr!B$38</f>
        <v>37920</v>
      </c>
      <c r="H24" s="34">
        <f>Engr!D$38</f>
        <v>38046</v>
      </c>
      <c r="I24" s="14" t="s">
        <v>46</v>
      </c>
      <c r="J24" s="14"/>
      <c r="K24" s="14"/>
      <c r="L24" s="14"/>
      <c r="M24" s="14"/>
      <c r="N24" s="40">
        <f>(H24-G24)/7</f>
        <v>18</v>
      </c>
      <c r="O24" s="40">
        <f t="shared" si="2"/>
        <v>0</v>
      </c>
      <c r="P24" s="40">
        <f t="shared" si="2"/>
        <v>18</v>
      </c>
      <c r="Q24" s="40">
        <f t="shared" si="2"/>
        <v>0</v>
      </c>
      <c r="R24" s="40">
        <f t="shared" si="2"/>
        <v>0</v>
      </c>
      <c r="S24" s="40">
        <f t="shared" si="2"/>
        <v>0</v>
      </c>
      <c r="T24" s="40">
        <f t="shared" si="2"/>
        <v>0</v>
      </c>
      <c r="U24" s="40"/>
    </row>
    <row r="25" spans="4:21" ht="12.75">
      <c r="D25" s="31">
        <f>'R&amp;D'!Q59</f>
        <v>0</v>
      </c>
      <c r="E25" s="8"/>
      <c r="F25" s="6" t="s">
        <v>101</v>
      </c>
      <c r="G25" s="34">
        <f>Engr!B$38</f>
        <v>37920</v>
      </c>
      <c r="H25" s="34">
        <f>Engr!D$38</f>
        <v>38046</v>
      </c>
      <c r="I25" s="14" t="s">
        <v>102</v>
      </c>
      <c r="J25" s="14"/>
      <c r="K25" s="14"/>
      <c r="L25" s="14"/>
      <c r="M25" s="89"/>
      <c r="N25" s="40">
        <f>(H25-G25)/7</f>
        <v>18</v>
      </c>
      <c r="O25" s="40">
        <f t="shared" si="2"/>
        <v>0</v>
      </c>
      <c r="P25" s="40">
        <f t="shared" si="2"/>
        <v>18</v>
      </c>
      <c r="Q25" s="40">
        <f t="shared" si="2"/>
        <v>0</v>
      </c>
      <c r="R25" s="40">
        <f t="shared" si="2"/>
        <v>0</v>
      </c>
      <c r="S25" s="40">
        <f t="shared" si="2"/>
        <v>0</v>
      </c>
      <c r="T25" s="40">
        <f t="shared" si="2"/>
        <v>0</v>
      </c>
      <c r="U25" s="40"/>
    </row>
    <row r="26" spans="5:21" ht="12.75">
      <c r="E26" s="8"/>
      <c r="F26" s="6"/>
      <c r="G26" s="34"/>
      <c r="H26" s="34"/>
      <c r="I26" s="14"/>
      <c r="J26" s="14"/>
      <c r="K26" s="14"/>
      <c r="L26" s="14"/>
      <c r="M26" s="14"/>
      <c r="N26" s="40"/>
      <c r="O26" s="40"/>
      <c r="P26" s="40"/>
      <c r="Q26" s="40"/>
      <c r="R26" s="40"/>
      <c r="S26" s="40"/>
      <c r="T26" s="40"/>
      <c r="U26" s="40"/>
    </row>
    <row r="27" spans="1:20" ht="12.75">
      <c r="A27" s="256" t="s">
        <v>28</v>
      </c>
      <c r="B27" s="256"/>
      <c r="C27" s="256"/>
      <c r="D27" s="256"/>
      <c r="E27" s="8"/>
      <c r="G27" s="34"/>
      <c r="H27" s="34"/>
      <c r="I27" s="14"/>
      <c r="J27" s="14"/>
      <c r="K27" s="14"/>
      <c r="L27" s="14"/>
      <c r="M27" s="14"/>
      <c r="N27" s="40"/>
      <c r="O27" s="40"/>
      <c r="P27" s="40"/>
      <c r="Q27" s="40"/>
      <c r="R27" s="40"/>
      <c r="S27" s="40"/>
      <c r="T27" s="40"/>
    </row>
    <row r="28" spans="4:20" ht="12.75">
      <c r="D28" s="31">
        <f>Engr!I34+Fab_assy!I14+Fab_assy!I23</f>
        <v>665.6</v>
      </c>
      <c r="E28" s="8"/>
      <c r="F28" s="6" t="s">
        <v>8</v>
      </c>
      <c r="G28" s="34">
        <f>Engr!B$40</f>
        <v>38172</v>
      </c>
      <c r="H28" s="34">
        <f>Engr!D$42</f>
        <v>38718</v>
      </c>
      <c r="I28" s="14" t="s">
        <v>45</v>
      </c>
      <c r="J28" s="14"/>
      <c r="K28" s="14"/>
      <c r="L28" s="14"/>
      <c r="M28" s="14"/>
      <c r="N28" s="40">
        <f>(H28-G28)/7</f>
        <v>78</v>
      </c>
      <c r="O28" s="40">
        <f aca="true" t="shared" si="3" ref="O28:T28">(1/7)*IF((OR((O$4&gt;=$H28),(P$4&lt;=$G28))),0,IF(AND((O$4&lt;=$G28),(P$4&gt;=$H28)),($H28-$G28),IF(AND((O$4&gt;=$G28),(P$4&gt;=$H28)),($H28-O$4),IF(AND((O$4&gt;=$G28),($H28&gt;=P$4)),365,IF(AND((O$4&lt;=$G28),($H28&gt;=P$4)),(P$4-$G28))))))</f>
        <v>0</v>
      </c>
      <c r="P28" s="40">
        <f t="shared" si="3"/>
        <v>12.714285714285714</v>
      </c>
      <c r="Q28" s="40">
        <f t="shared" si="3"/>
        <v>52.14285714285714</v>
      </c>
      <c r="R28" s="40">
        <f t="shared" si="3"/>
        <v>13.142857142857142</v>
      </c>
      <c r="S28" s="40">
        <f t="shared" si="3"/>
        <v>0</v>
      </c>
      <c r="T28" s="40">
        <f t="shared" si="3"/>
        <v>0</v>
      </c>
    </row>
    <row r="29" spans="4:20" ht="12.75">
      <c r="D29" s="31">
        <f>Engr!M34+Fab_assy!O14+Fab_assy!O23</f>
        <v>96</v>
      </c>
      <c r="E29" s="8"/>
      <c r="F29" s="6" t="s">
        <v>10</v>
      </c>
      <c r="G29" s="34">
        <f>Engr!B$40</f>
        <v>38172</v>
      </c>
      <c r="H29" s="34">
        <f>Engr!D$42</f>
        <v>38718</v>
      </c>
      <c r="I29" s="14" t="s">
        <v>44</v>
      </c>
      <c r="J29" s="14"/>
      <c r="K29" s="14"/>
      <c r="L29" s="14"/>
      <c r="M29" s="14"/>
      <c r="N29" s="40">
        <f>(H29-G29)/7</f>
        <v>78</v>
      </c>
      <c r="O29" s="40">
        <f aca="true" t="shared" si="4" ref="O29:T32">(1/7)*IF((OR((O$4&gt;=$H29),(P$4&lt;=$G29))),0,IF(AND((O$4&lt;=$G29),(P$4&gt;=$H29)),($H29-$G29),IF(AND((O$4&gt;=$G29),(P$4&gt;=$H29)),($H29-O$4),IF(AND((O$4&gt;=$G29),($H29&gt;=P$4)),365,IF(AND((O$4&lt;=$G29),($H29&gt;=P$4)),(P$4-$G29))))))</f>
        <v>0</v>
      </c>
      <c r="P29" s="40">
        <f t="shared" si="4"/>
        <v>12.714285714285714</v>
      </c>
      <c r="Q29" s="40">
        <f t="shared" si="4"/>
        <v>52.14285714285714</v>
      </c>
      <c r="R29" s="40">
        <f t="shared" si="4"/>
        <v>13.142857142857142</v>
      </c>
      <c r="S29" s="40">
        <f t="shared" si="4"/>
        <v>0</v>
      </c>
      <c r="T29" s="40">
        <f t="shared" si="4"/>
        <v>0</v>
      </c>
    </row>
    <row r="30" spans="4:20" ht="12.75">
      <c r="D30" s="31">
        <f>Engr!O34</f>
        <v>62.400000000000006</v>
      </c>
      <c r="E30" s="8"/>
      <c r="F30" s="6" t="s">
        <v>11</v>
      </c>
      <c r="G30" s="34">
        <f>Engr!B$40</f>
        <v>38172</v>
      </c>
      <c r="H30" s="34">
        <f>Engr!D$42</f>
        <v>38718</v>
      </c>
      <c r="I30" s="14" t="s">
        <v>47</v>
      </c>
      <c r="J30" s="14"/>
      <c r="K30" s="14"/>
      <c r="L30" s="14"/>
      <c r="M30" s="14"/>
      <c r="N30" s="40">
        <f>(H30-G30)/7</f>
        <v>78</v>
      </c>
      <c r="O30" s="40">
        <f t="shared" si="4"/>
        <v>0</v>
      </c>
      <c r="P30" s="40">
        <f t="shared" si="4"/>
        <v>12.714285714285714</v>
      </c>
      <c r="Q30" s="40">
        <f t="shared" si="4"/>
        <v>52.14285714285714</v>
      </c>
      <c r="R30" s="40">
        <f t="shared" si="4"/>
        <v>13.142857142857142</v>
      </c>
      <c r="S30" s="40">
        <f t="shared" si="4"/>
        <v>0</v>
      </c>
      <c r="T30" s="40">
        <f t="shared" si="4"/>
        <v>0</v>
      </c>
    </row>
    <row r="31" spans="4:20" ht="12.75">
      <c r="D31" s="31">
        <f>Engr!K34+Fab_assy!K14+Fab_assy!K23</f>
        <v>0</v>
      </c>
      <c r="E31" s="8"/>
      <c r="F31" s="6" t="s">
        <v>9</v>
      </c>
      <c r="G31" s="34">
        <f>Engr!B$40</f>
        <v>38172</v>
      </c>
      <c r="H31" s="34">
        <f>Engr!D$42</f>
        <v>38718</v>
      </c>
      <c r="I31" s="14" t="s">
        <v>46</v>
      </c>
      <c r="J31" s="14"/>
      <c r="K31" s="14"/>
      <c r="L31" s="14"/>
      <c r="M31" s="14"/>
      <c r="N31" s="40">
        <f>(H31-G31)/7</f>
        <v>78</v>
      </c>
      <c r="O31" s="40">
        <f t="shared" si="4"/>
        <v>0</v>
      </c>
      <c r="P31" s="40">
        <f t="shared" si="4"/>
        <v>12.714285714285714</v>
      </c>
      <c r="Q31" s="40">
        <f t="shared" si="4"/>
        <v>52.14285714285714</v>
      </c>
      <c r="R31" s="40">
        <f t="shared" si="4"/>
        <v>13.142857142857142</v>
      </c>
      <c r="S31" s="40">
        <f t="shared" si="4"/>
        <v>0</v>
      </c>
      <c r="T31" s="40">
        <f t="shared" si="4"/>
        <v>0</v>
      </c>
    </row>
    <row r="32" spans="4:20" ht="12.75">
      <c r="D32" s="31">
        <f>Fab_assy!M14+Fab_assy!M23</f>
        <v>0</v>
      </c>
      <c r="E32" s="8"/>
      <c r="F32" s="6" t="s">
        <v>101</v>
      </c>
      <c r="G32" s="34">
        <f>Engr!B$40</f>
        <v>38172</v>
      </c>
      <c r="H32" s="34">
        <f>Engr!D$42</f>
        <v>38718</v>
      </c>
      <c r="I32" s="14" t="s">
        <v>102</v>
      </c>
      <c r="J32" s="14"/>
      <c r="K32" s="14"/>
      <c r="L32" s="14"/>
      <c r="M32" s="14"/>
      <c r="N32" s="40">
        <f>(H32-G32)/7</f>
        <v>78</v>
      </c>
      <c r="O32" s="40">
        <f t="shared" si="4"/>
        <v>0</v>
      </c>
      <c r="P32" s="40">
        <f t="shared" si="4"/>
        <v>12.714285714285714</v>
      </c>
      <c r="Q32" s="40">
        <f t="shared" si="4"/>
        <v>52.14285714285714</v>
      </c>
      <c r="R32" s="40">
        <f t="shared" si="4"/>
        <v>13.142857142857142</v>
      </c>
      <c r="S32" s="40">
        <f t="shared" si="4"/>
        <v>0</v>
      </c>
      <c r="T32" s="40">
        <f t="shared" si="4"/>
        <v>0</v>
      </c>
    </row>
    <row r="33" spans="4:19" ht="12.75">
      <c r="D33" s="31"/>
      <c r="E33" s="52"/>
      <c r="F33" s="6"/>
      <c r="G33" s="34"/>
      <c r="H33" s="34"/>
      <c r="I33" s="14"/>
      <c r="J33" s="14"/>
      <c r="K33" s="14"/>
      <c r="L33" s="14"/>
      <c r="M33" s="14"/>
      <c r="N33" s="31"/>
      <c r="O33" s="40"/>
      <c r="P33" s="40"/>
      <c r="Q33" s="40"/>
      <c r="R33" s="40"/>
      <c r="S33" s="40"/>
    </row>
    <row r="34" spans="4:19" ht="12.75">
      <c r="D34" s="31"/>
      <c r="E34" s="52"/>
      <c r="F34" s="6"/>
      <c r="G34" s="34"/>
      <c r="H34" s="34"/>
      <c r="I34" s="41"/>
      <c r="J34" s="41"/>
      <c r="K34" s="41"/>
      <c r="L34" s="41"/>
      <c r="M34" s="41"/>
      <c r="N34" s="31"/>
      <c r="O34" s="40"/>
      <c r="P34" s="40"/>
      <c r="Q34" s="40"/>
      <c r="R34" s="40"/>
      <c r="S34" s="40"/>
    </row>
    <row r="35" spans="1:19" ht="18.75" thickBot="1">
      <c r="A35" s="258" t="s">
        <v>29</v>
      </c>
      <c r="B35" s="258"/>
      <c r="C35" s="258"/>
      <c r="D35" s="258"/>
      <c r="E35" s="81"/>
      <c r="F35" s="82"/>
      <c r="G35" s="83"/>
      <c r="H35" s="83"/>
      <c r="I35" s="84"/>
      <c r="J35" s="84"/>
      <c r="K35" s="84"/>
      <c r="L35" s="41"/>
      <c r="M35" s="41"/>
      <c r="N35" s="31"/>
      <c r="O35" s="40"/>
      <c r="P35" s="40"/>
      <c r="Q35" s="40"/>
      <c r="R35" s="40"/>
      <c r="S35" s="40"/>
    </row>
    <row r="36" spans="1:19" ht="18">
      <c r="A36" s="80"/>
      <c r="B36" s="80"/>
      <c r="C36" s="80"/>
      <c r="D36" s="80"/>
      <c r="E36" s="85"/>
      <c r="F36" s="86"/>
      <c r="G36" s="87"/>
      <c r="H36" s="87"/>
      <c r="I36" s="88"/>
      <c r="J36" s="88"/>
      <c r="K36" s="88"/>
      <c r="L36" s="41"/>
      <c r="M36" s="41"/>
      <c r="N36" s="31"/>
      <c r="O36" s="40"/>
      <c r="P36" s="40"/>
      <c r="Q36" s="40"/>
      <c r="R36" s="40"/>
      <c r="S36" s="40"/>
    </row>
    <row r="37" spans="5:12" ht="12.75">
      <c r="E37" s="261" t="s">
        <v>121</v>
      </c>
      <c r="F37" s="261"/>
      <c r="G37" s="261"/>
      <c r="H37" s="261"/>
      <c r="I37" s="261"/>
      <c r="J37" s="261"/>
      <c r="K37" s="261"/>
      <c r="L37" s="6"/>
    </row>
    <row r="38" spans="1:12" ht="15">
      <c r="A38" s="57"/>
      <c r="B38" s="57"/>
      <c r="C38" s="57"/>
      <c r="D38" s="57"/>
      <c r="E38" s="70"/>
      <c r="F38" s="70"/>
      <c r="G38" s="70"/>
      <c r="H38" s="70"/>
      <c r="I38" s="70"/>
      <c r="J38" s="70"/>
      <c r="K38" s="70"/>
      <c r="L38" s="6"/>
    </row>
    <row r="39" spans="1:19" ht="12.75">
      <c r="A39" s="1" t="s">
        <v>32</v>
      </c>
      <c r="E39" s="1" t="s">
        <v>34</v>
      </c>
      <c r="F39" s="1" t="s">
        <v>35</v>
      </c>
      <c r="G39" s="1" t="s">
        <v>36</v>
      </c>
      <c r="H39" s="1" t="s">
        <v>37</v>
      </c>
      <c r="I39" s="1" t="s">
        <v>38</v>
      </c>
      <c r="J39" s="1" t="s">
        <v>100</v>
      </c>
      <c r="K39" s="25" t="s">
        <v>124</v>
      </c>
      <c r="S39" s="31"/>
    </row>
    <row r="40" spans="1:19" ht="12.75">
      <c r="A40" s="53"/>
      <c r="B40" s="8"/>
      <c r="C40" s="8"/>
      <c r="D40" s="8"/>
      <c r="E40" s="8"/>
      <c r="F40" s="8"/>
      <c r="G40" s="54"/>
      <c r="H40" s="54"/>
      <c r="I40" s="8"/>
      <c r="J40" s="8"/>
      <c r="K40" s="8"/>
      <c r="L40" s="66"/>
      <c r="S40" s="31"/>
    </row>
    <row r="41" spans="2:19" ht="12.75">
      <c r="B41" t="s">
        <v>45</v>
      </c>
      <c r="D41" s="6" t="s">
        <v>8</v>
      </c>
      <c r="E41" s="40">
        <f aca="true" t="shared" si="5" ref="E41:J41">O7*$D7/$N7+O14*$D14/$N14+O21*$D21/$N21+O28*$D28/$N28</f>
        <v>0</v>
      </c>
      <c r="F41" s="40">
        <f t="shared" si="5"/>
        <v>659.295238095238</v>
      </c>
      <c r="G41" s="40">
        <f t="shared" si="5"/>
        <v>444.9523809523809</v>
      </c>
      <c r="H41" s="40">
        <f t="shared" si="5"/>
        <v>112.15238095238095</v>
      </c>
      <c r="I41" s="40">
        <f t="shared" si="5"/>
        <v>0</v>
      </c>
      <c r="J41" s="40">
        <f t="shared" si="5"/>
        <v>0</v>
      </c>
      <c r="K41" s="71">
        <f>SUM(E41:J41)</f>
        <v>1216.3999999999999</v>
      </c>
      <c r="N41" s="43">
        <f>K41*O41</f>
        <v>186109.19999999998</v>
      </c>
      <c r="O41" s="44">
        <v>153</v>
      </c>
      <c r="P41" s="19" t="s">
        <v>106</v>
      </c>
      <c r="S41" s="31"/>
    </row>
    <row r="42" spans="4:19" ht="12.75">
      <c r="D42" s="6"/>
      <c r="E42" s="40"/>
      <c r="F42" s="40"/>
      <c r="G42" s="40"/>
      <c r="H42" s="40"/>
      <c r="I42" s="40"/>
      <c r="J42" s="40"/>
      <c r="K42" s="71"/>
      <c r="N42" s="43"/>
      <c r="O42" s="44"/>
      <c r="P42" s="19"/>
      <c r="S42" s="31"/>
    </row>
    <row r="43" spans="2:16" ht="12.75">
      <c r="B43" t="s">
        <v>44</v>
      </c>
      <c r="D43" s="6" t="s">
        <v>10</v>
      </c>
      <c r="E43" s="40">
        <f aca="true" t="shared" si="6" ref="E43:J43">O8*$D8/$N8+O15*$D15/$N15+O22*$D22/$N22+O29*$D29/$N29</f>
        <v>0</v>
      </c>
      <c r="F43" s="40">
        <f t="shared" si="6"/>
        <v>595.6483516483516</v>
      </c>
      <c r="G43" s="40">
        <f t="shared" si="6"/>
        <v>64.17582417582418</v>
      </c>
      <c r="H43" s="40">
        <f t="shared" si="6"/>
        <v>16.175824175824175</v>
      </c>
      <c r="I43" s="40">
        <f t="shared" si="6"/>
        <v>0</v>
      </c>
      <c r="J43" s="40">
        <f t="shared" si="6"/>
        <v>0</v>
      </c>
      <c r="K43" s="71">
        <f aca="true" t="shared" si="7" ref="K43:K53">SUM(E43:J43)</f>
        <v>676</v>
      </c>
      <c r="N43" s="43">
        <f>K43*O43</f>
        <v>67600</v>
      </c>
      <c r="O43" s="44">
        <v>100</v>
      </c>
      <c r="P43" s="19" t="s">
        <v>106</v>
      </c>
    </row>
    <row r="44" spans="4:16" ht="12.75">
      <c r="D44" s="6"/>
      <c r="E44" s="40"/>
      <c r="F44" s="40"/>
      <c r="G44" s="40"/>
      <c r="H44" s="40"/>
      <c r="I44" s="40"/>
      <c r="J44" s="40"/>
      <c r="K44" s="71"/>
      <c r="N44" s="43"/>
      <c r="O44" s="44"/>
      <c r="P44" s="19"/>
    </row>
    <row r="45" spans="2:16" ht="12.75">
      <c r="B45" t="s">
        <v>47</v>
      </c>
      <c r="D45" s="6" t="s">
        <v>11</v>
      </c>
      <c r="E45" s="40">
        <f aca="true" t="shared" si="8" ref="E45:J45">O9*$D9/$N9+O16*$D16/$N16+O23*$D23/$N23+O30*$D30/$N30</f>
        <v>0</v>
      </c>
      <c r="F45" s="40">
        <f t="shared" si="8"/>
        <v>155.37142857142857</v>
      </c>
      <c r="G45" s="40">
        <f t="shared" si="8"/>
        <v>41.714285714285715</v>
      </c>
      <c r="H45" s="40">
        <f t="shared" si="8"/>
        <v>10.514285714285714</v>
      </c>
      <c r="I45" s="40">
        <f t="shared" si="8"/>
        <v>0</v>
      </c>
      <c r="J45" s="40">
        <f t="shared" si="8"/>
        <v>0</v>
      </c>
      <c r="K45" s="71">
        <f t="shared" si="7"/>
        <v>207.6</v>
      </c>
      <c r="N45" s="43">
        <f>K45*O45</f>
        <v>26988</v>
      </c>
      <c r="O45" s="44">
        <v>130</v>
      </c>
      <c r="P45" s="19" t="s">
        <v>106</v>
      </c>
    </row>
    <row r="46" spans="4:16" ht="12.75">
      <c r="D46" s="6"/>
      <c r="E46" s="40"/>
      <c r="F46" s="40"/>
      <c r="G46" s="40"/>
      <c r="H46" s="40"/>
      <c r="I46" s="40"/>
      <c r="J46" s="40"/>
      <c r="K46" s="71"/>
      <c r="N46" s="43"/>
      <c r="O46" s="44"/>
      <c r="P46" s="19"/>
    </row>
    <row r="47" spans="2:16" ht="12.75">
      <c r="B47" t="s">
        <v>46</v>
      </c>
      <c r="D47" s="6" t="s">
        <v>9</v>
      </c>
      <c r="E47" s="40">
        <f aca="true" t="shared" si="9" ref="E47:J47">O24*$D24/$N24+O31*$D31/$N31</f>
        <v>0</v>
      </c>
      <c r="F47" s="40">
        <f t="shared" si="9"/>
        <v>0</v>
      </c>
      <c r="G47" s="40">
        <f t="shared" si="9"/>
        <v>0</v>
      </c>
      <c r="H47" s="40">
        <f t="shared" si="9"/>
        <v>0</v>
      </c>
      <c r="I47" s="40">
        <f t="shared" si="9"/>
        <v>0</v>
      </c>
      <c r="J47" s="40">
        <f t="shared" si="9"/>
        <v>0</v>
      </c>
      <c r="K47" s="71">
        <f t="shared" si="7"/>
        <v>0</v>
      </c>
      <c r="N47" s="43">
        <f>K47*O47</f>
        <v>0</v>
      </c>
      <c r="O47" s="44">
        <v>100</v>
      </c>
      <c r="P47" s="19" t="s">
        <v>106</v>
      </c>
    </row>
    <row r="48" spans="4:16" ht="12.75">
      <c r="D48" s="6"/>
      <c r="E48" s="40"/>
      <c r="F48" s="40"/>
      <c r="G48" s="40"/>
      <c r="H48" s="40"/>
      <c r="I48" s="40"/>
      <c r="J48" s="40"/>
      <c r="K48" s="71"/>
      <c r="N48" s="43"/>
      <c r="O48" s="44"/>
      <c r="P48" s="19"/>
    </row>
    <row r="49" spans="2:16" ht="12.75">
      <c r="B49" t="s">
        <v>102</v>
      </c>
      <c r="D49" s="6" t="s">
        <v>101</v>
      </c>
      <c r="E49" s="40">
        <f aca="true" t="shared" si="10" ref="E49:J49">O25*$D25/$N25+O32*$D32/$N32</f>
        <v>0</v>
      </c>
      <c r="F49" s="40">
        <f t="shared" si="10"/>
        <v>0</v>
      </c>
      <c r="G49" s="40">
        <f t="shared" si="10"/>
        <v>0</v>
      </c>
      <c r="H49" s="40">
        <f t="shared" si="10"/>
        <v>0</v>
      </c>
      <c r="I49" s="40">
        <f t="shared" si="10"/>
        <v>0</v>
      </c>
      <c r="J49" s="40">
        <f t="shared" si="10"/>
        <v>0</v>
      </c>
      <c r="K49" s="71">
        <f t="shared" si="7"/>
        <v>0</v>
      </c>
      <c r="N49" s="43">
        <f>K49*O49</f>
        <v>0</v>
      </c>
      <c r="O49" s="44">
        <v>73</v>
      </c>
      <c r="P49" s="19" t="s">
        <v>106</v>
      </c>
    </row>
    <row r="50" spans="4:16" ht="12.75">
      <c r="D50" s="6"/>
      <c r="E50" s="40"/>
      <c r="F50" s="40"/>
      <c r="G50" s="40"/>
      <c r="H50" s="40"/>
      <c r="I50" s="40"/>
      <c r="J50" s="40"/>
      <c r="K50" s="71"/>
      <c r="N50" s="43"/>
      <c r="O50" s="44"/>
      <c r="P50" s="19"/>
    </row>
    <row r="51" spans="2:16" ht="12.75">
      <c r="B51" t="s">
        <v>95</v>
      </c>
      <c r="D51" s="6" t="s">
        <v>149</v>
      </c>
      <c r="E51" s="40">
        <f aca="true" t="shared" si="11" ref="E51:J51">O10*$D10/$N10+O17*$D17/$N17</f>
        <v>0</v>
      </c>
      <c r="F51" s="40">
        <f t="shared" si="11"/>
        <v>0</v>
      </c>
      <c r="G51" s="40">
        <f t="shared" si="11"/>
        <v>0</v>
      </c>
      <c r="H51" s="40">
        <f t="shared" si="11"/>
        <v>0</v>
      </c>
      <c r="I51" s="40">
        <f t="shared" si="11"/>
        <v>0</v>
      </c>
      <c r="J51" s="40">
        <f t="shared" si="11"/>
        <v>0</v>
      </c>
      <c r="K51" s="71">
        <f t="shared" si="7"/>
        <v>0</v>
      </c>
      <c r="N51" s="43">
        <f>K51*O51</f>
        <v>0</v>
      </c>
      <c r="O51" s="44">
        <v>160</v>
      </c>
      <c r="P51" s="19" t="s">
        <v>106</v>
      </c>
    </row>
    <row r="52" spans="4:16" ht="12.75">
      <c r="D52" s="6"/>
      <c r="E52" s="40"/>
      <c r="F52" s="40"/>
      <c r="G52" s="40"/>
      <c r="H52" s="40"/>
      <c r="I52" s="40"/>
      <c r="J52" s="40"/>
      <c r="K52" s="71"/>
      <c r="N52" s="43"/>
      <c r="O52" s="44"/>
      <c r="P52" s="19"/>
    </row>
    <row r="53" spans="2:16" ht="12.75">
      <c r="B53" t="s">
        <v>94</v>
      </c>
      <c r="D53" s="6" t="s">
        <v>150</v>
      </c>
      <c r="E53" s="40">
        <f aca="true" t="shared" si="12" ref="E53:J53">O11*$D11/$N11+O18*$D18/$N18</f>
        <v>0</v>
      </c>
      <c r="F53" s="40">
        <f t="shared" si="12"/>
        <v>0</v>
      </c>
      <c r="G53" s="40">
        <f t="shared" si="12"/>
        <v>0</v>
      </c>
      <c r="H53" s="40">
        <f t="shared" si="12"/>
        <v>0</v>
      </c>
      <c r="I53" s="40">
        <f t="shared" si="12"/>
        <v>0</v>
      </c>
      <c r="J53" s="40">
        <f t="shared" si="12"/>
        <v>0</v>
      </c>
      <c r="K53" s="71">
        <f t="shared" si="7"/>
        <v>0</v>
      </c>
      <c r="N53" s="43">
        <f>K53*O53</f>
        <v>0</v>
      </c>
      <c r="O53" s="44">
        <v>141</v>
      </c>
      <c r="P53" s="19" t="s">
        <v>106</v>
      </c>
    </row>
    <row r="54" spans="5:12" ht="12.75">
      <c r="E54" s="52"/>
      <c r="F54" s="6"/>
      <c r="G54" s="40"/>
      <c r="H54" s="40"/>
      <c r="I54" s="40"/>
      <c r="J54" s="40"/>
      <c r="K54" s="40"/>
      <c r="L54" s="40"/>
    </row>
    <row r="55" spans="1:16" ht="12.75">
      <c r="A55" s="8"/>
      <c r="B55" s="8"/>
      <c r="C55" s="8"/>
      <c r="D55" s="8"/>
      <c r="E55" s="8"/>
      <c r="F55" s="55"/>
      <c r="G55" s="56"/>
      <c r="H55" s="56"/>
      <c r="I55" s="56"/>
      <c r="J55" s="56"/>
      <c r="K55" s="56"/>
      <c r="L55" s="67"/>
      <c r="M55" s="52"/>
      <c r="N55" s="58">
        <f>K41+K43+K47+K49+K53</f>
        <v>1892.3999999999999</v>
      </c>
      <c r="O55" s="43">
        <f>N41+N43+N47+N49+N53</f>
        <v>253709.19999999998</v>
      </c>
      <c r="P55" s="19" t="s">
        <v>138</v>
      </c>
    </row>
    <row r="56" spans="5:16" ht="12.75">
      <c r="E56" s="52"/>
      <c r="N56" s="58">
        <f>K45+K51</f>
        <v>207.6</v>
      </c>
      <c r="O56" s="43">
        <f>N45+N51</f>
        <v>26988</v>
      </c>
      <c r="P56" s="19" t="s">
        <v>139</v>
      </c>
    </row>
    <row r="57" spans="1:11" ht="18.75" thickBot="1">
      <c r="A57" s="258" t="s">
        <v>13</v>
      </c>
      <c r="B57" s="258"/>
      <c r="C57" s="258"/>
      <c r="D57" s="258"/>
      <c r="E57" s="73"/>
      <c r="F57" s="73"/>
      <c r="G57" s="78"/>
      <c r="H57" s="78"/>
      <c r="I57" s="73"/>
      <c r="J57" s="73"/>
      <c r="K57" s="73"/>
    </row>
    <row r="58" spans="1:4" ht="15">
      <c r="A58" s="57"/>
      <c r="B58" s="57"/>
      <c r="C58" s="57"/>
      <c r="D58" s="57"/>
    </row>
    <row r="59" spans="1:13" ht="12.75">
      <c r="A59" s="3"/>
      <c r="B59" s="7" t="s">
        <v>0</v>
      </c>
      <c r="C59" s="7"/>
      <c r="D59" s="3"/>
      <c r="E59" s="3" t="s">
        <v>293</v>
      </c>
      <c r="G59" s="68" t="s">
        <v>125</v>
      </c>
      <c r="H59" s="68"/>
      <c r="I59" s="68"/>
      <c r="J59" s="68"/>
      <c r="K59" s="68"/>
      <c r="L59" s="68"/>
      <c r="M59" s="68"/>
    </row>
    <row r="60" spans="1:13" ht="12.75">
      <c r="A60" s="4"/>
      <c r="B60" s="4"/>
      <c r="C60" s="4"/>
      <c r="D60" s="4"/>
      <c r="E60" s="4"/>
      <c r="F60" s="8"/>
      <c r="G60" s="54"/>
      <c r="H60" s="54"/>
      <c r="I60" s="8"/>
      <c r="J60" s="8"/>
      <c r="K60" s="8"/>
      <c r="L60" s="52"/>
      <c r="M60" s="52"/>
    </row>
    <row r="61" spans="1:8" ht="12.75">
      <c r="A61" s="12"/>
      <c r="B61" s="13" t="s">
        <v>105</v>
      </c>
      <c r="C61" s="11"/>
      <c r="D61" s="8"/>
      <c r="G61"/>
      <c r="H61"/>
    </row>
    <row r="62" spans="1:8" ht="12.75">
      <c r="A62" s="12"/>
      <c r="B62" s="13"/>
      <c r="C62" s="14" t="s">
        <v>15</v>
      </c>
      <c r="D62" s="8"/>
      <c r="E62" s="45">
        <f>'R&amp;D'!B10</f>
        <v>0</v>
      </c>
      <c r="G62"/>
      <c r="H62"/>
    </row>
    <row r="63" spans="1:8" ht="12.75">
      <c r="A63" s="12"/>
      <c r="B63" s="13"/>
      <c r="C63" s="14" t="s">
        <v>14</v>
      </c>
      <c r="D63" s="8"/>
      <c r="E63" s="45">
        <f>'R&amp;D'!B18</f>
        <v>0</v>
      </c>
      <c r="G63"/>
      <c r="H63"/>
    </row>
    <row r="64" spans="1:8" ht="12.75">
      <c r="A64" s="12"/>
      <c r="B64" s="10"/>
      <c r="C64" t="s">
        <v>175</v>
      </c>
      <c r="D64" s="8"/>
      <c r="E64" s="51">
        <v>0</v>
      </c>
      <c r="G64" t="s">
        <v>174</v>
      </c>
      <c r="H64"/>
    </row>
    <row r="65" spans="1:8" ht="12.75">
      <c r="A65" s="12"/>
      <c r="B65" s="10"/>
      <c r="C65" s="27" t="s">
        <v>120</v>
      </c>
      <c r="D65" s="8"/>
      <c r="E65" s="43">
        <f>SUM(E62:E64)</f>
        <v>0</v>
      </c>
      <c r="G65" t="s">
        <v>114</v>
      </c>
      <c r="H65"/>
    </row>
    <row r="66" spans="1:8" ht="12.75">
      <c r="A66" s="12"/>
      <c r="B66" s="10"/>
      <c r="C66" s="27"/>
      <c r="D66" s="8"/>
      <c r="E66" s="43"/>
      <c r="G66"/>
      <c r="H66"/>
    </row>
    <row r="67" spans="2:8" ht="12.75">
      <c r="B67" s="1" t="s">
        <v>14</v>
      </c>
      <c r="D67" s="8"/>
      <c r="G67"/>
      <c r="H67"/>
    </row>
    <row r="68" spans="2:8" ht="12.75">
      <c r="B68" s="1"/>
      <c r="C68" t="s">
        <v>301</v>
      </c>
      <c r="D68" s="8"/>
      <c r="E68" s="45">
        <f>'M&amp;S'!B10</f>
        <v>1026394.0965918823</v>
      </c>
      <c r="G68"/>
      <c r="H68"/>
    </row>
    <row r="69" spans="2:8" ht="12.75">
      <c r="B69" s="1"/>
      <c r="D69" s="8"/>
      <c r="E69" s="45"/>
      <c r="G69"/>
      <c r="H69"/>
    </row>
    <row r="70" spans="2:8" ht="12.75">
      <c r="B70" s="1"/>
      <c r="C70" t="s">
        <v>175</v>
      </c>
      <c r="D70" s="8"/>
      <c r="E70" s="51">
        <f>0.1*E68</f>
        <v>102639.40965918824</v>
      </c>
      <c r="G70" t="s">
        <v>304</v>
      </c>
      <c r="H70"/>
    </row>
    <row r="71" spans="2:8" ht="12.75">
      <c r="B71" s="1"/>
      <c r="C71" s="27" t="s">
        <v>119</v>
      </c>
      <c r="D71" s="8"/>
      <c r="E71" s="43">
        <f>SUM(E68:E70)</f>
        <v>1129033.5062510706</v>
      </c>
      <c r="G71" t="s">
        <v>114</v>
      </c>
      <c r="H71"/>
    </row>
    <row r="72" spans="3:8" ht="12.75">
      <c r="C72" s="1"/>
      <c r="D72" s="8"/>
      <c r="G72"/>
      <c r="H72"/>
    </row>
    <row r="73" spans="2:8" ht="12.75">
      <c r="B73" s="1" t="s">
        <v>15</v>
      </c>
      <c r="D73" s="8"/>
      <c r="E73" s="43">
        <v>0</v>
      </c>
      <c r="G73" t="s">
        <v>126</v>
      </c>
      <c r="H73"/>
    </row>
    <row r="74" spans="4:8" ht="12.75">
      <c r="D74" s="8"/>
      <c r="G74"/>
      <c r="H74"/>
    </row>
    <row r="75" spans="2:8" ht="12.75">
      <c r="B75" s="1" t="s">
        <v>16</v>
      </c>
      <c r="D75" s="8"/>
      <c r="E75" s="43">
        <v>0</v>
      </c>
      <c r="G75" t="s">
        <v>127</v>
      </c>
      <c r="H75"/>
    </row>
    <row r="76" spans="4:8" ht="12.75">
      <c r="D76" s="8"/>
      <c r="G76"/>
      <c r="H76"/>
    </row>
    <row r="77" spans="4:13" ht="12.75">
      <c r="D77" s="52"/>
      <c r="G77" s="59"/>
      <c r="H77" s="59"/>
      <c r="I77" s="59"/>
      <c r="J77" s="59"/>
      <c r="K77" s="59"/>
      <c r="L77" s="59"/>
      <c r="M77" s="59"/>
    </row>
    <row r="78" spans="1:13" ht="18.75" thickBot="1">
      <c r="A78" s="258" t="s">
        <v>25</v>
      </c>
      <c r="B78" s="258"/>
      <c r="C78" s="258"/>
      <c r="D78" s="258"/>
      <c r="E78" s="73"/>
      <c r="F78" s="73"/>
      <c r="G78" s="79"/>
      <c r="H78" s="79"/>
      <c r="I78" s="79"/>
      <c r="J78" s="79"/>
      <c r="K78" s="79"/>
      <c r="L78" s="59"/>
      <c r="M78" s="59"/>
    </row>
    <row r="79" spans="1:13" ht="15">
      <c r="A79" s="57"/>
      <c r="B79" s="57"/>
      <c r="C79" s="57"/>
      <c r="D79" s="57"/>
      <c r="G79" s="59"/>
      <c r="H79" s="59"/>
      <c r="I79" s="59"/>
      <c r="J79" s="59"/>
      <c r="K79" s="59"/>
      <c r="L79" s="59"/>
      <c r="M79" s="59"/>
    </row>
    <row r="80" spans="1:13" ht="12.75">
      <c r="A80" s="3"/>
      <c r="B80" s="7" t="s">
        <v>0</v>
      </c>
      <c r="C80" s="7"/>
      <c r="D80" s="3"/>
      <c r="E80" s="3" t="s">
        <v>293</v>
      </c>
      <c r="G80" s="59" t="s">
        <v>125</v>
      </c>
      <c r="H80" s="59"/>
      <c r="I80" s="59"/>
      <c r="J80" s="59"/>
      <c r="K80" s="59"/>
      <c r="L80" s="59"/>
      <c r="M80" s="59"/>
    </row>
    <row r="81" spans="1:13" ht="12.75">
      <c r="A81" s="4"/>
      <c r="B81" s="4"/>
      <c r="C81" s="4"/>
      <c r="D81" s="4"/>
      <c r="E81" s="4"/>
      <c r="F81" s="8"/>
      <c r="G81" s="69"/>
      <c r="H81" s="69"/>
      <c r="I81" s="69"/>
      <c r="J81" s="69"/>
      <c r="K81" s="69"/>
      <c r="L81" s="59"/>
      <c r="M81" s="59"/>
    </row>
    <row r="82" spans="4:13" ht="12.75">
      <c r="D82" s="8"/>
      <c r="G82" s="59"/>
      <c r="H82" s="59"/>
      <c r="I82" s="59"/>
      <c r="J82" s="59"/>
      <c r="K82" s="59"/>
      <c r="L82" s="59"/>
      <c r="M82" s="59"/>
    </row>
    <row r="83" spans="2:13" ht="12.75">
      <c r="B83" s="1" t="s">
        <v>26</v>
      </c>
      <c r="D83" s="8"/>
      <c r="E83" s="43">
        <v>2000</v>
      </c>
      <c r="G83" s="188" t="s">
        <v>289</v>
      </c>
      <c r="H83" s="59"/>
      <c r="I83" s="59"/>
      <c r="J83" s="59"/>
      <c r="K83" s="59"/>
      <c r="L83" s="59"/>
      <c r="M83" s="59"/>
    </row>
    <row r="84" spans="2:13" ht="12.75">
      <c r="B84" s="1"/>
      <c r="D84" s="8"/>
      <c r="E84" s="43"/>
      <c r="G84" s="188"/>
      <c r="H84" s="59"/>
      <c r="I84" s="59"/>
      <c r="J84" s="59"/>
      <c r="K84" s="59"/>
      <c r="L84" s="59"/>
      <c r="M84" s="59"/>
    </row>
    <row r="85" spans="2:13" ht="12.75">
      <c r="B85" s="1"/>
      <c r="D85" s="8"/>
      <c r="E85" s="43"/>
      <c r="G85" s="188"/>
      <c r="H85" s="59"/>
      <c r="I85" s="59"/>
      <c r="J85" s="59"/>
      <c r="K85" s="59"/>
      <c r="L85" s="59"/>
      <c r="M85" s="59"/>
    </row>
    <row r="86" spans="2:13" ht="12.75">
      <c r="B86" s="1"/>
      <c r="D86" s="8"/>
      <c r="E86" s="43"/>
      <c r="G86" s="188"/>
      <c r="H86" s="59"/>
      <c r="I86" s="59"/>
      <c r="J86" s="59"/>
      <c r="K86" s="59"/>
      <c r="L86" s="59"/>
      <c r="M86" s="59"/>
    </row>
    <row r="87" spans="2:13" ht="12.75">
      <c r="B87" s="1"/>
      <c r="D87" s="8"/>
      <c r="E87" s="43"/>
      <c r="G87" s="188"/>
      <c r="H87" s="59"/>
      <c r="I87" s="59"/>
      <c r="J87" s="59"/>
      <c r="K87" s="59"/>
      <c r="L87" s="59"/>
      <c r="M87" s="59"/>
    </row>
    <row r="88" spans="4:13" ht="12.75">
      <c r="D88" s="8"/>
      <c r="G88" s="59"/>
      <c r="H88" s="59"/>
      <c r="I88" s="59"/>
      <c r="J88" s="59"/>
      <c r="K88" s="59"/>
      <c r="L88" s="59"/>
      <c r="M88" s="59"/>
    </row>
    <row r="89" spans="4:13" ht="12.75">
      <c r="D89" s="52"/>
      <c r="G89" s="59"/>
      <c r="H89" s="59"/>
      <c r="I89" s="59"/>
      <c r="J89" s="59"/>
      <c r="K89" s="59"/>
      <c r="L89" s="59"/>
      <c r="M89" s="59"/>
    </row>
    <row r="90" spans="1:11" ht="18.75" thickBot="1">
      <c r="A90" s="258" t="s">
        <v>128</v>
      </c>
      <c r="B90" s="258"/>
      <c r="C90" s="258"/>
      <c r="D90" s="258"/>
      <c r="E90" s="73"/>
      <c r="F90" s="73"/>
      <c r="G90" s="78"/>
      <c r="H90" s="78"/>
      <c r="I90" s="73"/>
      <c r="J90" s="73"/>
      <c r="K90" s="73"/>
    </row>
    <row r="91" spans="1:4" ht="15">
      <c r="A91" s="57"/>
      <c r="B91" s="57"/>
      <c r="C91" s="57"/>
      <c r="D91" s="57"/>
    </row>
    <row r="92" spans="1:13" ht="12.75">
      <c r="A92" s="3"/>
      <c r="B92" s="7" t="s">
        <v>0</v>
      </c>
      <c r="C92" s="7"/>
      <c r="D92" s="3" t="s">
        <v>1</v>
      </c>
      <c r="E92" s="3" t="s">
        <v>293</v>
      </c>
      <c r="G92" s="59" t="s">
        <v>125</v>
      </c>
      <c r="H92" s="59"/>
      <c r="I92" s="59"/>
      <c r="J92" s="59"/>
      <c r="K92" s="59"/>
      <c r="L92" s="59"/>
      <c r="M92" s="59"/>
    </row>
    <row r="93" spans="1:13" ht="12.75">
      <c r="A93" s="4"/>
      <c r="B93" s="4"/>
      <c r="C93" s="4"/>
      <c r="D93" s="4"/>
      <c r="E93" s="4"/>
      <c r="F93" s="8"/>
      <c r="G93" s="69"/>
      <c r="H93" s="69"/>
      <c r="I93" s="69"/>
      <c r="J93" s="69"/>
      <c r="K93" s="69"/>
      <c r="L93" s="59"/>
      <c r="M93" s="59"/>
    </row>
    <row r="94" spans="1:13" ht="12.75">
      <c r="A94" s="5"/>
      <c r="B94" s="5"/>
      <c r="C94" s="5"/>
      <c r="D94" s="5"/>
      <c r="E94" s="5"/>
      <c r="F94" s="52"/>
      <c r="G94" s="60"/>
      <c r="H94" s="60"/>
      <c r="I94" s="52"/>
      <c r="J94" s="52"/>
      <c r="K94" s="52"/>
      <c r="L94" s="52"/>
      <c r="M94" s="52"/>
    </row>
    <row r="95" spans="2:11" ht="12.75" customHeight="1">
      <c r="B95" s="1" t="s">
        <v>29</v>
      </c>
      <c r="I95" s="22"/>
      <c r="J95" s="22"/>
      <c r="K95" s="22"/>
    </row>
    <row r="96" spans="2:10" ht="12.75">
      <c r="B96" t="s">
        <v>140</v>
      </c>
      <c r="D96" s="62">
        <f>N55</f>
        <v>1892.3999999999999</v>
      </c>
      <c r="E96" s="43">
        <f>O55</f>
        <v>253709.19999999998</v>
      </c>
      <c r="G96" s="260" t="s">
        <v>144</v>
      </c>
      <c r="H96" s="260"/>
      <c r="I96" s="27" t="s">
        <v>9</v>
      </c>
      <c r="J96" s="64" t="str">
        <f>CONCATENATE(O47," $/hr")</f>
        <v>100 $/hr</v>
      </c>
    </row>
    <row r="97" spans="2:10" ht="12.75">
      <c r="B97" t="s">
        <v>141</v>
      </c>
      <c r="D97" s="62">
        <f>N56</f>
        <v>207.6</v>
      </c>
      <c r="E97" s="43">
        <f>O56</f>
        <v>26988</v>
      </c>
      <c r="G97" s="27" t="s">
        <v>8</v>
      </c>
      <c r="H97" s="64" t="str">
        <f>CONCATENATE(O41," $/hr")</f>
        <v>153 $/hr</v>
      </c>
      <c r="I97" s="27" t="s">
        <v>101</v>
      </c>
      <c r="J97" s="64" t="str">
        <f>CONCATENATE(O49," $/hr")</f>
        <v>73 $/hr</v>
      </c>
    </row>
    <row r="98" spans="3:10" ht="12.75">
      <c r="C98" t="s">
        <v>130</v>
      </c>
      <c r="D98" s="62">
        <f>SUM(D96:D97)</f>
        <v>2100</v>
      </c>
      <c r="E98" s="43">
        <f>SUM(E96:E97)</f>
        <v>280697.19999999995</v>
      </c>
      <c r="G98" s="27" t="s">
        <v>10</v>
      </c>
      <c r="H98" s="64" t="str">
        <f>CONCATENATE(O43," $/hr")</f>
        <v>100 $/hr</v>
      </c>
      <c r="I98" s="42" t="s">
        <v>143</v>
      </c>
      <c r="J98" s="64" t="str">
        <f>CONCATENATE(O53," $/hr")</f>
        <v>141 $/hr</v>
      </c>
    </row>
    <row r="99" spans="4:10" ht="12.75">
      <c r="D99" s="31"/>
      <c r="E99" s="43"/>
      <c r="G99" s="27" t="s">
        <v>11</v>
      </c>
      <c r="H99" s="64" t="str">
        <f>CONCATENATE(O45," $/hr")</f>
        <v>130 $/hr</v>
      </c>
      <c r="I99" s="42" t="s">
        <v>142</v>
      </c>
      <c r="J99" s="64" t="str">
        <f>CONCATENATE(O51," $/hr")</f>
        <v>160 $/hr</v>
      </c>
    </row>
    <row r="100" ht="12.75">
      <c r="B100" s="1" t="s">
        <v>129</v>
      </c>
    </row>
    <row r="101" spans="2:5" ht="12.75">
      <c r="B101" s="61" t="s">
        <v>105</v>
      </c>
      <c r="C101" s="14"/>
      <c r="D101" s="8"/>
      <c r="E101" s="43">
        <f>E65</f>
        <v>0</v>
      </c>
    </row>
    <row r="102" spans="2:5" ht="12.75">
      <c r="B102" s="14" t="s">
        <v>14</v>
      </c>
      <c r="C102" s="14"/>
      <c r="D102" s="8"/>
      <c r="E102" s="43">
        <f>E71</f>
        <v>1129033.5062510706</v>
      </c>
    </row>
    <row r="103" spans="2:5" ht="12.75">
      <c r="B103" s="14" t="s">
        <v>15</v>
      </c>
      <c r="C103" s="14"/>
      <c r="D103" s="8"/>
      <c r="E103" s="43">
        <f>E73</f>
        <v>0</v>
      </c>
    </row>
    <row r="104" spans="2:5" ht="12.75">
      <c r="B104" s="14" t="s">
        <v>16</v>
      </c>
      <c r="C104" s="14"/>
      <c r="D104" s="8"/>
      <c r="E104" s="43">
        <f>E75</f>
        <v>0</v>
      </c>
    </row>
    <row r="105" spans="2:5" ht="12.75">
      <c r="B105" s="14" t="s">
        <v>26</v>
      </c>
      <c r="C105" s="14"/>
      <c r="D105" s="8"/>
      <c r="E105" s="43">
        <f>E83</f>
        <v>2000</v>
      </c>
    </row>
    <row r="106" spans="3:5" ht="12.75">
      <c r="C106" t="s">
        <v>131</v>
      </c>
      <c r="E106" s="43">
        <f>SUM(E101:E105)</f>
        <v>1131033.5062510706</v>
      </c>
    </row>
    <row r="108" spans="2:8" ht="12.75">
      <c r="B108" s="1" t="s">
        <v>132</v>
      </c>
      <c r="E108" s="43">
        <f>G108*E106-G109</f>
        <v>151159.8524147971</v>
      </c>
      <c r="G108" s="29">
        <v>0.25</v>
      </c>
      <c r="H108" s="19" t="s">
        <v>133</v>
      </c>
    </row>
    <row r="109" spans="7:8" ht="12.75">
      <c r="G109" s="43">
        <f>(E68-500000)*G108</f>
        <v>131598.52414797057</v>
      </c>
      <c r="H109" s="19" t="s">
        <v>300</v>
      </c>
    </row>
    <row r="110" spans="2:5" ht="12.75">
      <c r="B110" s="1" t="s">
        <v>134</v>
      </c>
      <c r="E110" s="43">
        <f>E108+E106+E98</f>
        <v>1562890.5586658677</v>
      </c>
    </row>
    <row r="111" ht="12.75">
      <c r="B111" s="1"/>
    </row>
    <row r="112" spans="2:8" ht="12.75">
      <c r="B112" s="1" t="s">
        <v>135</v>
      </c>
      <c r="E112" s="43">
        <f>E110*G112</f>
        <v>375093.73407980823</v>
      </c>
      <c r="G112" s="29">
        <v>0.24</v>
      </c>
      <c r="H112" s="19" t="s">
        <v>137</v>
      </c>
    </row>
    <row r="113" ht="12.75">
      <c r="B113" s="1"/>
    </row>
    <row r="114" spans="2:5" ht="12.75">
      <c r="B114" s="1" t="s">
        <v>136</v>
      </c>
      <c r="E114" s="43">
        <f>E112+E110</f>
        <v>1937984.292745676</v>
      </c>
    </row>
    <row r="116" spans="1:11" ht="12.75">
      <c r="A116" s="8"/>
      <c r="B116" s="8"/>
      <c r="C116" s="8"/>
      <c r="D116" s="8"/>
      <c r="E116" s="8"/>
      <c r="F116" s="8"/>
      <c r="G116" s="54"/>
      <c r="H116" s="54"/>
      <c r="I116" s="8"/>
      <c r="J116" s="8"/>
      <c r="K116" s="8"/>
    </row>
  </sheetData>
  <mergeCells count="13">
    <mergeCell ref="A90:D90"/>
    <mergeCell ref="G96:H96"/>
    <mergeCell ref="E37:K37"/>
    <mergeCell ref="A35:D35"/>
    <mergeCell ref="A78:D78"/>
    <mergeCell ref="A57:D57"/>
    <mergeCell ref="A13:D13"/>
    <mergeCell ref="A20:D20"/>
    <mergeCell ref="A27:D27"/>
    <mergeCell ref="O1:T1"/>
    <mergeCell ref="A6:D6"/>
    <mergeCell ref="A3:D3"/>
    <mergeCell ref="A1:K1"/>
  </mergeCells>
  <printOptions/>
  <pageMargins left="0.75" right="0.5" top="1" bottom="1" header="0.5" footer="0.5"/>
  <pageSetup fitToHeight="0" horizontalDpi="600" verticalDpi="600" orientation="landscape" r:id="rId1"/>
  <headerFooter alignWithMargins="0">
    <oddHeader>&amp;C&amp;"Arial,Bold"&amp;14NCSX Fabrication Project Cost and Schedule  Estimating Form&amp;"Arial,Regular"&amp;10
</oddHeader>
    <oddFooter>&amp;C&amp;"Arial,Bold"&amp;P</oddFooter>
  </headerFooter>
  <rowBreaks count="3" manualBreakCount="3">
    <brk id="33" max="10" man="1"/>
    <brk id="55" max="10" man="1"/>
    <brk id="8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2">
      <pane ySplit="1365" topLeftCell="BM37" activePane="bottomLeft" state="split"/>
      <selection pane="topLeft" activeCell="C3" sqref="C3"/>
      <selection pane="bottomLeft" activeCell="E3" sqref="E3"/>
    </sheetView>
  </sheetViews>
  <sheetFormatPr defaultColWidth="9.140625" defaultRowHeight="12.75"/>
  <cols>
    <col min="1" max="1" width="3.7109375" style="0" customWidth="1"/>
    <col min="2" max="2" width="3.28125" style="0" customWidth="1"/>
    <col min="3" max="3" width="33.28125" style="0" customWidth="1"/>
    <col min="4" max="4" width="10.421875" style="0" customWidth="1"/>
    <col min="5" max="5" width="9.8515625" style="0" customWidth="1"/>
    <col min="6" max="6" width="10.57421875" style="0" customWidth="1"/>
    <col min="7" max="7" width="11.140625" style="19" customWidth="1"/>
    <col min="8" max="8" width="11.7109375" style="19" customWidth="1"/>
    <col min="9" max="9" width="41.8515625" style="0" customWidth="1"/>
  </cols>
  <sheetData>
    <row r="1" spans="3:9" s="2" customFormat="1" ht="15.75">
      <c r="C1" s="2" t="str">
        <f>CONCATENATE("1808-NCSX-",'Fab Project'!L1,"01")</f>
        <v>1808-NCSX-1701</v>
      </c>
      <c r="G1" s="16"/>
      <c r="H1" s="16"/>
      <c r="I1" s="2" t="s">
        <v>43</v>
      </c>
    </row>
    <row r="2" spans="2:9" s="3" customFormat="1" ht="38.25">
      <c r="B2" s="7" t="s">
        <v>0</v>
      </c>
      <c r="C2" s="7"/>
      <c r="D2" s="3" t="s">
        <v>1</v>
      </c>
      <c r="E2" s="3" t="s">
        <v>293</v>
      </c>
      <c r="F2" s="3" t="s">
        <v>2</v>
      </c>
      <c r="G2" s="17" t="s">
        <v>4</v>
      </c>
      <c r="H2" s="17" t="s">
        <v>5</v>
      </c>
      <c r="I2" s="3" t="s">
        <v>3</v>
      </c>
    </row>
    <row r="3" spans="7:8" s="4" customFormat="1" ht="12.75">
      <c r="G3" s="18"/>
      <c r="H3" s="18"/>
    </row>
    <row r="4" spans="1:9" ht="12.75">
      <c r="A4" s="1" t="s">
        <v>32</v>
      </c>
      <c r="E4" s="8"/>
      <c r="I4" s="1" t="s">
        <v>39</v>
      </c>
    </row>
    <row r="5" spans="1:5" ht="12.75">
      <c r="A5" s="1"/>
      <c r="B5" t="s">
        <v>34</v>
      </c>
      <c r="E5" s="8"/>
    </row>
    <row r="6" spans="5:9" ht="12.75">
      <c r="E6" s="8"/>
      <c r="F6" s="6" t="s">
        <v>17</v>
      </c>
      <c r="I6" s="6" t="s">
        <v>12</v>
      </c>
    </row>
    <row r="7" spans="5:9" ht="12.75">
      <c r="E7" s="8"/>
      <c r="F7" s="6" t="s">
        <v>33</v>
      </c>
      <c r="I7" s="6" t="s">
        <v>12</v>
      </c>
    </row>
    <row r="8" spans="2:9" ht="12.75">
      <c r="B8" t="s">
        <v>35</v>
      </c>
      <c r="E8" s="8"/>
      <c r="F8" s="6"/>
      <c r="I8" s="6"/>
    </row>
    <row r="9" spans="5:9" ht="12.75">
      <c r="E9" s="8"/>
      <c r="F9" s="6"/>
      <c r="I9" s="6"/>
    </row>
    <row r="10" spans="5:9" ht="12.75">
      <c r="E10" s="8"/>
      <c r="F10" s="6"/>
      <c r="I10" s="6"/>
    </row>
    <row r="11" spans="2:9" ht="12.75">
      <c r="B11" t="s">
        <v>36</v>
      </c>
      <c r="E11" s="8"/>
      <c r="F11" s="6"/>
      <c r="I11" s="6"/>
    </row>
    <row r="12" spans="5:9" ht="12.75">
      <c r="E12" s="8"/>
      <c r="F12" s="6"/>
      <c r="I12" s="6"/>
    </row>
    <row r="13" spans="5:9" ht="12.75">
      <c r="E13" s="8"/>
      <c r="F13" s="6"/>
      <c r="I13" s="6"/>
    </row>
    <row r="14" spans="2:9" ht="12.75">
      <c r="B14" t="s">
        <v>37</v>
      </c>
      <c r="E14" s="8"/>
      <c r="F14" s="6"/>
      <c r="I14" s="6"/>
    </row>
    <row r="15" spans="5:9" ht="12.75">
      <c r="E15" s="8"/>
      <c r="F15" s="6"/>
      <c r="I15" s="6"/>
    </row>
    <row r="16" spans="5:9" ht="12.75">
      <c r="E16" s="8"/>
      <c r="F16" s="6"/>
      <c r="I16" s="6"/>
    </row>
    <row r="17" spans="2:5" ht="12.75">
      <c r="B17" t="s">
        <v>38</v>
      </c>
      <c r="E17" s="8"/>
    </row>
    <row r="18" ht="12.75">
      <c r="E18" s="8"/>
    </row>
    <row r="19" ht="12.75">
      <c r="E19" s="8"/>
    </row>
    <row r="20" spans="2:5" ht="12.75">
      <c r="B20" s="1" t="s">
        <v>18</v>
      </c>
      <c r="E20" s="8"/>
    </row>
    <row r="21" spans="1:5" ht="12.75">
      <c r="A21" s="1"/>
      <c r="B21" t="s">
        <v>34</v>
      </c>
      <c r="E21" s="8"/>
    </row>
    <row r="22" spans="5:9" ht="12.75">
      <c r="E22" s="8"/>
      <c r="F22" s="6" t="s">
        <v>17</v>
      </c>
      <c r="I22" s="6" t="s">
        <v>12</v>
      </c>
    </row>
    <row r="23" spans="5:9" ht="12.75">
      <c r="E23" s="8"/>
      <c r="F23" s="6" t="s">
        <v>33</v>
      </c>
      <c r="I23" s="6" t="s">
        <v>12</v>
      </c>
    </row>
    <row r="24" spans="2:9" ht="12.75">
      <c r="B24" t="s">
        <v>35</v>
      </c>
      <c r="E24" s="8"/>
      <c r="F24" s="6"/>
      <c r="I24" s="6"/>
    </row>
    <row r="25" spans="5:9" ht="12.75">
      <c r="E25" s="8"/>
      <c r="F25" s="6"/>
      <c r="I25" s="6"/>
    </row>
    <row r="26" spans="5:9" ht="12.75">
      <c r="E26" s="8"/>
      <c r="F26" s="6"/>
      <c r="I26" s="6"/>
    </row>
    <row r="27" spans="2:9" ht="12.75">
      <c r="B27" t="s">
        <v>36</v>
      </c>
      <c r="E27" s="8"/>
      <c r="F27" s="6"/>
      <c r="I27" s="6"/>
    </row>
    <row r="28" spans="5:9" ht="12.75">
      <c r="E28" s="8"/>
      <c r="F28" s="6"/>
      <c r="I28" s="6"/>
    </row>
    <row r="29" spans="5:9" ht="12.75">
      <c r="E29" s="8"/>
      <c r="F29" s="6"/>
      <c r="I29" s="6"/>
    </row>
    <row r="30" spans="2:9" ht="12.75">
      <c r="B30" t="s">
        <v>37</v>
      </c>
      <c r="E30" s="8"/>
      <c r="F30" s="6"/>
      <c r="I30" s="6"/>
    </row>
    <row r="31" spans="5:9" ht="12.75">
      <c r="E31" s="8"/>
      <c r="F31" s="6"/>
      <c r="I31" s="6"/>
    </row>
    <row r="32" spans="5:9" ht="12.75">
      <c r="E32" s="8"/>
      <c r="F32" s="6"/>
      <c r="I32" s="6"/>
    </row>
    <row r="33" spans="2:5" ht="12.75">
      <c r="B33" t="s">
        <v>38</v>
      </c>
      <c r="E33" s="8"/>
    </row>
    <row r="34" ht="12.75">
      <c r="E34" s="8"/>
    </row>
    <row r="35" ht="12.75">
      <c r="E35" s="8"/>
    </row>
    <row r="36" ht="12.75">
      <c r="E36" s="8"/>
    </row>
    <row r="37" spans="2:4" ht="12.75">
      <c r="B37" s="1" t="s">
        <v>19</v>
      </c>
      <c r="D37" s="8"/>
    </row>
    <row r="38" ht="12.75">
      <c r="D38" s="8"/>
    </row>
    <row r="39" spans="1:4" ht="12.75">
      <c r="A39" s="12" t="s">
        <v>13</v>
      </c>
      <c r="B39" s="10"/>
      <c r="C39" s="11"/>
      <c r="D39" s="8"/>
    </row>
    <row r="40" spans="1:4" ht="12.75">
      <c r="A40" s="12"/>
      <c r="B40" s="13" t="s">
        <v>30</v>
      </c>
      <c r="C40" s="11"/>
      <c r="D40" s="8"/>
    </row>
    <row r="41" spans="1:4" ht="12.75">
      <c r="A41" s="12"/>
      <c r="B41" s="13"/>
      <c r="C41" s="14" t="s">
        <v>15</v>
      </c>
      <c r="D41" s="8"/>
    </row>
    <row r="42" spans="1:4" ht="12.75">
      <c r="A42" s="12"/>
      <c r="B42" s="13"/>
      <c r="C42" s="11"/>
      <c r="D42" s="8"/>
    </row>
    <row r="43" spans="1:9" ht="12.75">
      <c r="A43" s="12"/>
      <c r="B43" s="10"/>
      <c r="C43" s="14" t="s">
        <v>14</v>
      </c>
      <c r="D43" s="8"/>
      <c r="I43" s="6" t="s">
        <v>42</v>
      </c>
    </row>
    <row r="44" spans="1:4" ht="12.75">
      <c r="A44" s="12"/>
      <c r="B44" s="10"/>
      <c r="C44" s="11"/>
      <c r="D44" s="8"/>
    </row>
    <row r="45" spans="2:9" ht="25.5">
      <c r="B45" s="1" t="s">
        <v>14</v>
      </c>
      <c r="D45" s="8"/>
      <c r="I45" s="15" t="s">
        <v>40</v>
      </c>
    </row>
    <row r="46" ht="12.75">
      <c r="D46" s="8"/>
    </row>
    <row r="47" spans="2:4" ht="12.75">
      <c r="B47" s="1" t="s">
        <v>15</v>
      </c>
      <c r="D47" s="8"/>
    </row>
    <row r="48" ht="12.75">
      <c r="D48" s="8"/>
    </row>
    <row r="49" spans="2:4" ht="12.75">
      <c r="B49" s="1" t="s">
        <v>16</v>
      </c>
      <c r="D49" s="8"/>
    </row>
    <row r="50" ht="12.75">
      <c r="D50" s="8"/>
    </row>
    <row r="51" ht="12.75">
      <c r="D51" s="8"/>
    </row>
    <row r="52" ht="12.75">
      <c r="D52" s="8"/>
    </row>
    <row r="53" spans="2:4" ht="12.75">
      <c r="B53" s="1" t="s">
        <v>25</v>
      </c>
      <c r="D53" s="8"/>
    </row>
    <row r="54" spans="3:4" ht="12.75">
      <c r="C54" t="s">
        <v>26</v>
      </c>
      <c r="D54" s="8"/>
    </row>
    <row r="55" spans="1:5" ht="12.75">
      <c r="A55" s="1"/>
      <c r="B55" t="s">
        <v>34</v>
      </c>
      <c r="E55" s="8"/>
    </row>
    <row r="56" spans="5:9" ht="12.75">
      <c r="E56" s="8"/>
      <c r="F56" s="6" t="s">
        <v>17</v>
      </c>
      <c r="I56" s="6" t="s">
        <v>12</v>
      </c>
    </row>
    <row r="57" spans="5:9" ht="12.75">
      <c r="E57" s="8"/>
      <c r="F57" s="6" t="s">
        <v>33</v>
      </c>
      <c r="I57" s="6" t="s">
        <v>12</v>
      </c>
    </row>
    <row r="58" spans="2:9" ht="12.75">
      <c r="B58" t="s">
        <v>35</v>
      </c>
      <c r="E58" s="8"/>
      <c r="F58" s="6"/>
      <c r="I58" s="6"/>
    </row>
    <row r="59" spans="5:9" ht="12.75">
      <c r="E59" s="8"/>
      <c r="F59" s="6"/>
      <c r="I59" s="6"/>
    </row>
    <row r="60" spans="5:9" ht="12.75">
      <c r="E60" s="8"/>
      <c r="F60" s="6"/>
      <c r="I60" s="6"/>
    </row>
    <row r="61" spans="2:9" ht="12.75">
      <c r="B61" t="s">
        <v>36</v>
      </c>
      <c r="E61" s="8"/>
      <c r="F61" s="6"/>
      <c r="I61" s="6"/>
    </row>
    <row r="62" spans="5:9" ht="12.75">
      <c r="E62" s="8"/>
      <c r="F62" s="6"/>
      <c r="I62" s="6"/>
    </row>
    <row r="63" spans="5:9" ht="12.75">
      <c r="E63" s="8"/>
      <c r="F63" s="6"/>
      <c r="I63" s="6"/>
    </row>
    <row r="64" spans="2:9" ht="12.75">
      <c r="B64" t="s">
        <v>37</v>
      </c>
      <c r="E64" s="8"/>
      <c r="F64" s="6"/>
      <c r="I64" s="6"/>
    </row>
    <row r="65" spans="5:9" ht="12.75">
      <c r="E65" s="8"/>
      <c r="F65" s="6"/>
      <c r="I65" s="6"/>
    </row>
    <row r="66" spans="5:9" ht="12.75">
      <c r="E66" s="8"/>
      <c r="F66" s="6"/>
      <c r="I66" s="6"/>
    </row>
    <row r="67" spans="2:5" ht="12.75">
      <c r="B67" t="s">
        <v>38</v>
      </c>
      <c r="E67" s="8"/>
    </row>
    <row r="68" ht="12.75">
      <c r="D68" s="8"/>
    </row>
    <row r="69" spans="3:4" ht="12.75">
      <c r="C69" t="s">
        <v>27</v>
      </c>
      <c r="D69" s="8"/>
    </row>
    <row r="72" ht="12.75">
      <c r="B72" s="9" t="s">
        <v>20</v>
      </c>
    </row>
    <row r="73" ht="12.75">
      <c r="C73" t="s">
        <v>21</v>
      </c>
    </row>
    <row r="74" ht="12.75">
      <c r="C74" t="s">
        <v>24</v>
      </c>
    </row>
    <row r="75" ht="12.75">
      <c r="C75" t="s">
        <v>22</v>
      </c>
    </row>
    <row r="76" ht="12.75">
      <c r="C76" t="s">
        <v>23</v>
      </c>
    </row>
  </sheetData>
  <printOptions/>
  <pageMargins left="0.75" right="0.75" top="1" bottom="1" header="0.5" footer="0.5"/>
  <pageSetup horizontalDpi="600" verticalDpi="600" orientation="landscape" scale="90" r:id="rId1"/>
  <headerFooter alignWithMargins="0">
    <oddHeader>&amp;C&amp;"Arial,Bold"&amp;14NCSX Other CostsCost and Schedule  Estimating Form&amp;"Arial,Regular"&amp;10
&amp;"Arial,Bold"&amp;12(Attachment 1c - OTHER)</oddHeader>
    <oddFooter>&amp;C&amp;"Arial,Bold"&amp;P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79"/>
  <sheetViews>
    <sheetView view="pageBreakPreview" zoomScale="60" workbookViewId="0" topLeftCell="A1">
      <selection activeCell="R31" sqref="R31"/>
    </sheetView>
  </sheetViews>
  <sheetFormatPr defaultColWidth="9.140625" defaultRowHeight="12.75"/>
  <cols>
    <col min="1" max="1" width="28.57421875" style="0" customWidth="1"/>
    <col min="2" max="2" width="9.8515625" style="0" customWidth="1"/>
    <col min="5" max="5" width="8.00390625" style="0" customWidth="1"/>
    <col min="6" max="6" width="2.57421875" style="0" customWidth="1"/>
    <col min="7" max="7" width="7.00390625" style="0" customWidth="1"/>
    <col min="8" max="17" width="5.7109375" style="0" customWidth="1"/>
  </cols>
  <sheetData>
    <row r="1" ht="20.25">
      <c r="A1" s="63" t="str">
        <f>'Fab Project'!A1</f>
        <v>WBS 131 TF Coils</v>
      </c>
    </row>
    <row r="3" spans="1:17" ht="18.75" thickBot="1">
      <c r="A3" s="72" t="s">
        <v>61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ht="12.75">
      <c r="A4" s="1"/>
    </row>
    <row r="5" ht="12.75">
      <c r="A5" s="1" t="s">
        <v>70</v>
      </c>
    </row>
    <row r="6" spans="1:17" ht="27.75" customHeight="1">
      <c r="A6" s="264" t="s">
        <v>294</v>
      </c>
      <c r="B6" s="264"/>
      <c r="C6" s="264"/>
      <c r="D6" s="264"/>
      <c r="E6" s="264"/>
      <c r="F6" s="264"/>
      <c r="G6" s="257" t="s">
        <v>96</v>
      </c>
      <c r="H6" s="257"/>
      <c r="I6" s="257"/>
      <c r="J6" s="257"/>
      <c r="K6" s="257"/>
      <c r="L6" s="257"/>
      <c r="M6" s="257"/>
      <c r="N6" s="257"/>
      <c r="O6" s="257"/>
      <c r="P6" s="257"/>
      <c r="Q6" s="257"/>
    </row>
    <row r="7" spans="1:17" ht="27" customHeight="1">
      <c r="A7" s="264"/>
      <c r="B7" s="264"/>
      <c r="C7" s="264"/>
      <c r="D7" s="264"/>
      <c r="E7" s="264"/>
      <c r="F7" s="264"/>
      <c r="G7" s="39" t="s">
        <v>91</v>
      </c>
      <c r="H7" s="262" t="s">
        <v>8</v>
      </c>
      <c r="I7" s="262"/>
      <c r="J7" s="262" t="s">
        <v>10</v>
      </c>
      <c r="K7" s="262"/>
      <c r="L7" s="262" t="s">
        <v>11</v>
      </c>
      <c r="M7" s="262"/>
      <c r="N7" s="262" t="s">
        <v>41</v>
      </c>
      <c r="O7" s="262"/>
      <c r="P7" s="262" t="s">
        <v>68</v>
      </c>
      <c r="Q7" s="262"/>
    </row>
    <row r="8" spans="2:17" ht="12.75">
      <c r="B8" s="25" t="s">
        <v>53</v>
      </c>
      <c r="C8" s="25" t="s">
        <v>54</v>
      </c>
      <c r="D8" s="25" t="s">
        <v>55</v>
      </c>
      <c r="E8" s="263" t="s">
        <v>92</v>
      </c>
      <c r="F8" s="263"/>
      <c r="H8" s="22" t="s">
        <v>90</v>
      </c>
      <c r="I8" s="22" t="s">
        <v>62</v>
      </c>
      <c r="J8" s="22" t="s">
        <v>90</v>
      </c>
      <c r="K8" s="22" t="s">
        <v>62</v>
      </c>
      <c r="L8" s="22" t="s">
        <v>90</v>
      </c>
      <c r="M8" s="22" t="s">
        <v>62</v>
      </c>
      <c r="N8" s="22" t="s">
        <v>90</v>
      </c>
      <c r="O8" s="22" t="s">
        <v>62</v>
      </c>
      <c r="P8" s="22" t="s">
        <v>90</v>
      </c>
      <c r="Q8" s="22" t="s">
        <v>62</v>
      </c>
    </row>
    <row r="9" ht="12.75">
      <c r="A9" s="1" t="s">
        <v>63</v>
      </c>
    </row>
    <row r="10" spans="1:17" ht="12.75">
      <c r="A10" s="20" t="s">
        <v>168</v>
      </c>
      <c r="B10" s="23">
        <v>40</v>
      </c>
      <c r="C10" s="22" t="s">
        <v>56</v>
      </c>
      <c r="D10" s="26">
        <f>B50</f>
        <v>5</v>
      </c>
      <c r="E10" s="36">
        <f>D10*$B10</f>
        <v>200</v>
      </c>
      <c r="F10" s="36"/>
      <c r="G10" s="30">
        <f>H10+J10+L10+N10+P10</f>
        <v>1</v>
      </c>
      <c r="H10" s="32">
        <v>0.25</v>
      </c>
      <c r="I10" s="31">
        <f>$E10*H10</f>
        <v>50</v>
      </c>
      <c r="J10" s="32">
        <v>0.5</v>
      </c>
      <c r="K10" s="31">
        <f aca="true" t="shared" si="0" ref="K10:K22">$E10*J10</f>
        <v>100</v>
      </c>
      <c r="L10" s="32">
        <v>0.25</v>
      </c>
      <c r="M10" s="31">
        <f aca="true" t="shared" si="1" ref="M10:M22">$E10*L10</f>
        <v>50</v>
      </c>
      <c r="N10" s="32">
        <v>0</v>
      </c>
      <c r="O10" s="31">
        <f aca="true" t="shared" si="2" ref="O10:O22">$E10*N10</f>
        <v>0</v>
      </c>
      <c r="P10" s="32">
        <v>0</v>
      </c>
      <c r="Q10" s="31">
        <f aca="true" t="shared" si="3" ref="Q10:Q22">$E10*P10</f>
        <v>0</v>
      </c>
    </row>
    <row r="11" spans="1:17" ht="12.75">
      <c r="A11" s="20" t="s">
        <v>167</v>
      </c>
      <c r="B11" s="23">
        <v>40</v>
      </c>
      <c r="C11" s="22" t="s">
        <v>57</v>
      </c>
      <c r="D11" s="26">
        <f aca="true" t="shared" si="4" ref="D11:D21">B51</f>
        <v>4</v>
      </c>
      <c r="E11" s="36">
        <f aca="true" t="shared" si="5" ref="E11:E22">D11*$B11</f>
        <v>160</v>
      </c>
      <c r="F11" s="36"/>
      <c r="G11" s="30">
        <f aca="true" t="shared" si="6" ref="G11:G22">H11+J11+L11+N11+P11</f>
        <v>1</v>
      </c>
      <c r="H11" s="32">
        <v>0</v>
      </c>
      <c r="I11" s="31">
        <f aca="true" t="shared" si="7" ref="I11:I22">$E11*H11</f>
        <v>0</v>
      </c>
      <c r="J11" s="32">
        <v>1</v>
      </c>
      <c r="K11" s="31">
        <f t="shared" si="0"/>
        <v>160</v>
      </c>
      <c r="L11" s="32">
        <v>0</v>
      </c>
      <c r="M11" s="31">
        <f t="shared" si="1"/>
        <v>0</v>
      </c>
      <c r="N11" s="32">
        <v>0</v>
      </c>
      <c r="O11" s="31">
        <f t="shared" si="2"/>
        <v>0</v>
      </c>
      <c r="P11" s="32">
        <v>0</v>
      </c>
      <c r="Q11" s="31">
        <f t="shared" si="3"/>
        <v>0</v>
      </c>
    </row>
    <row r="12" spans="1:17" ht="12.75">
      <c r="A12" s="20" t="s">
        <v>51</v>
      </c>
      <c r="B12" s="23">
        <v>40</v>
      </c>
      <c r="C12" s="22" t="s">
        <v>57</v>
      </c>
      <c r="D12" s="26">
        <f t="shared" si="4"/>
        <v>6</v>
      </c>
      <c r="E12" s="36">
        <f t="shared" si="5"/>
        <v>240</v>
      </c>
      <c r="F12" s="36"/>
      <c r="G12" s="30">
        <f t="shared" si="6"/>
        <v>1</v>
      </c>
      <c r="H12" s="32">
        <v>0</v>
      </c>
      <c r="I12" s="31">
        <f t="shared" si="7"/>
        <v>0</v>
      </c>
      <c r="J12" s="32">
        <v>1</v>
      </c>
      <c r="K12" s="31">
        <f t="shared" si="0"/>
        <v>240</v>
      </c>
      <c r="L12" s="32">
        <v>0</v>
      </c>
      <c r="M12" s="31">
        <f t="shared" si="1"/>
        <v>0</v>
      </c>
      <c r="N12" s="32">
        <v>0</v>
      </c>
      <c r="O12" s="31">
        <f t="shared" si="2"/>
        <v>0</v>
      </c>
      <c r="P12" s="32">
        <v>0</v>
      </c>
      <c r="Q12" s="31">
        <f t="shared" si="3"/>
        <v>0</v>
      </c>
    </row>
    <row r="13" spans="1:17" ht="12.75">
      <c r="A13" s="20" t="s">
        <v>52</v>
      </c>
      <c r="B13" s="23">
        <v>40</v>
      </c>
      <c r="C13" s="22" t="s">
        <v>57</v>
      </c>
      <c r="D13" s="26">
        <f t="shared" si="4"/>
        <v>1</v>
      </c>
      <c r="E13" s="36">
        <f t="shared" si="5"/>
        <v>40</v>
      </c>
      <c r="F13" s="36"/>
      <c r="G13" s="30">
        <f t="shared" si="6"/>
        <v>1</v>
      </c>
      <c r="H13" s="32">
        <v>0</v>
      </c>
      <c r="I13" s="31">
        <f t="shared" si="7"/>
        <v>0</v>
      </c>
      <c r="J13" s="32">
        <v>1</v>
      </c>
      <c r="K13" s="31">
        <f t="shared" si="0"/>
        <v>40</v>
      </c>
      <c r="L13" s="32">
        <v>0</v>
      </c>
      <c r="M13" s="31">
        <f t="shared" si="1"/>
        <v>0</v>
      </c>
      <c r="N13" s="32">
        <v>0</v>
      </c>
      <c r="O13" s="31">
        <f t="shared" si="2"/>
        <v>0</v>
      </c>
      <c r="P13" s="32">
        <v>0</v>
      </c>
      <c r="Q13" s="31">
        <f t="shared" si="3"/>
        <v>0</v>
      </c>
    </row>
    <row r="14" spans="1:17" ht="12.75">
      <c r="A14" s="20" t="s">
        <v>79</v>
      </c>
      <c r="B14" s="23">
        <v>20</v>
      </c>
      <c r="C14" s="22" t="s">
        <v>57</v>
      </c>
      <c r="D14" s="26">
        <f t="shared" si="4"/>
        <v>1</v>
      </c>
      <c r="E14" s="36">
        <f t="shared" si="5"/>
        <v>20</v>
      </c>
      <c r="F14" s="36"/>
      <c r="G14" s="30">
        <f t="shared" si="6"/>
        <v>1</v>
      </c>
      <c r="H14" s="32">
        <v>0</v>
      </c>
      <c r="I14" s="31">
        <f t="shared" si="7"/>
        <v>0</v>
      </c>
      <c r="J14" s="32">
        <v>1</v>
      </c>
      <c r="K14" s="31">
        <f t="shared" si="0"/>
        <v>20</v>
      </c>
      <c r="L14" s="32">
        <v>0</v>
      </c>
      <c r="M14" s="31">
        <f t="shared" si="1"/>
        <v>0</v>
      </c>
      <c r="N14" s="32">
        <v>0</v>
      </c>
      <c r="O14" s="31">
        <f t="shared" si="2"/>
        <v>0</v>
      </c>
      <c r="P14" s="32">
        <v>0</v>
      </c>
      <c r="Q14" s="31">
        <f t="shared" si="3"/>
        <v>0</v>
      </c>
    </row>
    <row r="15" spans="1:17" ht="12.75">
      <c r="A15" s="20" t="s">
        <v>80</v>
      </c>
      <c r="B15" s="23">
        <v>20</v>
      </c>
      <c r="C15" s="22" t="s">
        <v>57</v>
      </c>
      <c r="D15" s="26">
        <f t="shared" si="4"/>
        <v>1</v>
      </c>
      <c r="E15" s="36">
        <f t="shared" si="5"/>
        <v>20</v>
      </c>
      <c r="F15" s="36"/>
      <c r="G15" s="30">
        <f t="shared" si="6"/>
        <v>1</v>
      </c>
      <c r="H15" s="32">
        <v>0</v>
      </c>
      <c r="I15" s="31">
        <f t="shared" si="7"/>
        <v>0</v>
      </c>
      <c r="J15" s="32">
        <v>1</v>
      </c>
      <c r="K15" s="31">
        <f t="shared" si="0"/>
        <v>20</v>
      </c>
      <c r="L15" s="32">
        <v>0</v>
      </c>
      <c r="M15" s="31">
        <f t="shared" si="1"/>
        <v>0</v>
      </c>
      <c r="N15" s="32">
        <v>0</v>
      </c>
      <c r="O15" s="31">
        <f t="shared" si="2"/>
        <v>0</v>
      </c>
      <c r="P15" s="32">
        <v>0</v>
      </c>
      <c r="Q15" s="31">
        <f t="shared" si="3"/>
        <v>0</v>
      </c>
    </row>
    <row r="16" spans="1:17" ht="12.75">
      <c r="A16" s="20" t="s">
        <v>81</v>
      </c>
      <c r="B16" s="23">
        <v>20</v>
      </c>
      <c r="C16" s="22" t="s">
        <v>57</v>
      </c>
      <c r="D16" s="26">
        <f t="shared" si="4"/>
        <v>0</v>
      </c>
      <c r="E16" s="36">
        <f t="shared" si="5"/>
        <v>0</v>
      </c>
      <c r="F16" s="36"/>
      <c r="G16" s="30">
        <f t="shared" si="6"/>
        <v>1</v>
      </c>
      <c r="H16" s="32">
        <v>0</v>
      </c>
      <c r="I16" s="31">
        <f t="shared" si="7"/>
        <v>0</v>
      </c>
      <c r="J16" s="32">
        <v>1</v>
      </c>
      <c r="K16" s="31">
        <f t="shared" si="0"/>
        <v>0</v>
      </c>
      <c r="L16" s="32">
        <v>0</v>
      </c>
      <c r="M16" s="31">
        <f t="shared" si="1"/>
        <v>0</v>
      </c>
      <c r="N16" s="32">
        <v>0</v>
      </c>
      <c r="O16" s="31">
        <f t="shared" si="2"/>
        <v>0</v>
      </c>
      <c r="P16" s="32">
        <v>0</v>
      </c>
      <c r="Q16" s="31">
        <f t="shared" si="3"/>
        <v>0</v>
      </c>
    </row>
    <row r="17" spans="1:17" ht="12.75">
      <c r="A17" s="20" t="s">
        <v>83</v>
      </c>
      <c r="B17" s="23">
        <v>40</v>
      </c>
      <c r="C17" s="22" t="s">
        <v>58</v>
      </c>
      <c r="D17" s="26">
        <f t="shared" si="4"/>
        <v>2</v>
      </c>
      <c r="E17" s="36">
        <f t="shared" si="5"/>
        <v>80</v>
      </c>
      <c r="F17" s="36"/>
      <c r="G17" s="30">
        <f t="shared" si="6"/>
        <v>1</v>
      </c>
      <c r="H17" s="32">
        <v>1</v>
      </c>
      <c r="I17" s="31">
        <f t="shared" si="7"/>
        <v>80</v>
      </c>
      <c r="J17" s="32">
        <v>0</v>
      </c>
      <c r="K17" s="31">
        <f t="shared" si="0"/>
        <v>0</v>
      </c>
      <c r="L17" s="32">
        <v>0</v>
      </c>
      <c r="M17" s="31">
        <f t="shared" si="1"/>
        <v>0</v>
      </c>
      <c r="N17" s="32">
        <v>0</v>
      </c>
      <c r="O17" s="31">
        <f t="shared" si="2"/>
        <v>0</v>
      </c>
      <c r="P17" s="32">
        <v>0</v>
      </c>
      <c r="Q17" s="31">
        <f t="shared" si="3"/>
        <v>0</v>
      </c>
    </row>
    <row r="18" spans="1:17" ht="12.75">
      <c r="A18" s="20" t="s">
        <v>84</v>
      </c>
      <c r="B18" s="23">
        <v>40</v>
      </c>
      <c r="C18" s="22" t="s">
        <v>58</v>
      </c>
      <c r="D18" s="26">
        <f t="shared" si="4"/>
        <v>2</v>
      </c>
      <c r="E18" s="36">
        <f t="shared" si="5"/>
        <v>80</v>
      </c>
      <c r="F18" s="36"/>
      <c r="G18" s="30">
        <f t="shared" si="6"/>
        <v>1</v>
      </c>
      <c r="H18" s="32">
        <v>1</v>
      </c>
      <c r="I18" s="31">
        <f t="shared" si="7"/>
        <v>80</v>
      </c>
      <c r="J18" s="32">
        <v>0</v>
      </c>
      <c r="K18" s="31">
        <f t="shared" si="0"/>
        <v>0</v>
      </c>
      <c r="L18" s="32">
        <v>0</v>
      </c>
      <c r="M18" s="31">
        <f t="shared" si="1"/>
        <v>0</v>
      </c>
      <c r="N18" s="32">
        <v>0</v>
      </c>
      <c r="O18" s="31">
        <f t="shared" si="2"/>
        <v>0</v>
      </c>
      <c r="P18" s="32">
        <v>0</v>
      </c>
      <c r="Q18" s="31">
        <f t="shared" si="3"/>
        <v>0</v>
      </c>
    </row>
    <row r="19" spans="1:17" ht="25.5">
      <c r="A19" s="20" t="s">
        <v>153</v>
      </c>
      <c r="B19" s="23">
        <v>80</v>
      </c>
      <c r="C19" s="22" t="s">
        <v>58</v>
      </c>
      <c r="D19" s="26">
        <f t="shared" si="4"/>
        <v>1</v>
      </c>
      <c r="E19" s="36">
        <f t="shared" si="5"/>
        <v>80</v>
      </c>
      <c r="F19" s="36"/>
      <c r="G19" s="30">
        <f t="shared" si="6"/>
        <v>1</v>
      </c>
      <c r="H19" s="32">
        <v>0.5</v>
      </c>
      <c r="I19" s="31">
        <f t="shared" si="7"/>
        <v>40</v>
      </c>
      <c r="J19" s="32">
        <v>0</v>
      </c>
      <c r="K19" s="31">
        <f t="shared" si="0"/>
        <v>0</v>
      </c>
      <c r="L19" s="32">
        <v>0.5</v>
      </c>
      <c r="M19" s="31">
        <f t="shared" si="1"/>
        <v>40</v>
      </c>
      <c r="N19" s="32">
        <v>0</v>
      </c>
      <c r="O19" s="31">
        <f t="shared" si="2"/>
        <v>0</v>
      </c>
      <c r="P19" s="32">
        <v>0</v>
      </c>
      <c r="Q19" s="31">
        <f t="shared" si="3"/>
        <v>0</v>
      </c>
    </row>
    <row r="20" spans="1:17" ht="12.75">
      <c r="A20" s="20" t="s">
        <v>169</v>
      </c>
      <c r="B20" s="23">
        <v>80</v>
      </c>
      <c r="C20" s="22" t="s">
        <v>59</v>
      </c>
      <c r="D20" s="26">
        <f t="shared" si="4"/>
        <v>1</v>
      </c>
      <c r="E20" s="36">
        <f t="shared" si="5"/>
        <v>80</v>
      </c>
      <c r="F20" s="36"/>
      <c r="G20" s="30">
        <f t="shared" si="6"/>
        <v>1</v>
      </c>
      <c r="H20" s="32">
        <v>1</v>
      </c>
      <c r="I20" s="31">
        <f t="shared" si="7"/>
        <v>80</v>
      </c>
      <c r="J20" s="32">
        <v>0</v>
      </c>
      <c r="K20" s="31">
        <f t="shared" si="0"/>
        <v>0</v>
      </c>
      <c r="L20" s="32">
        <v>0</v>
      </c>
      <c r="M20" s="31">
        <f t="shared" si="1"/>
        <v>0</v>
      </c>
      <c r="N20" s="32">
        <v>0</v>
      </c>
      <c r="O20" s="31">
        <f t="shared" si="2"/>
        <v>0</v>
      </c>
      <c r="P20" s="32">
        <v>0</v>
      </c>
      <c r="Q20" s="31">
        <f t="shared" si="3"/>
        <v>0</v>
      </c>
    </row>
    <row r="21" spans="1:17" ht="25.5">
      <c r="A21" s="20" t="s">
        <v>85</v>
      </c>
      <c r="B21" s="23">
        <v>80</v>
      </c>
      <c r="C21" s="22" t="s">
        <v>86</v>
      </c>
      <c r="D21" s="26">
        <f t="shared" si="4"/>
        <v>2</v>
      </c>
      <c r="E21" s="36">
        <f t="shared" si="5"/>
        <v>160</v>
      </c>
      <c r="F21" s="36"/>
      <c r="G21" s="30">
        <f t="shared" si="6"/>
        <v>1</v>
      </c>
      <c r="H21" s="32">
        <v>0.8</v>
      </c>
      <c r="I21" s="31">
        <f t="shared" si="7"/>
        <v>128</v>
      </c>
      <c r="J21" s="32">
        <v>0</v>
      </c>
      <c r="K21" s="31">
        <f t="shared" si="0"/>
        <v>0</v>
      </c>
      <c r="L21" s="32">
        <v>0.2</v>
      </c>
      <c r="M21" s="31">
        <f t="shared" si="1"/>
        <v>32</v>
      </c>
      <c r="N21" s="32">
        <v>0</v>
      </c>
      <c r="O21" s="31">
        <f t="shared" si="2"/>
        <v>0</v>
      </c>
      <c r="P21" s="32">
        <v>0</v>
      </c>
      <c r="Q21" s="31">
        <f t="shared" si="3"/>
        <v>0</v>
      </c>
    </row>
    <row r="22" spans="1:17" ht="12.75">
      <c r="A22" s="20" t="s">
        <v>87</v>
      </c>
      <c r="B22" s="28">
        <v>0.1</v>
      </c>
      <c r="C22" s="22" t="s">
        <v>88</v>
      </c>
      <c r="D22" s="26">
        <f>SUM(E10:E21)</f>
        <v>1160</v>
      </c>
      <c r="E22" s="36">
        <f t="shared" si="5"/>
        <v>116</v>
      </c>
      <c r="F22" s="36"/>
      <c r="G22" s="30">
        <f t="shared" si="6"/>
        <v>1</v>
      </c>
      <c r="H22" s="32">
        <v>0.8</v>
      </c>
      <c r="I22" s="31">
        <f t="shared" si="7"/>
        <v>92.80000000000001</v>
      </c>
      <c r="J22" s="32">
        <v>0</v>
      </c>
      <c r="K22" s="31">
        <f t="shared" si="0"/>
        <v>0</v>
      </c>
      <c r="L22" s="32">
        <v>0.2</v>
      </c>
      <c r="M22" s="31">
        <f t="shared" si="1"/>
        <v>23.200000000000003</v>
      </c>
      <c r="N22" s="32">
        <v>0</v>
      </c>
      <c r="O22" s="31">
        <f t="shared" si="2"/>
        <v>0</v>
      </c>
      <c r="P22" s="32">
        <v>0</v>
      </c>
      <c r="Q22" s="31">
        <f t="shared" si="3"/>
        <v>0</v>
      </c>
    </row>
    <row r="23" spans="5:6" ht="12.75">
      <c r="E23" s="36"/>
      <c r="F23" s="36"/>
    </row>
    <row r="24" spans="1:17" ht="12.75">
      <c r="A24" s="27" t="s">
        <v>69</v>
      </c>
      <c r="E24" s="37">
        <f>SUM(E10:E23)</f>
        <v>1276</v>
      </c>
      <c r="F24" s="37"/>
      <c r="G24" s="37"/>
      <c r="H24" s="37"/>
      <c r="I24" s="37">
        <f>SUM(I10:I23)</f>
        <v>550.8</v>
      </c>
      <c r="J24" s="37"/>
      <c r="K24" s="37">
        <f>SUM(K10:K23)</f>
        <v>580</v>
      </c>
      <c r="L24" s="37"/>
      <c r="M24" s="37">
        <f>SUM(M10:M23)</f>
        <v>145.2</v>
      </c>
      <c r="N24" s="37"/>
      <c r="O24" s="37">
        <f>SUM(O10:O23)</f>
        <v>0</v>
      </c>
      <c r="P24" s="37"/>
      <c r="Q24" s="37">
        <f>SUM(Q10:Q23)</f>
        <v>0</v>
      </c>
    </row>
    <row r="25" spans="1:17" ht="12.75">
      <c r="A25" s="27"/>
      <c r="E25" s="37"/>
      <c r="F25" s="37"/>
      <c r="I25" s="27"/>
      <c r="K25" s="27"/>
      <c r="M25" s="27"/>
      <c r="O25" s="27"/>
      <c r="Q25" s="27"/>
    </row>
    <row r="26" spans="1:17" ht="25.5" customHeight="1">
      <c r="A26" s="27"/>
      <c r="E26" s="37"/>
      <c r="F26" s="37"/>
      <c r="G26" s="39" t="s">
        <v>91</v>
      </c>
      <c r="H26" s="262" t="s">
        <v>8</v>
      </c>
      <c r="I26" s="262"/>
      <c r="J26" s="262" t="s">
        <v>9</v>
      </c>
      <c r="K26" s="262"/>
      <c r="L26" s="262" t="s">
        <v>10</v>
      </c>
      <c r="M26" s="262"/>
      <c r="N26" s="262" t="s">
        <v>11</v>
      </c>
      <c r="O26" s="262"/>
      <c r="Q26" s="27"/>
    </row>
    <row r="27" spans="1:15" ht="12.75">
      <c r="A27" s="1" t="s">
        <v>64</v>
      </c>
      <c r="H27" s="22" t="s">
        <v>90</v>
      </c>
      <c r="I27" s="22" t="s">
        <v>62</v>
      </c>
      <c r="J27" s="22" t="s">
        <v>90</v>
      </c>
      <c r="K27" s="22" t="s">
        <v>62</v>
      </c>
      <c r="L27" s="22" t="s">
        <v>90</v>
      </c>
      <c r="M27" s="22" t="s">
        <v>62</v>
      </c>
      <c r="N27" s="22" t="s">
        <v>90</v>
      </c>
      <c r="O27" s="22" t="s">
        <v>62</v>
      </c>
    </row>
    <row r="28" spans="1:15" ht="12.75">
      <c r="A28" s="1"/>
      <c r="H28" s="22"/>
      <c r="I28" s="22"/>
      <c r="J28" s="22"/>
      <c r="K28" s="22"/>
      <c r="L28" s="22"/>
      <c r="M28" s="22"/>
      <c r="N28" s="22"/>
      <c r="O28" s="22"/>
    </row>
    <row r="29" spans="1:17" ht="12.75">
      <c r="A29" s="20" t="s">
        <v>66</v>
      </c>
      <c r="B29" s="23">
        <v>8</v>
      </c>
      <c r="C29" s="22" t="s">
        <v>60</v>
      </c>
      <c r="D29" s="26">
        <f>C40</f>
        <v>52</v>
      </c>
      <c r="E29">
        <f>D29*$B29</f>
        <v>416</v>
      </c>
      <c r="G29" s="30">
        <f>H29+J29+L29+N29+P29</f>
        <v>1</v>
      </c>
      <c r="H29" s="32">
        <v>1</v>
      </c>
      <c r="I29" s="31">
        <f>$E29*H29</f>
        <v>416</v>
      </c>
      <c r="J29" s="32">
        <v>0</v>
      </c>
      <c r="K29" s="31">
        <f>$E29*J29</f>
        <v>0</v>
      </c>
      <c r="L29" s="32">
        <v>0</v>
      </c>
      <c r="M29" s="31">
        <f>$E29*L29</f>
        <v>0</v>
      </c>
      <c r="N29" s="32">
        <v>0</v>
      </c>
      <c r="O29" s="31">
        <f>$E29*N29</f>
        <v>0</v>
      </c>
      <c r="P29" s="32"/>
      <c r="Q29" s="31"/>
    </row>
    <row r="30" spans="1:17" ht="25.5">
      <c r="A30" s="20" t="s">
        <v>67</v>
      </c>
      <c r="B30" s="23">
        <v>4</v>
      </c>
      <c r="C30" s="22" t="s">
        <v>60</v>
      </c>
      <c r="D30" s="26">
        <f>SUM(C40:C42)</f>
        <v>78</v>
      </c>
      <c r="E30">
        <f>D30*$B30</f>
        <v>312</v>
      </c>
      <c r="G30" s="30">
        <f>H30+J30+L30+N30+P30</f>
        <v>1</v>
      </c>
      <c r="H30" s="32">
        <v>0.8</v>
      </c>
      <c r="I30" s="31">
        <f>$E30*H30</f>
        <v>249.60000000000002</v>
      </c>
      <c r="J30" s="32">
        <v>0</v>
      </c>
      <c r="K30" s="31">
        <f>$E30*J30</f>
        <v>0</v>
      </c>
      <c r="L30" s="32">
        <v>0</v>
      </c>
      <c r="M30" s="31">
        <f>$E30*L30</f>
        <v>0</v>
      </c>
      <c r="N30" s="32">
        <v>0.2</v>
      </c>
      <c r="O30" s="31">
        <f>$E30*N30</f>
        <v>62.400000000000006</v>
      </c>
      <c r="P30" s="32"/>
      <c r="Q30" s="31"/>
    </row>
    <row r="31" spans="1:17" ht="12.75">
      <c r="A31" t="s">
        <v>65</v>
      </c>
      <c r="B31" s="23">
        <v>8</v>
      </c>
      <c r="C31" s="22" t="s">
        <v>57</v>
      </c>
      <c r="D31" s="26">
        <f>D11+D12+D13+D14</f>
        <v>12</v>
      </c>
      <c r="E31">
        <f>D31*$B31</f>
        <v>96</v>
      </c>
      <c r="G31" s="30">
        <f>H31+J31+L31+N31+P31</f>
        <v>1</v>
      </c>
      <c r="H31" s="32">
        <v>0</v>
      </c>
      <c r="I31" s="31">
        <f>$E31*H31</f>
        <v>0</v>
      </c>
      <c r="J31" s="32">
        <v>0</v>
      </c>
      <c r="K31" s="31">
        <f>$E31*J31</f>
        <v>0</v>
      </c>
      <c r="L31" s="32">
        <v>1</v>
      </c>
      <c r="M31" s="31">
        <f>$E31*L31</f>
        <v>96</v>
      </c>
      <c r="N31" s="32">
        <v>0</v>
      </c>
      <c r="O31" s="31">
        <f>$E31*N31</f>
        <v>0</v>
      </c>
      <c r="P31" s="32"/>
      <c r="Q31" s="31"/>
    </row>
    <row r="32" spans="1:17" ht="12.75">
      <c r="A32" s="20"/>
      <c r="B32" s="23"/>
      <c r="C32" s="22"/>
      <c r="D32" s="22"/>
      <c r="G32" s="30"/>
      <c r="H32" s="32"/>
      <c r="I32" s="31"/>
      <c r="J32" s="32"/>
      <c r="K32" s="31"/>
      <c r="L32" s="32"/>
      <c r="M32" s="31"/>
      <c r="N32" s="32"/>
      <c r="O32" s="31"/>
      <c r="P32" s="32"/>
      <c r="Q32" s="31"/>
    </row>
    <row r="34" spans="1:17" ht="12.75">
      <c r="A34" s="27" t="s">
        <v>69</v>
      </c>
      <c r="E34" s="37">
        <f>SUM(E29:E33)</f>
        <v>824</v>
      </c>
      <c r="F34" s="37"/>
      <c r="G34" s="37"/>
      <c r="H34" s="37"/>
      <c r="I34" s="37">
        <f>SUM(I29:I33)</f>
        <v>665.6</v>
      </c>
      <c r="J34" s="37"/>
      <c r="K34" s="37">
        <f>SUM(K29:K33)</f>
        <v>0</v>
      </c>
      <c r="L34" s="37"/>
      <c r="M34" s="37">
        <f>SUM(M29:M33)</f>
        <v>96</v>
      </c>
      <c r="N34" s="37"/>
      <c r="O34" s="37">
        <f>SUM(O29:O33)</f>
        <v>62.400000000000006</v>
      </c>
      <c r="Q34" s="27"/>
    </row>
    <row r="37" spans="1:4" ht="25.5">
      <c r="A37" s="1" t="s">
        <v>71</v>
      </c>
      <c r="B37" s="25" t="s">
        <v>76</v>
      </c>
      <c r="C37" s="3" t="s">
        <v>78</v>
      </c>
      <c r="D37" s="25" t="s">
        <v>77</v>
      </c>
    </row>
    <row r="38" spans="1:14" ht="12.75">
      <c r="A38" t="s">
        <v>154</v>
      </c>
      <c r="B38" s="33">
        <f>D38-C38*7</f>
        <v>37920</v>
      </c>
      <c r="C38" s="23">
        <v>18</v>
      </c>
      <c r="D38" s="34">
        <f>B39</f>
        <v>38046</v>
      </c>
      <c r="K38" s="262"/>
      <c r="L38" s="262"/>
      <c r="M38" s="262"/>
      <c r="N38" s="262"/>
    </row>
    <row r="39" spans="1:4" ht="12.75">
      <c r="A39" t="s">
        <v>72</v>
      </c>
      <c r="B39" s="34">
        <f>D39-C39*7</f>
        <v>38046</v>
      </c>
      <c r="C39" s="23">
        <v>18</v>
      </c>
      <c r="D39" s="34">
        <f>B40</f>
        <v>38172</v>
      </c>
    </row>
    <row r="40" spans="1:4" ht="12.75">
      <c r="A40" t="s">
        <v>73</v>
      </c>
      <c r="B40" s="34">
        <f>D40-C40*7</f>
        <v>38172</v>
      </c>
      <c r="C40" s="23">
        <v>52</v>
      </c>
      <c r="D40" s="34">
        <f>B41</f>
        <v>38536</v>
      </c>
    </row>
    <row r="41" spans="1:4" ht="12.75">
      <c r="A41" t="s">
        <v>75</v>
      </c>
      <c r="B41" s="34">
        <f>D41-C41*7</f>
        <v>38536</v>
      </c>
      <c r="C41" s="23">
        <v>0</v>
      </c>
      <c r="D41" s="34">
        <f>B42</f>
        <v>38536</v>
      </c>
    </row>
    <row r="42" spans="1:4" ht="12.75">
      <c r="A42" t="s">
        <v>74</v>
      </c>
      <c r="B42" s="34">
        <f>D42-C42*7</f>
        <v>38536</v>
      </c>
      <c r="C42" s="23">
        <v>26</v>
      </c>
      <c r="D42" s="35">
        <v>38718</v>
      </c>
    </row>
    <row r="46" ht="12.75">
      <c r="A46" s="1" t="s">
        <v>93</v>
      </c>
    </row>
    <row r="48" ht="12.75">
      <c r="A48" s="1" t="s">
        <v>284</v>
      </c>
    </row>
    <row r="49" spans="2:11" ht="58.5" customHeight="1">
      <c r="B49" t="s">
        <v>155</v>
      </c>
      <c r="C49" s="133" t="s">
        <v>179</v>
      </c>
      <c r="D49" s="133" t="s">
        <v>180</v>
      </c>
      <c r="E49" s="133"/>
      <c r="F49" s="133"/>
      <c r="G49" s="133"/>
      <c r="H49" s="133"/>
      <c r="I49" s="133"/>
      <c r="J49" s="132"/>
      <c r="K49" s="132"/>
    </row>
    <row r="50" spans="1:4" ht="12.75">
      <c r="A50" t="s">
        <v>49</v>
      </c>
      <c r="B50" s="22">
        <f>C50+D50</f>
        <v>5</v>
      </c>
      <c r="C50" s="22">
        <v>2</v>
      </c>
      <c r="D50" s="22">
        <v>3</v>
      </c>
    </row>
    <row r="51" spans="1:5" ht="12.75">
      <c r="A51" t="s">
        <v>50</v>
      </c>
      <c r="B51" s="22">
        <f>C51+D51</f>
        <v>4</v>
      </c>
      <c r="C51" s="22">
        <v>2</v>
      </c>
      <c r="D51" s="22">
        <v>2</v>
      </c>
      <c r="E51" t="s">
        <v>282</v>
      </c>
    </row>
    <row r="52" spans="1:5" ht="12.75">
      <c r="A52" t="s">
        <v>51</v>
      </c>
      <c r="B52" s="22">
        <f>C52+D52</f>
        <v>6</v>
      </c>
      <c r="C52" s="22">
        <v>2</v>
      </c>
      <c r="D52" s="22">
        <v>4</v>
      </c>
      <c r="E52" t="s">
        <v>283</v>
      </c>
    </row>
    <row r="53" spans="1:4" ht="12.75">
      <c r="A53" t="s">
        <v>52</v>
      </c>
      <c r="B53" s="22">
        <f>C53+D53</f>
        <v>1</v>
      </c>
      <c r="C53" s="22">
        <v>1</v>
      </c>
      <c r="D53" s="22">
        <v>0</v>
      </c>
    </row>
    <row r="54" spans="1:4" ht="12.75">
      <c r="A54" t="s">
        <v>79</v>
      </c>
      <c r="B54" s="22">
        <f>C54+D54</f>
        <v>1</v>
      </c>
      <c r="C54" s="22">
        <v>1</v>
      </c>
      <c r="D54" s="22"/>
    </row>
    <row r="55" spans="1:4" ht="12.75">
      <c r="A55" t="s">
        <v>80</v>
      </c>
      <c r="B55" s="22">
        <v>1</v>
      </c>
      <c r="C55" s="22">
        <v>1</v>
      </c>
      <c r="D55" s="22"/>
    </row>
    <row r="56" spans="1:5" ht="12.75">
      <c r="A56" t="s">
        <v>81</v>
      </c>
      <c r="B56" s="22">
        <f>C56+D56</f>
        <v>0</v>
      </c>
      <c r="C56" s="22"/>
      <c r="D56" s="22"/>
      <c r="E56" t="s">
        <v>285</v>
      </c>
    </row>
    <row r="57" spans="1:5" ht="12.75">
      <c r="A57" s="20" t="s">
        <v>83</v>
      </c>
      <c r="B57" s="22">
        <f>C57+D57</f>
        <v>2</v>
      </c>
      <c r="C57" s="22">
        <v>1</v>
      </c>
      <c r="D57" s="22">
        <v>1</v>
      </c>
      <c r="E57" t="s">
        <v>280</v>
      </c>
    </row>
    <row r="58" spans="1:5" ht="12.75">
      <c r="A58" s="20" t="s">
        <v>84</v>
      </c>
      <c r="B58" s="22">
        <f>C58+D58</f>
        <v>2</v>
      </c>
      <c r="C58" s="22">
        <v>1</v>
      </c>
      <c r="D58" s="22">
        <v>1</v>
      </c>
      <c r="E58" t="s">
        <v>280</v>
      </c>
    </row>
    <row r="59" spans="1:3" ht="12.75">
      <c r="A59" t="s">
        <v>82</v>
      </c>
      <c r="B59" s="22">
        <v>1</v>
      </c>
      <c r="C59" t="s">
        <v>281</v>
      </c>
    </row>
    <row r="60" spans="1:3" ht="12.75">
      <c r="A60" t="s">
        <v>89</v>
      </c>
      <c r="B60" s="22">
        <v>1</v>
      </c>
      <c r="C60" t="s">
        <v>279</v>
      </c>
    </row>
    <row r="61" spans="1:3" ht="12.75">
      <c r="A61" t="s">
        <v>85</v>
      </c>
      <c r="B61" s="22">
        <v>2</v>
      </c>
      <c r="C61" t="s">
        <v>166</v>
      </c>
    </row>
    <row r="62" spans="1:2" ht="12.75">
      <c r="A62" t="s">
        <v>87</v>
      </c>
      <c r="B62" s="226">
        <v>0.15</v>
      </c>
    </row>
    <row r="66" ht="12.75">
      <c r="A66" s="20"/>
    </row>
    <row r="67" spans="1:2" ht="12.75">
      <c r="A67" s="193"/>
      <c r="B67" s="20"/>
    </row>
    <row r="68" spans="1:2" ht="12.75">
      <c r="A68" s="20"/>
      <c r="B68" s="20"/>
    </row>
    <row r="69" spans="1:2" ht="12.75">
      <c r="A69" s="20"/>
      <c r="B69" s="20"/>
    </row>
    <row r="70" spans="1:2" ht="12.75">
      <c r="A70" s="20"/>
      <c r="B70" s="20"/>
    </row>
    <row r="71" spans="1:2" ht="12.75">
      <c r="A71" s="20"/>
      <c r="B71" s="20"/>
    </row>
    <row r="72" spans="1:2" ht="12.75">
      <c r="A72" s="20"/>
      <c r="B72" s="20"/>
    </row>
    <row r="73" spans="1:2" ht="12.75">
      <c r="A73" s="20"/>
      <c r="B73" s="20"/>
    </row>
    <row r="74" spans="1:2" ht="12.75">
      <c r="A74" s="20"/>
      <c r="B74" s="20"/>
    </row>
    <row r="75" spans="1:2" ht="12.75">
      <c r="A75" s="20"/>
      <c r="B75" s="20"/>
    </row>
    <row r="76" spans="1:2" ht="12.75">
      <c r="A76" s="20"/>
      <c r="B76" s="20"/>
    </row>
    <row r="77" spans="1:2" ht="12.75">
      <c r="A77" s="20"/>
      <c r="B77" s="20"/>
    </row>
    <row r="78" spans="1:2" ht="12.75">
      <c r="A78" s="20"/>
      <c r="B78" s="20"/>
    </row>
    <row r="79" spans="1:2" ht="12.75">
      <c r="A79" s="20"/>
      <c r="B79" s="20"/>
    </row>
  </sheetData>
  <mergeCells count="14">
    <mergeCell ref="H26:I26"/>
    <mergeCell ref="E8:F8"/>
    <mergeCell ref="A6:F7"/>
    <mergeCell ref="G6:Q6"/>
    <mergeCell ref="N7:O7"/>
    <mergeCell ref="P7:Q7"/>
    <mergeCell ref="H7:I7"/>
    <mergeCell ref="J7:K7"/>
    <mergeCell ref="L7:M7"/>
    <mergeCell ref="K38:L38"/>
    <mergeCell ref="M38:N38"/>
    <mergeCell ref="J26:K26"/>
    <mergeCell ref="L26:M26"/>
    <mergeCell ref="N26:O26"/>
  </mergeCells>
  <printOptions/>
  <pageMargins left="0.75" right="0.75" top="1.5" bottom="1" header="0.5" footer="0.5"/>
  <pageSetup fitToHeight="2" horizontalDpi="300" verticalDpi="300" orientation="landscape" scale="90" r:id="rId1"/>
  <headerFooter alignWithMargins="0">
    <oddHeader xml:space="preserve">&amp;C&amp;"Arial,Bold"&amp;14NCSX Fabrication Project Cost and Schedule  </oddHeader>
    <oddFooter>&amp;C&amp;"Arial,Bold"&amp;P</oddFooter>
  </headerFooter>
  <rowBreaks count="2" manualBreakCount="2">
    <brk id="25" max="16" man="1"/>
    <brk id="44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333"/>
  <sheetViews>
    <sheetView view="pageBreakPreview" zoomScale="60" workbookViewId="0" topLeftCell="A1">
      <selection activeCell="A1" sqref="A1:Q26"/>
    </sheetView>
  </sheetViews>
  <sheetFormatPr defaultColWidth="9.140625" defaultRowHeight="12.75"/>
  <cols>
    <col min="1" max="1" width="29.57421875" style="0" customWidth="1"/>
    <col min="2" max="2" width="8.7109375" style="0" customWidth="1"/>
    <col min="4" max="4" width="7.140625" style="0" customWidth="1"/>
    <col min="5" max="5" width="6.28125" style="0" customWidth="1"/>
    <col min="6" max="6" width="2.28125" style="0" customWidth="1"/>
    <col min="7" max="7" width="6.7109375" style="0" customWidth="1"/>
    <col min="8" max="8" width="5.7109375" style="0" customWidth="1"/>
    <col min="9" max="9" width="5.00390625" style="0" customWidth="1"/>
    <col min="10" max="10" width="5.7109375" style="0" customWidth="1"/>
    <col min="11" max="11" width="5.00390625" style="0" customWidth="1"/>
    <col min="12" max="12" width="5.7109375" style="0" customWidth="1"/>
    <col min="13" max="13" width="4.7109375" style="0" customWidth="1"/>
    <col min="14" max="14" width="5.7109375" style="0" customWidth="1"/>
    <col min="15" max="15" width="5.140625" style="0" customWidth="1"/>
    <col min="16" max="16" width="5.7109375" style="0" customWidth="1"/>
    <col min="17" max="17" width="5.140625" style="0" customWidth="1"/>
    <col min="18" max="19" width="5.7109375" style="0" customWidth="1"/>
  </cols>
  <sheetData>
    <row r="1" ht="20.25">
      <c r="A1" s="63" t="str">
        <f>'Fab Project'!A1</f>
        <v>WBS 131 TF Coils</v>
      </c>
    </row>
    <row r="3" spans="1:17" ht="18.75" thickBot="1">
      <c r="A3" s="72" t="s">
        <v>97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ht="12.75">
      <c r="A4" s="1"/>
    </row>
    <row r="5" ht="12.75">
      <c r="A5" s="1" t="s">
        <v>70</v>
      </c>
    </row>
    <row r="6" spans="1:5" ht="21.75" customHeight="1">
      <c r="A6" s="264" t="s">
        <v>177</v>
      </c>
      <c r="B6" s="264"/>
      <c r="C6" s="264"/>
      <c r="D6" s="264"/>
      <c r="E6" s="264"/>
    </row>
    <row r="7" spans="1:5" ht="9.75" customHeight="1">
      <c r="A7" s="264"/>
      <c r="B7" s="264"/>
      <c r="C7" s="264"/>
      <c r="D7" s="264"/>
      <c r="E7" s="264"/>
    </row>
    <row r="8" spans="1:27" ht="12.75">
      <c r="A8" s="13" t="s">
        <v>98</v>
      </c>
      <c r="B8" s="38"/>
      <c r="C8" s="26"/>
      <c r="D8" s="26"/>
      <c r="E8" s="26"/>
      <c r="F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120"/>
    </row>
    <row r="9" spans="6:20" ht="12.75">
      <c r="F9" s="264"/>
      <c r="G9" s="264"/>
      <c r="P9" s="26"/>
      <c r="Q9" s="26"/>
      <c r="R9" s="26"/>
      <c r="S9" s="26"/>
      <c r="T9" s="120"/>
    </row>
    <row r="10" spans="1:19" ht="12.75">
      <c r="A10" s="1" t="s">
        <v>15</v>
      </c>
      <c r="B10" s="49"/>
      <c r="C10" s="47"/>
      <c r="F10" s="24"/>
      <c r="G10" s="24"/>
      <c r="P10" s="38"/>
      <c r="Q10" s="38"/>
      <c r="R10" s="38"/>
      <c r="S10" s="38"/>
    </row>
    <row r="11" spans="1:19" ht="12.75">
      <c r="A11" s="14" t="s">
        <v>172</v>
      </c>
      <c r="B11" s="279">
        <f>H120</f>
        <v>0</v>
      </c>
      <c r="C11" s="279"/>
      <c r="F11" s="24"/>
      <c r="G11" s="24"/>
      <c r="P11" s="38"/>
      <c r="Q11" s="38"/>
      <c r="R11" s="38"/>
      <c r="S11" s="38"/>
    </row>
    <row r="12" spans="1:19" ht="12.75">
      <c r="A12" s="14"/>
      <c r="B12" s="49"/>
      <c r="C12" s="47"/>
      <c r="F12" s="24"/>
      <c r="G12" s="24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1:19" ht="12.75">
      <c r="A13" s="27" t="s">
        <v>69</v>
      </c>
      <c r="B13" s="279">
        <f>ROUND(SUM(B11:B12),-1)</f>
        <v>0</v>
      </c>
      <c r="C13" s="279"/>
      <c r="D13" s="251" t="s">
        <v>114</v>
      </c>
      <c r="E13" s="251"/>
      <c r="F13" s="24"/>
      <c r="G13" s="24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2:19" ht="12.75">
      <c r="B14" s="48"/>
      <c r="C14" s="42"/>
      <c r="F14" s="24"/>
      <c r="G14" s="24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pans="1:19" ht="12.75">
      <c r="A15" s="1" t="s">
        <v>14</v>
      </c>
      <c r="B15" s="42"/>
      <c r="C15" s="42"/>
      <c r="F15" s="264"/>
      <c r="G15" s="264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19" ht="12.75">
      <c r="A16" s="14" t="s">
        <v>171</v>
      </c>
      <c r="B16" s="279">
        <v>0</v>
      </c>
      <c r="C16" s="279"/>
      <c r="F16" s="24"/>
      <c r="G16" s="24"/>
      <c r="H16" s="61"/>
      <c r="I16" s="38"/>
      <c r="J16" s="121"/>
      <c r="K16" s="38"/>
      <c r="L16" s="38"/>
      <c r="M16" s="38"/>
      <c r="N16" s="38"/>
      <c r="O16" s="38"/>
      <c r="P16" s="38"/>
      <c r="Q16" s="38"/>
      <c r="R16" s="38"/>
      <c r="S16" s="38"/>
    </row>
    <row r="17" spans="1:19" ht="12.75">
      <c r="A17" s="14"/>
      <c r="B17" s="49"/>
      <c r="C17" s="42"/>
      <c r="F17" s="24"/>
      <c r="G17" s="24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1:19" ht="12.75">
      <c r="A18" s="27" t="s">
        <v>69</v>
      </c>
      <c r="B18" s="279">
        <f>ROUND(SUM(B16:B17),-1)</f>
        <v>0</v>
      </c>
      <c r="C18" s="279"/>
      <c r="D18" t="s">
        <v>114</v>
      </c>
      <c r="F18" s="24"/>
      <c r="G18" s="24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1:19" ht="12.75">
      <c r="A19" s="27"/>
      <c r="B19" s="49"/>
      <c r="F19" s="24"/>
      <c r="G19" s="24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1:19" ht="12.75">
      <c r="A20" s="27"/>
      <c r="B20" s="49"/>
      <c r="F20" s="24"/>
      <c r="G20" s="24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 ht="12.75">
      <c r="A21" s="13" t="s">
        <v>161</v>
      </c>
      <c r="B21" s="26"/>
      <c r="C21" s="26"/>
      <c r="D21" s="26"/>
      <c r="E21" s="26"/>
      <c r="F21" s="26"/>
      <c r="G21" s="26"/>
      <c r="H21" s="26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ht="12.75">
      <c r="A22" s="61" t="s">
        <v>158</v>
      </c>
      <c r="B22" s="48">
        <f>'M&amp;S'!B14</f>
        <v>130</v>
      </c>
      <c r="C22" t="s">
        <v>106</v>
      </c>
      <c r="D22" s="26"/>
      <c r="H22" s="26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 ht="12.75">
      <c r="A23" s="14" t="s">
        <v>112</v>
      </c>
      <c r="B23" s="48">
        <f>'M&amp;S'!B15</f>
        <v>60</v>
      </c>
      <c r="C23" t="s">
        <v>106</v>
      </c>
      <c r="D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ht="12.75">
      <c r="A24" s="14" t="s">
        <v>113</v>
      </c>
      <c r="B24" s="48">
        <f>'M&amp;S'!B16</f>
        <v>60</v>
      </c>
      <c r="C24" t="s">
        <v>106</v>
      </c>
      <c r="D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1:19" ht="12.75">
      <c r="A25" s="27"/>
      <c r="B25" s="49"/>
      <c r="F25" s="24"/>
      <c r="G25" s="24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1:19" ht="12.75">
      <c r="A26" s="14"/>
      <c r="B26" s="49"/>
      <c r="F26" s="24"/>
      <c r="G26" s="24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:19" ht="12.75">
      <c r="A27" s="14"/>
      <c r="B27" s="49"/>
      <c r="F27" s="24"/>
      <c r="G27" s="24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19" ht="12.75">
      <c r="A28" s="14"/>
      <c r="F28" s="24"/>
      <c r="G28" s="24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19" ht="12.75">
      <c r="A29" s="14"/>
      <c r="B29" s="49"/>
      <c r="F29" s="24"/>
      <c r="G29" s="24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6:7" ht="12.75">
      <c r="F30" s="264"/>
      <c r="G30" s="264"/>
    </row>
    <row r="31" spans="6:17" ht="12.75"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</row>
    <row r="32" spans="1:17" ht="20.25" customHeight="1">
      <c r="A32" s="1"/>
      <c r="B32" s="11"/>
      <c r="C32" s="24"/>
      <c r="D32" s="24"/>
      <c r="E32" s="24"/>
      <c r="G32" s="246"/>
      <c r="H32" s="245"/>
      <c r="I32" s="245"/>
      <c r="J32" s="245"/>
      <c r="K32" s="245"/>
      <c r="L32" s="245"/>
      <c r="M32" s="245"/>
      <c r="N32" s="245"/>
      <c r="O32" s="245"/>
      <c r="P32" s="245"/>
      <c r="Q32" s="245"/>
    </row>
    <row r="33" spans="1:17" ht="12.75">
      <c r="A33" s="10"/>
      <c r="C33" s="25"/>
      <c r="D33" s="25"/>
      <c r="E33" s="263"/>
      <c r="F33" s="263"/>
      <c r="G33" s="246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ht="12.75">
      <c r="A34" s="1"/>
    </row>
    <row r="35" spans="2:17" ht="12.75">
      <c r="B35" s="23"/>
      <c r="C35" s="22"/>
      <c r="D35" s="26"/>
      <c r="E35" s="36"/>
      <c r="F35" s="36"/>
      <c r="G35" s="30"/>
      <c r="H35" s="32"/>
      <c r="I35" s="31"/>
      <c r="J35" s="32"/>
      <c r="K35" s="31"/>
      <c r="L35" s="32"/>
      <c r="M35" s="31"/>
      <c r="N35" s="32"/>
      <c r="O35" s="31"/>
      <c r="P35" s="32"/>
      <c r="Q35" s="31"/>
    </row>
    <row r="36" spans="2:17" ht="12.75">
      <c r="B36" s="23"/>
      <c r="C36" s="22"/>
      <c r="D36" s="26"/>
      <c r="E36" s="36"/>
      <c r="F36" s="36"/>
      <c r="G36" s="30"/>
      <c r="H36" s="32"/>
      <c r="I36" s="31"/>
      <c r="J36" s="32"/>
      <c r="K36" s="31"/>
      <c r="L36" s="32"/>
      <c r="M36" s="31"/>
      <c r="N36" s="32"/>
      <c r="O36" s="31"/>
      <c r="P36" s="32"/>
      <c r="Q36" s="31"/>
    </row>
    <row r="37" spans="2:17" ht="12.75">
      <c r="B37" s="23"/>
      <c r="C37" s="22"/>
      <c r="D37" s="26"/>
      <c r="E37" s="36"/>
      <c r="F37" s="36"/>
      <c r="G37" s="30"/>
      <c r="H37" s="32"/>
      <c r="I37" s="31"/>
      <c r="J37" s="32"/>
      <c r="K37" s="31"/>
      <c r="L37" s="32"/>
      <c r="M37" s="31"/>
      <c r="N37" s="32"/>
      <c r="O37" s="31"/>
      <c r="P37" s="32"/>
      <c r="Q37" s="31"/>
    </row>
    <row r="38" spans="2:17" ht="12.75">
      <c r="B38" s="23"/>
      <c r="C38" s="22"/>
      <c r="D38" s="26"/>
      <c r="E38" s="36"/>
      <c r="F38" s="36"/>
      <c r="G38" s="30"/>
      <c r="H38" s="32"/>
      <c r="I38" s="31"/>
      <c r="J38" s="32"/>
      <c r="K38" s="31"/>
      <c r="L38" s="32"/>
      <c r="M38" s="31"/>
      <c r="N38" s="32"/>
      <c r="O38" s="31"/>
      <c r="P38" s="32"/>
      <c r="Q38" s="31"/>
    </row>
    <row r="39" spans="2:17" ht="12.75">
      <c r="B39" s="23"/>
      <c r="C39" s="22"/>
      <c r="D39" s="26"/>
      <c r="E39" s="36"/>
      <c r="F39" s="36"/>
      <c r="G39" s="30"/>
      <c r="H39" s="32"/>
      <c r="I39" s="31"/>
      <c r="J39" s="32"/>
      <c r="K39" s="31"/>
      <c r="L39" s="32"/>
      <c r="M39" s="31"/>
      <c r="N39" s="32"/>
      <c r="O39" s="31"/>
      <c r="P39" s="32"/>
      <c r="Q39" s="31"/>
    </row>
    <row r="40" spans="2:17" ht="12.75">
      <c r="B40" s="23"/>
      <c r="C40" s="22"/>
      <c r="D40" s="26"/>
      <c r="E40" s="36"/>
      <c r="F40" s="36"/>
      <c r="G40" s="30"/>
      <c r="H40" s="32"/>
      <c r="I40" s="31"/>
      <c r="J40" s="32"/>
      <c r="K40" s="31"/>
      <c r="L40" s="32"/>
      <c r="M40" s="31"/>
      <c r="N40" s="32"/>
      <c r="O40" s="31"/>
      <c r="P40" s="32"/>
      <c r="Q40" s="31"/>
    </row>
    <row r="41" spans="2:17" ht="12.75">
      <c r="B41" s="23"/>
      <c r="C41" s="22"/>
      <c r="D41" s="26"/>
      <c r="E41" s="36"/>
      <c r="F41" s="36"/>
      <c r="G41" s="30"/>
      <c r="H41" s="32"/>
      <c r="I41" s="31"/>
      <c r="J41" s="32"/>
      <c r="K41" s="31"/>
      <c r="L41" s="32"/>
      <c r="M41" s="31"/>
      <c r="N41" s="32"/>
      <c r="O41" s="31"/>
      <c r="P41" s="32"/>
      <c r="Q41" s="31"/>
    </row>
    <row r="42" spans="2:17" ht="12.75">
      <c r="B42" s="23"/>
      <c r="C42" s="22"/>
      <c r="D42" s="26"/>
      <c r="E42" s="36"/>
      <c r="F42" s="36"/>
      <c r="G42" s="30"/>
      <c r="H42" s="32"/>
      <c r="I42" s="31"/>
      <c r="J42" s="32"/>
      <c r="K42" s="31"/>
      <c r="L42" s="32"/>
      <c r="M42" s="31"/>
      <c r="N42" s="32"/>
      <c r="O42" s="31"/>
      <c r="P42" s="32"/>
      <c r="Q42" s="31"/>
    </row>
    <row r="43" spans="2:17" ht="12.75">
      <c r="B43" s="23"/>
      <c r="C43" s="22"/>
      <c r="D43" s="26"/>
      <c r="E43" s="36"/>
      <c r="F43" s="36"/>
      <c r="G43" s="30"/>
      <c r="H43" s="32"/>
      <c r="I43" s="31"/>
      <c r="J43" s="32"/>
      <c r="K43" s="31"/>
      <c r="L43" s="32"/>
      <c r="M43" s="31"/>
      <c r="N43" s="32"/>
      <c r="O43" s="31"/>
      <c r="P43" s="32"/>
      <c r="Q43" s="31"/>
    </row>
    <row r="44" spans="2:17" ht="12.75">
      <c r="B44" s="23"/>
      <c r="C44" s="22"/>
      <c r="D44" s="26"/>
      <c r="E44" s="36"/>
      <c r="F44" s="36"/>
      <c r="G44" s="30"/>
      <c r="H44" s="32"/>
      <c r="I44" s="31"/>
      <c r="J44" s="32"/>
      <c r="K44" s="31"/>
      <c r="L44" s="32"/>
      <c r="M44" s="31"/>
      <c r="N44" s="32"/>
      <c r="O44" s="31"/>
      <c r="P44" s="32"/>
      <c r="Q44" s="31"/>
    </row>
    <row r="45" spans="2:17" ht="12.75">
      <c r="B45" s="23"/>
      <c r="C45" s="22"/>
      <c r="D45" s="26"/>
      <c r="E45" s="36"/>
      <c r="F45" s="36"/>
      <c r="G45" s="30"/>
      <c r="H45" s="32"/>
      <c r="I45" s="31"/>
      <c r="J45" s="32"/>
      <c r="K45" s="31"/>
      <c r="L45" s="32"/>
      <c r="M45" s="31"/>
      <c r="N45" s="32"/>
      <c r="O45" s="31"/>
      <c r="P45" s="32"/>
      <c r="Q45" s="31"/>
    </row>
    <row r="46" spans="2:17" ht="12.75">
      <c r="B46" s="28"/>
      <c r="C46" s="22"/>
      <c r="D46" s="114"/>
      <c r="E46" s="36"/>
      <c r="F46" s="36"/>
      <c r="G46" s="30"/>
      <c r="H46" s="32"/>
      <c r="I46" s="31"/>
      <c r="J46" s="32"/>
      <c r="K46" s="31"/>
      <c r="L46" s="32"/>
      <c r="M46" s="31"/>
      <c r="N46" s="32"/>
      <c r="O46" s="31"/>
      <c r="P46" s="32"/>
      <c r="Q46" s="31"/>
    </row>
    <row r="47" spans="2:17" ht="12.75">
      <c r="B47" s="23"/>
      <c r="C47" s="22"/>
      <c r="D47" s="26"/>
      <c r="E47" s="36"/>
      <c r="F47" s="36"/>
      <c r="G47" s="30"/>
      <c r="H47" s="32"/>
      <c r="I47" s="31"/>
      <c r="J47" s="32"/>
      <c r="K47" s="31"/>
      <c r="L47" s="32"/>
      <c r="M47" s="31"/>
      <c r="N47" s="32"/>
      <c r="O47" s="31"/>
      <c r="P47" s="32"/>
      <c r="Q47" s="31"/>
    </row>
    <row r="48" spans="2:17" ht="12.75">
      <c r="B48" s="28"/>
      <c r="C48" s="22"/>
      <c r="D48" s="114"/>
      <c r="E48" s="36"/>
      <c r="F48" s="36"/>
      <c r="G48" s="30"/>
      <c r="H48" s="32"/>
      <c r="I48" s="31"/>
      <c r="J48" s="32"/>
      <c r="K48" s="31"/>
      <c r="L48" s="32"/>
      <c r="M48" s="31"/>
      <c r="N48" s="32"/>
      <c r="O48" s="31"/>
      <c r="P48" s="32"/>
      <c r="Q48" s="31"/>
    </row>
    <row r="49" spans="5:6" ht="12.75">
      <c r="E49" s="36"/>
      <c r="F49" s="36"/>
    </row>
    <row r="50" spans="1:17" ht="12.75">
      <c r="A50" s="2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</row>
    <row r="51" spans="1:19" ht="12.75">
      <c r="A51" s="27"/>
      <c r="E51" s="37"/>
      <c r="F51" s="37"/>
      <c r="I51" s="27"/>
      <c r="K51" s="27"/>
      <c r="M51" s="27"/>
      <c r="O51" s="27"/>
      <c r="Q51" s="27"/>
      <c r="S51" s="27"/>
    </row>
    <row r="52" spans="1:19" ht="24" customHeight="1">
      <c r="A52" s="27"/>
      <c r="E52" s="37"/>
      <c r="F52" s="243"/>
      <c r="G52" s="243"/>
      <c r="H52" s="262"/>
      <c r="I52" s="262"/>
      <c r="J52" s="262"/>
      <c r="K52" s="262"/>
      <c r="L52" s="262"/>
      <c r="M52" s="262"/>
      <c r="N52" s="262"/>
      <c r="O52" s="262"/>
      <c r="P52" s="242"/>
      <c r="Q52" s="242"/>
      <c r="R52" s="242"/>
      <c r="S52" s="242"/>
    </row>
    <row r="53" spans="1:19" ht="12.75">
      <c r="A53" s="27"/>
      <c r="E53" s="37"/>
      <c r="F53" s="243"/>
      <c r="G53" s="243"/>
      <c r="H53" s="22"/>
      <c r="I53" s="22"/>
      <c r="J53" s="22"/>
      <c r="K53" s="22"/>
      <c r="L53" s="22"/>
      <c r="M53" s="22"/>
      <c r="N53" s="22"/>
      <c r="O53" s="22"/>
      <c r="P53" s="22"/>
      <c r="Q53" s="22"/>
      <c r="S53" s="27"/>
    </row>
    <row r="54" ht="12.75">
      <c r="A54" s="1"/>
    </row>
    <row r="55" spans="1:19" ht="12.75">
      <c r="A55" s="20"/>
      <c r="B55" s="50"/>
      <c r="C55" s="22"/>
      <c r="D55" s="26"/>
      <c r="G55" s="30"/>
      <c r="H55" s="32"/>
      <c r="I55" s="31"/>
      <c r="J55" s="32"/>
      <c r="K55" s="31"/>
      <c r="L55" s="32"/>
      <c r="M55" s="31"/>
      <c r="N55" s="32"/>
      <c r="O55" s="31"/>
      <c r="P55" s="32"/>
      <c r="Q55" s="31"/>
      <c r="R55" s="32"/>
      <c r="S55" s="31"/>
    </row>
    <row r="56" spans="1:19" ht="12.75">
      <c r="A56" s="20"/>
      <c r="B56" s="23"/>
      <c r="C56" s="22"/>
      <c r="D56" s="26"/>
      <c r="G56" s="30"/>
      <c r="H56" s="32"/>
      <c r="I56" s="31"/>
      <c r="J56" s="32"/>
      <c r="K56" s="31"/>
      <c r="L56" s="32"/>
      <c r="M56" s="31"/>
      <c r="N56" s="32"/>
      <c r="O56" s="31"/>
      <c r="P56" s="32"/>
      <c r="Q56" s="31"/>
      <c r="R56" s="32"/>
      <c r="S56" s="31"/>
    </row>
    <row r="57" spans="1:19" ht="12.75">
      <c r="A57" s="20"/>
      <c r="B57" s="23"/>
      <c r="C57" s="22"/>
      <c r="D57" s="26"/>
      <c r="G57" s="30"/>
      <c r="H57" s="32"/>
      <c r="I57" s="31"/>
      <c r="J57" s="32"/>
      <c r="K57" s="31"/>
      <c r="L57" s="32"/>
      <c r="M57" s="31"/>
      <c r="N57" s="32"/>
      <c r="O57" s="31"/>
      <c r="P57" s="32"/>
      <c r="Q57" s="31"/>
      <c r="R57" s="32"/>
      <c r="S57" s="31"/>
    </row>
    <row r="58" spans="1:19" ht="12.75">
      <c r="A58" s="20"/>
      <c r="B58" s="50"/>
      <c r="C58" s="22"/>
      <c r="D58" s="26"/>
      <c r="G58" s="30"/>
      <c r="H58" s="32"/>
      <c r="I58" s="31"/>
      <c r="J58" s="32"/>
      <c r="K58" s="31"/>
      <c r="L58" s="32"/>
      <c r="M58" s="31"/>
      <c r="N58" s="32"/>
      <c r="O58" s="31"/>
      <c r="P58" s="32"/>
      <c r="Q58" s="31"/>
      <c r="R58" s="32"/>
      <c r="S58" s="31"/>
    </row>
    <row r="59" spans="1:19" ht="12.75">
      <c r="A59" s="2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S59" s="27"/>
    </row>
    <row r="62" spans="1:4" ht="12.75">
      <c r="A62" s="1"/>
      <c r="B62" s="25"/>
      <c r="C62" s="3"/>
      <c r="D62" s="25"/>
    </row>
    <row r="63" spans="2:4" ht="12.75">
      <c r="B63" s="33"/>
      <c r="C63" s="23"/>
      <c r="D63" s="34"/>
    </row>
    <row r="64" spans="2:4" ht="12.75">
      <c r="B64" s="34"/>
      <c r="C64" s="23"/>
      <c r="D64" s="34"/>
    </row>
    <row r="65" spans="2:4" ht="12.75">
      <c r="B65" s="34"/>
      <c r="C65" s="23"/>
      <c r="D65" s="35"/>
    </row>
    <row r="66" spans="2:4" ht="12.75">
      <c r="B66" s="34"/>
      <c r="C66" s="23"/>
      <c r="D66" s="34"/>
    </row>
    <row r="67" spans="2:4" ht="12.75">
      <c r="B67" s="34"/>
      <c r="C67" s="23"/>
      <c r="D67" s="35"/>
    </row>
    <row r="71" ht="12.75">
      <c r="A71" s="1"/>
    </row>
    <row r="73" ht="12.75">
      <c r="A73" s="1"/>
    </row>
    <row r="88" ht="12.75">
      <c r="B88" s="29"/>
    </row>
    <row r="91" ht="12.75">
      <c r="A91" s="1"/>
    </row>
    <row r="92" ht="12.75">
      <c r="A92" s="1"/>
    </row>
    <row r="94" spans="2:20" ht="25.5" customHeight="1">
      <c r="B94" s="263"/>
      <c r="C94" s="263"/>
      <c r="D94" s="5"/>
      <c r="E94" s="244"/>
      <c r="F94" s="244"/>
      <c r="G94" s="244"/>
      <c r="H94" s="263"/>
      <c r="I94" s="263"/>
      <c r="J94" s="263"/>
      <c r="K94" s="263"/>
      <c r="L94" s="263"/>
      <c r="M94" s="263"/>
      <c r="S94" s="149"/>
      <c r="T94" s="138"/>
    </row>
    <row r="95" spans="2:20" ht="25.5" customHeight="1">
      <c r="B95" s="263"/>
      <c r="C95" s="263"/>
      <c r="D95" s="189"/>
      <c r="E95" s="244"/>
      <c r="F95" s="244"/>
      <c r="G95" s="244"/>
      <c r="H95" s="263"/>
      <c r="I95" s="263"/>
      <c r="J95" s="263"/>
      <c r="K95" s="263"/>
      <c r="L95" s="263"/>
      <c r="M95" s="263"/>
      <c r="S95" s="149"/>
      <c r="T95" s="138"/>
    </row>
    <row r="96" spans="2:20" ht="12.75">
      <c r="B96" s="263"/>
      <c r="C96" s="263"/>
      <c r="D96" s="190"/>
      <c r="E96" s="244"/>
      <c r="F96" s="244"/>
      <c r="G96" s="244"/>
      <c r="H96" s="263"/>
      <c r="I96" s="263"/>
      <c r="J96" s="20"/>
      <c r="L96" s="20"/>
      <c r="S96" s="150"/>
      <c r="T96" s="142"/>
    </row>
    <row r="97" spans="2:13" ht="12.75">
      <c r="B97" s="247"/>
      <c r="C97" s="262"/>
      <c r="D97" s="191"/>
      <c r="E97" s="249"/>
      <c r="F97" s="249"/>
      <c r="G97" s="249"/>
      <c r="H97" s="249"/>
      <c r="I97" s="249"/>
      <c r="J97" s="249"/>
      <c r="K97" s="249"/>
      <c r="L97" s="249"/>
      <c r="M97" s="249"/>
    </row>
    <row r="98" spans="2:12" ht="12.75">
      <c r="B98" s="247"/>
      <c r="C98" s="262"/>
      <c r="D98" s="191"/>
      <c r="E98" s="244"/>
      <c r="F98" s="244"/>
      <c r="G98" s="244"/>
      <c r="H98" s="263"/>
      <c r="I98" s="263"/>
      <c r="J98" s="141"/>
      <c r="L98" s="141"/>
    </row>
    <row r="99" spans="1:12" ht="12.75">
      <c r="A99" s="46"/>
      <c r="B99" s="262"/>
      <c r="C99" s="262"/>
      <c r="D99" s="192"/>
      <c r="E99" s="244"/>
      <c r="F99" s="244"/>
      <c r="G99" s="244"/>
      <c r="H99" s="263"/>
      <c r="I99" s="263"/>
      <c r="J99" s="140"/>
      <c r="L99" s="139"/>
    </row>
    <row r="100" spans="2:13" ht="12.75">
      <c r="B100" s="262"/>
      <c r="C100" s="262"/>
      <c r="D100" s="190"/>
      <c r="E100" s="248"/>
      <c r="F100" s="248"/>
      <c r="G100" s="248"/>
      <c r="H100" s="252"/>
      <c r="I100" s="252"/>
      <c r="J100" s="234"/>
      <c r="K100" s="234"/>
      <c r="L100" s="234"/>
      <c r="M100" s="234"/>
    </row>
    <row r="101" spans="2:12" ht="12.75">
      <c r="B101" s="263"/>
      <c r="C101" s="263"/>
      <c r="D101" s="190"/>
      <c r="E101" s="244"/>
      <c r="F101" s="244"/>
      <c r="G101" s="244"/>
      <c r="H101" s="138"/>
      <c r="J101" s="142"/>
      <c r="L101" s="142"/>
    </row>
    <row r="102" spans="1:12" ht="12.75">
      <c r="A102" s="22"/>
      <c r="B102" s="263"/>
      <c r="C102" s="263"/>
      <c r="D102" s="190"/>
      <c r="E102" s="244"/>
      <c r="F102" s="244"/>
      <c r="G102" s="244"/>
      <c r="H102" s="138"/>
      <c r="J102" s="142"/>
      <c r="L102" s="142"/>
    </row>
    <row r="103" spans="4:7" ht="12.75">
      <c r="D103" s="52"/>
      <c r="E103" s="244"/>
      <c r="F103" s="244"/>
      <c r="G103" s="244"/>
    </row>
    <row r="104" spans="5:7" ht="12.75">
      <c r="E104" s="244"/>
      <c r="F104" s="244"/>
      <c r="G104" s="244"/>
    </row>
    <row r="105" spans="1:20" ht="12.75">
      <c r="A105" s="85"/>
      <c r="B105" s="85"/>
      <c r="C105" s="85"/>
      <c r="D105" s="85"/>
      <c r="E105" s="250"/>
      <c r="F105" s="250"/>
      <c r="G105" s="250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52"/>
      <c r="T105" s="52"/>
    </row>
    <row r="106" spans="1:20" ht="12.75">
      <c r="A106" s="85"/>
      <c r="B106" s="85"/>
      <c r="C106" s="85"/>
      <c r="D106" s="85"/>
      <c r="E106" s="250"/>
      <c r="F106" s="250"/>
      <c r="G106" s="250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52"/>
      <c r="T106" s="52"/>
    </row>
    <row r="107" spans="1:20" ht="12.75">
      <c r="A107" s="85"/>
      <c r="B107" s="143"/>
      <c r="C107" s="85"/>
      <c r="D107" s="85"/>
      <c r="E107" s="250"/>
      <c r="F107" s="250"/>
      <c r="G107" s="250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52"/>
      <c r="T107" s="52"/>
    </row>
    <row r="108" spans="1:20" ht="12.75">
      <c r="A108" s="85"/>
      <c r="B108" s="144"/>
      <c r="C108" s="85"/>
      <c r="D108" s="85"/>
      <c r="E108" s="250"/>
      <c r="F108" s="250"/>
      <c r="G108" s="250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52"/>
      <c r="T108" s="52"/>
    </row>
    <row r="109" spans="1:20" ht="12.75">
      <c r="A109" s="85"/>
      <c r="B109" s="85"/>
      <c r="C109" s="85"/>
      <c r="D109" s="85"/>
      <c r="E109" s="250"/>
      <c r="F109" s="250"/>
      <c r="G109" s="250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52"/>
      <c r="T109" s="52"/>
    </row>
    <row r="110" spans="1:20" ht="12.75">
      <c r="A110" s="85"/>
      <c r="B110" s="85"/>
      <c r="C110" s="85"/>
      <c r="D110" s="85"/>
      <c r="E110" s="250"/>
      <c r="F110" s="250"/>
      <c r="G110" s="250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52"/>
      <c r="T110" s="52"/>
    </row>
    <row r="111" spans="1:20" ht="12.75">
      <c r="A111" s="85"/>
      <c r="B111" s="85"/>
      <c r="C111" s="85"/>
      <c r="D111" s="85"/>
      <c r="E111" s="250"/>
      <c r="F111" s="250"/>
      <c r="G111" s="250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52"/>
      <c r="T111" s="52"/>
    </row>
    <row r="112" spans="1:20" ht="12.75">
      <c r="A112" s="85"/>
      <c r="B112" s="85"/>
      <c r="C112" s="85"/>
      <c r="D112" s="85"/>
      <c r="E112" s="250"/>
      <c r="F112" s="250"/>
      <c r="G112" s="250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52"/>
      <c r="T112" s="52"/>
    </row>
    <row r="113" spans="1:20" ht="12.75">
      <c r="A113" s="112"/>
      <c r="B113" s="85"/>
      <c r="C113" s="85"/>
      <c r="D113" s="85"/>
      <c r="E113" s="250"/>
      <c r="F113" s="250"/>
      <c r="G113" s="250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52"/>
      <c r="T113" s="52"/>
    </row>
    <row r="114" spans="1:20" ht="12.75">
      <c r="A114" s="85"/>
      <c r="B114" s="85"/>
      <c r="C114" s="85"/>
      <c r="D114" s="85"/>
      <c r="E114" s="250"/>
      <c r="F114" s="250"/>
      <c r="G114" s="250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52"/>
      <c r="T114" s="52"/>
    </row>
    <row r="115" spans="1:20" ht="18.75">
      <c r="A115" s="91"/>
      <c r="B115" s="106"/>
      <c r="C115" s="106"/>
      <c r="D115" s="152"/>
      <c r="E115" s="250"/>
      <c r="F115" s="250"/>
      <c r="G115" s="250"/>
      <c r="H115" s="153"/>
      <c r="I115" s="154"/>
      <c r="J115" s="105"/>
      <c r="K115" s="105"/>
      <c r="L115" s="106"/>
      <c r="M115" s="106"/>
      <c r="N115" s="106"/>
      <c r="O115" s="85"/>
      <c r="P115" s="85"/>
      <c r="Q115" s="85"/>
      <c r="R115" s="85"/>
      <c r="S115" s="52"/>
      <c r="T115" s="52"/>
    </row>
    <row r="116" spans="1:20" ht="12.75">
      <c r="A116" s="95"/>
      <c r="B116" s="112"/>
      <c r="C116" s="85"/>
      <c r="D116" s="96"/>
      <c r="E116" s="97"/>
      <c r="F116" s="98"/>
      <c r="G116" s="97"/>
      <c r="H116" s="99"/>
      <c r="I116" s="100"/>
      <c r="J116" s="101"/>
      <c r="K116" s="101"/>
      <c r="L116" s="85"/>
      <c r="M116" s="85"/>
      <c r="N116" s="85"/>
      <c r="O116" s="85"/>
      <c r="P116" s="85"/>
      <c r="Q116" s="85"/>
      <c r="R116" s="85"/>
      <c r="S116" s="52"/>
      <c r="T116" s="52"/>
    </row>
    <row r="117" spans="1:20" ht="12.75">
      <c r="A117" s="95"/>
      <c r="B117" s="112"/>
      <c r="C117" s="104"/>
      <c r="D117" s="237"/>
      <c r="E117" s="237"/>
      <c r="F117" s="237"/>
      <c r="G117" s="237"/>
      <c r="H117" s="236"/>
      <c r="I117" s="236"/>
      <c r="J117" s="236"/>
      <c r="K117" s="101"/>
      <c r="L117" s="101"/>
      <c r="M117" s="101"/>
      <c r="N117" s="101"/>
      <c r="O117" s="85"/>
      <c r="P117" s="85"/>
      <c r="Q117" s="85"/>
      <c r="R117" s="85"/>
      <c r="S117" s="52"/>
      <c r="T117" s="52"/>
    </row>
    <row r="118" spans="1:20" ht="12.75">
      <c r="A118" s="104"/>
      <c r="B118" s="104"/>
      <c r="C118" s="104"/>
      <c r="D118" s="237"/>
      <c r="E118" s="237"/>
      <c r="F118" s="237"/>
      <c r="G118" s="237"/>
      <c r="H118" s="236"/>
      <c r="I118" s="236"/>
      <c r="J118" s="236"/>
      <c r="K118" s="101"/>
      <c r="L118" s="101"/>
      <c r="M118" s="101"/>
      <c r="N118" s="101"/>
      <c r="O118" s="85"/>
      <c r="P118" s="85"/>
      <c r="Q118" s="85"/>
      <c r="R118" s="85"/>
      <c r="S118" s="52"/>
      <c r="T118" s="52"/>
    </row>
    <row r="119" spans="1:20" ht="12.75">
      <c r="A119" s="95"/>
      <c r="B119" s="112"/>
      <c r="C119" s="85"/>
      <c r="D119" s="96"/>
      <c r="E119" s="97"/>
      <c r="F119" s="98"/>
      <c r="G119" s="97"/>
      <c r="H119" s="99"/>
      <c r="I119" s="97"/>
      <c r="J119" s="101"/>
      <c r="K119" s="101"/>
      <c r="L119" s="101"/>
      <c r="M119" s="101"/>
      <c r="N119" s="101"/>
      <c r="O119" s="85"/>
      <c r="P119" s="85"/>
      <c r="Q119" s="85"/>
      <c r="R119" s="113"/>
      <c r="S119" s="52"/>
      <c r="T119" s="52"/>
    </row>
    <row r="120" spans="1:20" ht="12.75">
      <c r="A120" s="95"/>
      <c r="B120" s="91"/>
      <c r="C120" s="112"/>
      <c r="D120" s="155"/>
      <c r="E120" s="90"/>
      <c r="F120" s="156"/>
      <c r="G120" s="90"/>
      <c r="H120" s="239"/>
      <c r="I120" s="239"/>
      <c r="J120" s="239"/>
      <c r="K120" s="101"/>
      <c r="L120" s="101"/>
      <c r="M120" s="101"/>
      <c r="N120" s="101"/>
      <c r="O120" s="85"/>
      <c r="P120" s="85"/>
      <c r="Q120" s="85"/>
      <c r="R120" s="85"/>
      <c r="S120" s="52"/>
      <c r="T120" s="52"/>
    </row>
    <row r="121" spans="1:20" ht="12.75">
      <c r="A121" s="95"/>
      <c r="B121" s="112"/>
      <c r="C121" s="85"/>
      <c r="D121" s="155"/>
      <c r="E121" s="90"/>
      <c r="F121" s="156"/>
      <c r="G121" s="90"/>
      <c r="H121" s="99"/>
      <c r="I121" s="97"/>
      <c r="J121" s="101"/>
      <c r="K121" s="101"/>
      <c r="L121" s="101"/>
      <c r="M121" s="101"/>
      <c r="N121" s="101"/>
      <c r="O121" s="85"/>
      <c r="P121" s="85"/>
      <c r="Q121" s="85"/>
      <c r="R121" s="85"/>
      <c r="S121" s="52"/>
      <c r="T121" s="52"/>
    </row>
    <row r="122" spans="1:20" ht="12.75">
      <c r="A122" s="116"/>
      <c r="B122" s="85"/>
      <c r="C122" s="85"/>
      <c r="D122" s="96"/>
      <c r="E122" s="97"/>
      <c r="F122" s="98"/>
      <c r="G122" s="97"/>
      <c r="H122" s="99"/>
      <c r="I122" s="100"/>
      <c r="J122" s="101"/>
      <c r="K122" s="101"/>
      <c r="L122" s="101"/>
      <c r="M122" s="101"/>
      <c r="N122" s="101"/>
      <c r="O122" s="91"/>
      <c r="P122" s="85"/>
      <c r="Q122" s="92"/>
      <c r="R122" s="85"/>
      <c r="S122" s="52"/>
      <c r="T122" s="52"/>
    </row>
    <row r="123" spans="1:20" ht="12.75">
      <c r="A123" s="95"/>
      <c r="B123" s="116"/>
      <c r="C123" s="85"/>
      <c r="D123" s="96"/>
      <c r="E123" s="97"/>
      <c r="F123" s="98"/>
      <c r="G123" s="97"/>
      <c r="H123" s="99"/>
      <c r="I123" s="100"/>
      <c r="J123" s="101"/>
      <c r="K123" s="101"/>
      <c r="L123" s="101"/>
      <c r="M123" s="101"/>
      <c r="N123" s="101"/>
      <c r="O123" s="85"/>
      <c r="P123" s="85"/>
      <c r="Q123" s="85"/>
      <c r="R123" s="85"/>
      <c r="S123" s="52"/>
      <c r="T123" s="52"/>
    </row>
    <row r="124" spans="1:20" ht="12.75">
      <c r="A124" s="95"/>
      <c r="B124" s="116"/>
      <c r="C124" s="85"/>
      <c r="D124" s="96"/>
      <c r="E124" s="97"/>
      <c r="F124" s="98"/>
      <c r="G124" s="97"/>
      <c r="H124" s="99"/>
      <c r="I124" s="100"/>
      <c r="J124" s="101"/>
      <c r="K124" s="90"/>
      <c r="L124" s="91"/>
      <c r="M124" s="85"/>
      <c r="N124" s="92"/>
      <c r="O124" s="85"/>
      <c r="P124" s="85"/>
      <c r="Q124" s="85"/>
      <c r="R124" s="85"/>
      <c r="S124" s="52"/>
      <c r="T124" s="52"/>
    </row>
    <row r="125" spans="1:20" ht="12.75">
      <c r="A125" s="95"/>
      <c r="B125" s="116"/>
      <c r="C125" s="85"/>
      <c r="D125" s="96"/>
      <c r="E125" s="97"/>
      <c r="F125" s="98"/>
      <c r="G125" s="97"/>
      <c r="H125" s="99"/>
      <c r="I125" s="100"/>
      <c r="J125" s="101"/>
      <c r="K125" s="90"/>
      <c r="L125" s="91"/>
      <c r="M125" s="85"/>
      <c r="N125" s="92"/>
      <c r="O125" s="85"/>
      <c r="P125" s="85"/>
      <c r="Q125" s="85"/>
      <c r="R125" s="85"/>
      <c r="S125" s="52"/>
      <c r="T125" s="52"/>
    </row>
    <row r="126" spans="1:20" ht="12.75">
      <c r="A126" s="95"/>
      <c r="B126" s="116"/>
      <c r="C126" s="85"/>
      <c r="D126" s="96"/>
      <c r="E126" s="97"/>
      <c r="F126" s="98"/>
      <c r="G126" s="97"/>
      <c r="H126" s="99"/>
      <c r="I126" s="100"/>
      <c r="J126" s="101"/>
      <c r="K126" s="93"/>
      <c r="L126" s="85"/>
      <c r="M126" s="85"/>
      <c r="N126" s="85"/>
      <c r="O126" s="85"/>
      <c r="P126" s="85"/>
      <c r="Q126" s="85"/>
      <c r="R126" s="85"/>
      <c r="S126" s="52"/>
      <c r="T126" s="52"/>
    </row>
    <row r="127" spans="1:20" ht="12.75">
      <c r="A127" s="95"/>
      <c r="B127" s="112"/>
      <c r="C127" s="104"/>
      <c r="D127" s="237"/>
      <c r="E127" s="237"/>
      <c r="F127" s="237"/>
      <c r="G127" s="237"/>
      <c r="H127" s="236"/>
      <c r="I127" s="236"/>
      <c r="J127" s="274"/>
      <c r="K127" s="274"/>
      <c r="L127" s="274"/>
      <c r="M127" s="274"/>
      <c r="N127" s="274"/>
      <c r="O127" s="274"/>
      <c r="P127" s="85"/>
      <c r="Q127" s="85"/>
      <c r="R127" s="85"/>
      <c r="S127" s="52"/>
      <c r="T127" s="52"/>
    </row>
    <row r="128" spans="1:20" ht="12.75">
      <c r="A128" s="104"/>
      <c r="B128" s="104"/>
      <c r="C128" s="104"/>
      <c r="D128" s="237"/>
      <c r="E128" s="237"/>
      <c r="F128" s="237"/>
      <c r="G128" s="237"/>
      <c r="H128" s="236"/>
      <c r="I128" s="236"/>
      <c r="J128" s="274"/>
      <c r="K128" s="274"/>
      <c r="L128" s="274"/>
      <c r="M128" s="274"/>
      <c r="N128" s="274"/>
      <c r="O128" s="274"/>
      <c r="P128" s="85"/>
      <c r="Q128" s="85"/>
      <c r="R128" s="85"/>
      <c r="S128" s="52"/>
      <c r="T128" s="52"/>
    </row>
    <row r="129" spans="1:20" ht="12.75">
      <c r="A129" s="95"/>
      <c r="B129" s="116"/>
      <c r="C129" s="85"/>
      <c r="D129" s="96"/>
      <c r="E129" s="97"/>
      <c r="F129" s="98"/>
      <c r="G129" s="97"/>
      <c r="H129" s="99"/>
      <c r="I129" s="100"/>
      <c r="J129" s="101"/>
      <c r="K129" s="93"/>
      <c r="L129" s="85"/>
      <c r="M129" s="85"/>
      <c r="N129" s="85"/>
      <c r="O129" s="85"/>
      <c r="P129" s="85"/>
      <c r="Q129" s="85"/>
      <c r="R129" s="85"/>
      <c r="S129" s="52"/>
      <c r="T129" s="52"/>
    </row>
    <row r="130" spans="1:20" ht="12.75">
      <c r="A130" s="94"/>
      <c r="B130" s="85"/>
      <c r="C130" s="85"/>
      <c r="D130" s="96"/>
      <c r="E130" s="97"/>
      <c r="F130" s="98"/>
      <c r="G130" s="97"/>
      <c r="H130" s="99"/>
      <c r="I130" s="100"/>
      <c r="J130" s="101"/>
      <c r="K130" s="93"/>
      <c r="L130" s="85"/>
      <c r="M130" s="85"/>
      <c r="N130" s="85"/>
      <c r="O130" s="85"/>
      <c r="P130" s="85"/>
      <c r="Q130" s="85"/>
      <c r="R130" s="85"/>
      <c r="S130" s="52"/>
      <c r="T130" s="52"/>
    </row>
    <row r="131" spans="1:20" ht="12.75">
      <c r="A131" s="95"/>
      <c r="B131" s="116"/>
      <c r="C131" s="85"/>
      <c r="D131" s="96"/>
      <c r="E131" s="97"/>
      <c r="F131" s="98"/>
      <c r="G131" s="97"/>
      <c r="H131" s="97"/>
      <c r="I131" s="97"/>
      <c r="J131" s="101"/>
      <c r="K131" s="90"/>
      <c r="L131" s="85"/>
      <c r="M131" s="85"/>
      <c r="N131" s="85"/>
      <c r="O131" s="85"/>
      <c r="P131" s="85"/>
      <c r="Q131" s="85"/>
      <c r="R131" s="85"/>
      <c r="S131" s="52"/>
      <c r="T131" s="52"/>
    </row>
    <row r="132" spans="1:20" ht="12.75">
      <c r="A132" s="95"/>
      <c r="B132" s="116"/>
      <c r="C132" s="85"/>
      <c r="D132" s="99"/>
      <c r="E132" s="97"/>
      <c r="F132" s="272"/>
      <c r="G132" s="272"/>
      <c r="H132" s="235"/>
      <c r="I132" s="235"/>
      <c r="J132" s="103"/>
      <c r="K132" s="90"/>
      <c r="L132" s="278"/>
      <c r="M132" s="278"/>
      <c r="N132" s="278"/>
      <c r="O132" s="278"/>
      <c r="P132" s="85"/>
      <c r="Q132" s="85"/>
      <c r="R132" s="85"/>
      <c r="S132" s="52"/>
      <c r="T132" s="52"/>
    </row>
    <row r="133" spans="1:20" ht="12.75">
      <c r="A133" s="116"/>
      <c r="B133" s="85"/>
      <c r="C133" s="85"/>
      <c r="D133" s="96"/>
      <c r="E133" s="97"/>
      <c r="F133" s="156"/>
      <c r="G133" s="90"/>
      <c r="H133" s="158"/>
      <c r="I133" s="158"/>
      <c r="J133" s="103"/>
      <c r="K133" s="90"/>
      <c r="L133" s="116"/>
      <c r="M133" s="90"/>
      <c r="N133" s="116"/>
      <c r="O133" s="116"/>
      <c r="P133" s="85"/>
      <c r="Q133" s="85"/>
      <c r="R133" s="85"/>
      <c r="S133" s="52"/>
      <c r="T133" s="52"/>
    </row>
    <row r="134" spans="1:20" ht="12.75">
      <c r="A134" s="95"/>
      <c r="B134" s="116"/>
      <c r="C134" s="85"/>
      <c r="D134" s="96"/>
      <c r="E134" s="97"/>
      <c r="F134" s="156"/>
      <c r="G134" s="90"/>
      <c r="H134" s="158"/>
      <c r="I134" s="158"/>
      <c r="J134" s="103"/>
      <c r="K134" s="90"/>
      <c r="L134" s="116"/>
      <c r="M134" s="90"/>
      <c r="N134" s="116"/>
      <c r="O134" s="116"/>
      <c r="P134" s="85"/>
      <c r="Q134" s="85"/>
      <c r="R134" s="85"/>
      <c r="S134" s="52"/>
      <c r="T134" s="52"/>
    </row>
    <row r="135" spans="1:20" ht="12.75">
      <c r="A135" s="95"/>
      <c r="B135" s="116"/>
      <c r="C135" s="85"/>
      <c r="D135" s="96"/>
      <c r="E135" s="97"/>
      <c r="F135" s="272"/>
      <c r="G135" s="272"/>
      <c r="H135" s="235"/>
      <c r="I135" s="235"/>
      <c r="J135" s="103"/>
      <c r="K135" s="90"/>
      <c r="L135" s="278"/>
      <c r="M135" s="278"/>
      <c r="N135" s="278"/>
      <c r="O135" s="278"/>
      <c r="P135" s="85"/>
      <c r="Q135" s="85"/>
      <c r="R135" s="85"/>
      <c r="S135" s="52"/>
      <c r="T135" s="52"/>
    </row>
    <row r="136" spans="1:20" ht="12.75">
      <c r="A136" s="95"/>
      <c r="B136" s="116"/>
      <c r="C136" s="85"/>
      <c r="D136" s="96"/>
      <c r="E136" s="97"/>
      <c r="F136" s="156"/>
      <c r="G136" s="90"/>
      <c r="H136" s="158"/>
      <c r="I136" s="158"/>
      <c r="J136" s="103"/>
      <c r="K136" s="90"/>
      <c r="L136" s="116"/>
      <c r="M136" s="90"/>
      <c r="N136" s="116"/>
      <c r="O136" s="116"/>
      <c r="P136" s="85"/>
      <c r="Q136" s="85"/>
      <c r="R136" s="85"/>
      <c r="S136" s="52"/>
      <c r="T136" s="52"/>
    </row>
    <row r="137" spans="1:20" ht="12.75">
      <c r="A137" s="95"/>
      <c r="B137" s="116"/>
      <c r="C137" s="85"/>
      <c r="D137" s="99"/>
      <c r="E137" s="97"/>
      <c r="F137" s="156"/>
      <c r="G137" s="90"/>
      <c r="H137" s="235"/>
      <c r="I137" s="235"/>
      <c r="J137" s="103"/>
      <c r="K137" s="90"/>
      <c r="L137" s="278"/>
      <c r="M137" s="278"/>
      <c r="N137" s="278"/>
      <c r="O137" s="278"/>
      <c r="P137" s="85"/>
      <c r="Q137" s="85"/>
      <c r="R137" s="85"/>
      <c r="S137" s="52"/>
      <c r="T137" s="52"/>
    </row>
    <row r="138" spans="1:20" ht="12.75">
      <c r="A138" s="95"/>
      <c r="B138" s="116"/>
      <c r="C138" s="85"/>
      <c r="D138" s="96"/>
      <c r="E138" s="97"/>
      <c r="F138" s="98"/>
      <c r="G138" s="97"/>
      <c r="H138" s="97"/>
      <c r="I138" s="97"/>
      <c r="J138" s="101"/>
      <c r="K138" s="90"/>
      <c r="L138" s="85"/>
      <c r="M138" s="97"/>
      <c r="N138" s="111"/>
      <c r="O138" s="85"/>
      <c r="P138" s="85"/>
      <c r="Q138" s="113"/>
      <c r="R138" s="85"/>
      <c r="S138" s="52"/>
      <c r="T138" s="52"/>
    </row>
    <row r="139" spans="1:20" ht="12.75">
      <c r="A139" s="95"/>
      <c r="B139" s="116"/>
      <c r="C139" s="85"/>
      <c r="D139" s="96"/>
      <c r="E139" s="97"/>
      <c r="F139" s="272"/>
      <c r="G139" s="272"/>
      <c r="H139" s="97"/>
      <c r="I139" s="97"/>
      <c r="J139" s="101"/>
      <c r="K139" s="90"/>
      <c r="L139" s="272"/>
      <c r="M139" s="272"/>
      <c r="N139" s="111"/>
      <c r="O139" s="85"/>
      <c r="P139" s="85"/>
      <c r="Q139" s="85"/>
      <c r="R139" s="85"/>
      <c r="S139" s="52"/>
      <c r="T139" s="52"/>
    </row>
    <row r="140" spans="1:20" ht="12.75">
      <c r="A140" s="95"/>
      <c r="B140" s="116"/>
      <c r="C140" s="85"/>
      <c r="D140" s="96"/>
      <c r="E140" s="97"/>
      <c r="F140" s="98"/>
      <c r="G140" s="97"/>
      <c r="H140" s="99"/>
      <c r="I140" s="100"/>
      <c r="J140" s="101"/>
      <c r="K140" s="93"/>
      <c r="L140" s="85"/>
      <c r="M140" s="85"/>
      <c r="N140" s="111"/>
      <c r="O140" s="85"/>
      <c r="P140" s="85"/>
      <c r="Q140" s="85"/>
      <c r="R140" s="85"/>
      <c r="S140" s="52"/>
      <c r="T140" s="52"/>
    </row>
    <row r="141" spans="1:20" ht="12.75">
      <c r="A141" s="95"/>
      <c r="B141" s="116"/>
      <c r="C141" s="85"/>
      <c r="D141" s="271"/>
      <c r="E141" s="271"/>
      <c r="F141" s="271"/>
      <c r="G141" s="271"/>
      <c r="H141" s="265"/>
      <c r="I141" s="265"/>
      <c r="J141" s="271"/>
      <c r="K141" s="271"/>
      <c r="L141" s="271"/>
      <c r="M141" s="271"/>
      <c r="N141" s="265"/>
      <c r="O141" s="265"/>
      <c r="P141" s="85"/>
      <c r="Q141" s="85"/>
      <c r="R141" s="85"/>
      <c r="S141" s="52"/>
      <c r="T141" s="52"/>
    </row>
    <row r="142" spans="1:20" ht="12.75">
      <c r="A142" s="95"/>
      <c r="B142" s="116"/>
      <c r="C142" s="85"/>
      <c r="D142" s="96"/>
      <c r="E142" s="97"/>
      <c r="F142" s="98"/>
      <c r="G142" s="97"/>
      <c r="H142" s="99"/>
      <c r="I142" s="100"/>
      <c r="J142" s="101"/>
      <c r="K142" s="93"/>
      <c r="L142" s="85"/>
      <c r="M142" s="85"/>
      <c r="N142" s="111"/>
      <c r="O142" s="85"/>
      <c r="P142" s="85"/>
      <c r="Q142" s="85"/>
      <c r="R142" s="85"/>
      <c r="S142" s="52"/>
      <c r="T142" s="52"/>
    </row>
    <row r="143" spans="1:20" ht="12.75">
      <c r="A143" s="95"/>
      <c r="B143" s="112"/>
      <c r="C143" s="85"/>
      <c r="D143" s="96"/>
      <c r="E143" s="97"/>
      <c r="F143" s="98"/>
      <c r="G143" s="97"/>
      <c r="H143" s="99"/>
      <c r="I143" s="100"/>
      <c r="J143" s="101"/>
      <c r="K143" s="101"/>
      <c r="L143" s="85"/>
      <c r="M143" s="85"/>
      <c r="N143" s="111"/>
      <c r="O143" s="85"/>
      <c r="P143" s="85"/>
      <c r="Q143" s="85"/>
      <c r="R143" s="85"/>
      <c r="S143" s="52"/>
      <c r="T143" s="52"/>
    </row>
    <row r="144" spans="1:20" ht="12.75">
      <c r="A144" s="95"/>
      <c r="B144" s="112"/>
      <c r="C144" s="85"/>
      <c r="D144" s="96"/>
      <c r="E144" s="97"/>
      <c r="F144" s="98"/>
      <c r="G144" s="128"/>
      <c r="H144" s="129"/>
      <c r="I144" s="129"/>
      <c r="J144" s="118"/>
      <c r="K144" s="104"/>
      <c r="L144" s="85"/>
      <c r="M144" s="85"/>
      <c r="N144" s="85"/>
      <c r="O144" s="85"/>
      <c r="P144" s="85"/>
      <c r="Q144" s="85"/>
      <c r="R144" s="85"/>
      <c r="S144" s="52"/>
      <c r="T144" s="52"/>
    </row>
    <row r="145" spans="1:20" ht="12.75">
      <c r="A145" s="95"/>
      <c r="B145" s="112"/>
      <c r="C145" s="85"/>
      <c r="D145" s="96"/>
      <c r="E145" s="238"/>
      <c r="F145" s="238"/>
      <c r="G145" s="270"/>
      <c r="H145" s="270"/>
      <c r="I145" s="270"/>
      <c r="J145" s="270"/>
      <c r="K145" s="104"/>
      <c r="L145" s="85"/>
      <c r="M145" s="85"/>
      <c r="N145" s="85"/>
      <c r="O145" s="85"/>
      <c r="P145" s="85"/>
      <c r="Q145" s="85"/>
      <c r="R145" s="85"/>
      <c r="S145" s="52"/>
      <c r="T145" s="52"/>
    </row>
    <row r="146" spans="1:20" ht="12.75">
      <c r="A146" s="95"/>
      <c r="B146" s="112"/>
      <c r="C146" s="85"/>
      <c r="D146" s="96"/>
      <c r="E146" s="238"/>
      <c r="F146" s="238"/>
      <c r="G146" s="270"/>
      <c r="H146" s="270"/>
      <c r="I146" s="270"/>
      <c r="J146" s="270"/>
      <c r="K146" s="101"/>
      <c r="L146" s="85"/>
      <c r="M146" s="85"/>
      <c r="N146" s="85"/>
      <c r="O146" s="85"/>
      <c r="P146" s="85"/>
      <c r="Q146" s="85"/>
      <c r="R146" s="85"/>
      <c r="S146" s="52"/>
      <c r="T146" s="52"/>
    </row>
    <row r="147" spans="1:20" ht="12.75">
      <c r="A147" s="94"/>
      <c r="B147" s="85"/>
      <c r="C147" s="85"/>
      <c r="D147" s="96"/>
      <c r="E147" s="240"/>
      <c r="F147" s="240"/>
      <c r="G147" s="99"/>
      <c r="H147" s="97"/>
      <c r="I147" s="100"/>
      <c r="J147" s="97"/>
      <c r="K147" s="101"/>
      <c r="L147" s="85"/>
      <c r="M147" s="85"/>
      <c r="N147" s="85"/>
      <c r="O147" s="85"/>
      <c r="P147" s="85"/>
      <c r="Q147" s="85"/>
      <c r="R147" s="85"/>
      <c r="S147" s="52"/>
      <c r="T147" s="52"/>
    </row>
    <row r="148" spans="1:20" ht="12.75">
      <c r="A148" s="95"/>
      <c r="B148" s="94"/>
      <c r="C148" s="85"/>
      <c r="D148" s="96"/>
      <c r="E148" s="161"/>
      <c r="F148" s="161"/>
      <c r="G148" s="99"/>
      <c r="H148" s="97"/>
      <c r="I148" s="100"/>
      <c r="J148" s="97"/>
      <c r="K148" s="101"/>
      <c r="L148" s="85"/>
      <c r="M148" s="85"/>
      <c r="N148" s="85"/>
      <c r="O148" s="85"/>
      <c r="P148" s="85"/>
      <c r="Q148" s="85"/>
      <c r="R148" s="85"/>
      <c r="S148" s="52"/>
      <c r="T148" s="52"/>
    </row>
    <row r="149" spans="1:20" ht="12.75">
      <c r="A149" s="94"/>
      <c r="B149" s="94"/>
      <c r="C149" s="94"/>
      <c r="D149" s="96"/>
      <c r="E149" s="240"/>
      <c r="F149" s="240"/>
      <c r="G149" s="99"/>
      <c r="H149" s="97"/>
      <c r="I149" s="100"/>
      <c r="J149" s="97"/>
      <c r="K149" s="97"/>
      <c r="L149" s="85"/>
      <c r="M149" s="85"/>
      <c r="N149" s="85"/>
      <c r="O149" s="85"/>
      <c r="P149" s="85"/>
      <c r="Q149" s="85"/>
      <c r="R149" s="85"/>
      <c r="S149" s="52"/>
      <c r="T149" s="52"/>
    </row>
    <row r="150" spans="1:20" ht="12.75">
      <c r="A150" s="95"/>
      <c r="B150" s="94"/>
      <c r="C150" s="85"/>
      <c r="D150" s="96"/>
      <c r="E150" s="161"/>
      <c r="F150" s="161"/>
      <c r="G150" s="99"/>
      <c r="H150" s="97"/>
      <c r="I150" s="100"/>
      <c r="J150" s="97"/>
      <c r="K150" s="101"/>
      <c r="L150" s="85"/>
      <c r="M150" s="85"/>
      <c r="N150" s="85"/>
      <c r="O150" s="85"/>
      <c r="P150" s="85"/>
      <c r="Q150" s="85"/>
      <c r="R150" s="85"/>
      <c r="S150" s="52"/>
      <c r="T150" s="52"/>
    </row>
    <row r="151" spans="1:20" ht="12.75">
      <c r="A151" s="94"/>
      <c r="B151" s="94"/>
      <c r="C151" s="85"/>
      <c r="D151" s="96"/>
      <c r="E151" s="240"/>
      <c r="F151" s="240"/>
      <c r="G151" s="99"/>
      <c r="H151" s="97"/>
      <c r="I151" s="100"/>
      <c r="J151" s="97"/>
      <c r="K151" s="97"/>
      <c r="L151" s="85"/>
      <c r="M151" s="85"/>
      <c r="N151" s="85"/>
      <c r="O151" s="85"/>
      <c r="P151" s="85"/>
      <c r="Q151" s="85"/>
      <c r="R151" s="85"/>
      <c r="S151" s="52"/>
      <c r="T151" s="52"/>
    </row>
    <row r="152" spans="1:20" ht="12.75">
      <c r="A152" s="94"/>
      <c r="B152" s="94"/>
      <c r="C152" s="85"/>
      <c r="D152" s="96"/>
      <c r="E152" s="161"/>
      <c r="F152" s="161"/>
      <c r="G152" s="99"/>
      <c r="H152" s="97"/>
      <c r="I152" s="100"/>
      <c r="J152" s="97"/>
      <c r="K152" s="101"/>
      <c r="L152" s="85"/>
      <c r="M152" s="85"/>
      <c r="N152" s="85"/>
      <c r="O152" s="85"/>
      <c r="P152" s="85"/>
      <c r="Q152" s="85"/>
      <c r="R152" s="85"/>
      <c r="S152" s="52"/>
      <c r="T152" s="52"/>
    </row>
    <row r="153" spans="1:20" ht="12.75">
      <c r="A153" s="94"/>
      <c r="B153" s="94"/>
      <c r="C153" s="85"/>
      <c r="D153" s="96"/>
      <c r="E153" s="275"/>
      <c r="F153" s="275"/>
      <c r="G153" s="99"/>
      <c r="H153" s="97"/>
      <c r="I153" s="100"/>
      <c r="J153" s="97"/>
      <c r="K153" s="97"/>
      <c r="L153" s="85"/>
      <c r="M153" s="85"/>
      <c r="N153" s="85"/>
      <c r="O153" s="85"/>
      <c r="P153" s="85"/>
      <c r="Q153" s="85"/>
      <c r="R153" s="85"/>
      <c r="S153" s="52"/>
      <c r="T153" s="52"/>
    </row>
    <row r="154" spans="1:20" ht="12.75">
      <c r="A154" s="94"/>
      <c r="B154" s="94"/>
      <c r="C154" s="85"/>
      <c r="D154" s="96"/>
      <c r="E154" s="163"/>
      <c r="F154" s="161"/>
      <c r="G154" s="99"/>
      <c r="H154" s="97"/>
      <c r="I154" s="100"/>
      <c r="J154" s="97"/>
      <c r="K154" s="97"/>
      <c r="L154" s="85"/>
      <c r="M154" s="85"/>
      <c r="N154" s="85"/>
      <c r="O154" s="85"/>
      <c r="P154" s="85"/>
      <c r="Q154" s="85"/>
      <c r="R154" s="85"/>
      <c r="S154" s="52"/>
      <c r="T154" s="52"/>
    </row>
    <row r="155" spans="1:20" ht="12.75">
      <c r="A155" s="94"/>
      <c r="B155" s="94"/>
      <c r="C155" s="85"/>
      <c r="D155" s="96"/>
      <c r="E155" s="275"/>
      <c r="F155" s="275"/>
      <c r="G155" s="99"/>
      <c r="H155" s="97"/>
      <c r="I155" s="100"/>
      <c r="J155" s="97"/>
      <c r="K155" s="97"/>
      <c r="L155" s="85"/>
      <c r="M155" s="85"/>
      <c r="N155" s="85"/>
      <c r="O155" s="85"/>
      <c r="P155" s="85"/>
      <c r="Q155" s="85"/>
      <c r="R155" s="85"/>
      <c r="S155" s="52"/>
      <c r="T155" s="52"/>
    </row>
    <row r="156" spans="1:20" ht="12.75">
      <c r="A156" s="94"/>
      <c r="B156" s="94"/>
      <c r="C156" s="85"/>
      <c r="D156" s="96"/>
      <c r="E156" s="163"/>
      <c r="F156" s="161"/>
      <c r="G156" s="99"/>
      <c r="H156" s="97"/>
      <c r="I156" s="100"/>
      <c r="J156" s="97"/>
      <c r="K156" s="97"/>
      <c r="L156" s="85"/>
      <c r="M156" s="85"/>
      <c r="N156" s="85"/>
      <c r="O156" s="85"/>
      <c r="P156" s="85"/>
      <c r="Q156" s="85"/>
      <c r="R156" s="85"/>
      <c r="S156" s="52"/>
      <c r="T156" s="52"/>
    </row>
    <row r="157" spans="1:20" ht="12.75">
      <c r="A157" s="94"/>
      <c r="B157" s="94"/>
      <c r="C157" s="85"/>
      <c r="D157" s="96"/>
      <c r="E157" s="240"/>
      <c r="F157" s="240"/>
      <c r="G157" s="99"/>
      <c r="H157" s="97"/>
      <c r="I157" s="100"/>
      <c r="J157" s="97"/>
      <c r="K157" s="97"/>
      <c r="L157" s="85"/>
      <c r="M157" s="85"/>
      <c r="N157" s="85"/>
      <c r="O157" s="85"/>
      <c r="P157" s="85"/>
      <c r="Q157" s="85"/>
      <c r="R157" s="85"/>
      <c r="S157" s="52"/>
      <c r="T157" s="52"/>
    </row>
    <row r="158" spans="1:20" ht="12.75">
      <c r="A158" s="94"/>
      <c r="B158" s="94"/>
      <c r="C158" s="85"/>
      <c r="D158" s="96"/>
      <c r="E158" s="161"/>
      <c r="F158" s="161"/>
      <c r="G158" s="99"/>
      <c r="H158" s="97"/>
      <c r="I158" s="100"/>
      <c r="J158" s="97"/>
      <c r="K158" s="97"/>
      <c r="L158" s="85"/>
      <c r="M158" s="85"/>
      <c r="N158" s="85"/>
      <c r="O158" s="85"/>
      <c r="P158" s="85"/>
      <c r="Q158" s="85"/>
      <c r="R158" s="85"/>
      <c r="S158" s="52"/>
      <c r="T158" s="52"/>
    </row>
    <row r="159" spans="1:20" ht="12.75">
      <c r="A159" s="94"/>
      <c r="B159" s="94"/>
      <c r="C159" s="85"/>
      <c r="D159" s="96"/>
      <c r="E159" s="240"/>
      <c r="F159" s="240"/>
      <c r="G159" s="99"/>
      <c r="H159" s="97"/>
      <c r="I159" s="100"/>
      <c r="J159" s="97"/>
      <c r="K159" s="97"/>
      <c r="L159" s="85"/>
      <c r="M159" s="85"/>
      <c r="N159" s="85"/>
      <c r="O159" s="85"/>
      <c r="P159" s="85"/>
      <c r="Q159" s="85"/>
      <c r="R159" s="85"/>
      <c r="S159" s="52"/>
      <c r="T159" s="52"/>
    </row>
    <row r="160" spans="1:20" ht="12.75">
      <c r="A160" s="94"/>
      <c r="B160" s="94"/>
      <c r="C160" s="85"/>
      <c r="D160" s="96"/>
      <c r="E160" s="161"/>
      <c r="F160" s="161"/>
      <c r="G160" s="99"/>
      <c r="H160" s="97"/>
      <c r="I160" s="100"/>
      <c r="J160" s="97"/>
      <c r="K160" s="97"/>
      <c r="L160" s="85"/>
      <c r="M160" s="85"/>
      <c r="N160" s="85"/>
      <c r="O160" s="85"/>
      <c r="P160" s="85"/>
      <c r="Q160" s="85"/>
      <c r="R160" s="85"/>
      <c r="S160" s="52"/>
      <c r="T160" s="52"/>
    </row>
    <row r="161" spans="1:20" ht="12.75">
      <c r="A161" s="94"/>
      <c r="B161" s="94"/>
      <c r="C161" s="85"/>
      <c r="D161" s="96"/>
      <c r="E161" s="240"/>
      <c r="F161" s="240"/>
      <c r="G161" s="99"/>
      <c r="H161" s="97"/>
      <c r="I161" s="100"/>
      <c r="J161" s="97"/>
      <c r="K161" s="97"/>
      <c r="L161" s="85"/>
      <c r="M161" s="85"/>
      <c r="N161" s="85"/>
      <c r="O161" s="85"/>
      <c r="P161" s="85"/>
      <c r="Q161" s="85"/>
      <c r="R161" s="85"/>
      <c r="S161" s="52"/>
      <c r="T161" s="52"/>
    </row>
    <row r="162" spans="1:20" ht="12.75">
      <c r="A162" s="94"/>
      <c r="B162" s="94"/>
      <c r="C162" s="85"/>
      <c r="D162" s="96"/>
      <c r="E162" s="161"/>
      <c r="F162" s="161"/>
      <c r="G162" s="99"/>
      <c r="H162" s="97"/>
      <c r="I162" s="100"/>
      <c r="J162" s="97"/>
      <c r="K162" s="97"/>
      <c r="L162" s="85"/>
      <c r="M162" s="85"/>
      <c r="N162" s="85"/>
      <c r="O162" s="85"/>
      <c r="P162" s="85"/>
      <c r="Q162" s="85"/>
      <c r="R162" s="85"/>
      <c r="S162" s="52"/>
      <c r="T162" s="52"/>
    </row>
    <row r="163" spans="1:20" ht="12.75">
      <c r="A163" s="94"/>
      <c r="B163" s="94"/>
      <c r="C163" s="85"/>
      <c r="D163" s="96"/>
      <c r="E163" s="240"/>
      <c r="F163" s="240"/>
      <c r="G163" s="99"/>
      <c r="H163" s="97"/>
      <c r="I163" s="100"/>
      <c r="J163" s="97"/>
      <c r="K163" s="97"/>
      <c r="L163" s="85"/>
      <c r="M163" s="85"/>
      <c r="N163" s="85"/>
      <c r="O163" s="85"/>
      <c r="P163" s="85"/>
      <c r="Q163" s="85"/>
      <c r="R163" s="85"/>
      <c r="S163" s="52"/>
      <c r="T163" s="52"/>
    </row>
    <row r="164" spans="1:20" ht="12.75">
      <c r="A164" s="112"/>
      <c r="B164" s="112"/>
      <c r="C164" s="85"/>
      <c r="D164" s="96"/>
      <c r="E164" s="161"/>
      <c r="F164" s="161"/>
      <c r="G164" s="97"/>
      <c r="H164" s="97"/>
      <c r="I164" s="100"/>
      <c r="J164" s="97"/>
      <c r="K164" s="101"/>
      <c r="L164" s="85"/>
      <c r="M164" s="85"/>
      <c r="N164" s="85"/>
      <c r="O164" s="85"/>
      <c r="P164" s="85"/>
      <c r="Q164" s="85"/>
      <c r="R164" s="85"/>
      <c r="S164" s="52"/>
      <c r="T164" s="52"/>
    </row>
    <row r="165" spans="1:20" ht="12.75">
      <c r="A165" s="94"/>
      <c r="B165" s="94"/>
      <c r="C165" s="85"/>
      <c r="D165" s="96"/>
      <c r="E165" s="275"/>
      <c r="F165" s="275"/>
      <c r="G165" s="99"/>
      <c r="H165" s="97"/>
      <c r="I165" s="100"/>
      <c r="J165" s="97"/>
      <c r="K165" s="107"/>
      <c r="L165" s="85"/>
      <c r="M165" s="85"/>
      <c r="N165" s="85"/>
      <c r="O165" s="85"/>
      <c r="P165" s="85"/>
      <c r="Q165" s="85"/>
      <c r="R165" s="85"/>
      <c r="S165" s="52"/>
      <c r="T165" s="52"/>
    </row>
    <row r="166" spans="1:20" ht="12.75">
      <c r="A166" s="94"/>
      <c r="B166" s="94"/>
      <c r="C166" s="85"/>
      <c r="D166" s="96"/>
      <c r="E166" s="162"/>
      <c r="F166" s="162"/>
      <c r="G166" s="97"/>
      <c r="H166" s="97"/>
      <c r="I166" s="100"/>
      <c r="J166" s="97"/>
      <c r="K166" s="97"/>
      <c r="L166" s="85"/>
      <c r="M166" s="85"/>
      <c r="N166" s="85"/>
      <c r="O166" s="85"/>
      <c r="P166" s="85"/>
      <c r="Q166" s="85"/>
      <c r="R166" s="85"/>
      <c r="S166" s="52"/>
      <c r="T166" s="52"/>
    </row>
    <row r="167" spans="1:20" ht="12.75">
      <c r="A167" s="94"/>
      <c r="B167" s="94"/>
      <c r="C167" s="85"/>
      <c r="D167" s="96"/>
      <c r="E167" s="275"/>
      <c r="F167" s="275"/>
      <c r="G167" s="99"/>
      <c r="H167" s="97"/>
      <c r="I167" s="100"/>
      <c r="J167" s="97"/>
      <c r="K167" s="97"/>
      <c r="L167" s="85"/>
      <c r="M167" s="85"/>
      <c r="N167" s="85"/>
      <c r="O167" s="85"/>
      <c r="P167" s="85"/>
      <c r="Q167" s="85"/>
      <c r="R167" s="85"/>
      <c r="S167" s="52"/>
      <c r="T167" s="52"/>
    </row>
    <row r="168" spans="1:20" ht="12.75">
      <c r="A168" s="94"/>
      <c r="B168" s="94"/>
      <c r="C168" s="85"/>
      <c r="D168" s="96"/>
      <c r="E168" s="162"/>
      <c r="F168" s="162"/>
      <c r="G168" s="97"/>
      <c r="H168" s="97"/>
      <c r="I168" s="100"/>
      <c r="J168" s="97"/>
      <c r="K168" s="97"/>
      <c r="L168" s="85"/>
      <c r="M168" s="85"/>
      <c r="N168" s="85"/>
      <c r="O168" s="85"/>
      <c r="P168" s="85"/>
      <c r="Q168" s="85"/>
      <c r="R168" s="85"/>
      <c r="S168" s="52"/>
      <c r="T168" s="52"/>
    </row>
    <row r="169" spans="1:20" ht="29.25" customHeight="1">
      <c r="A169" s="276"/>
      <c r="B169" s="277"/>
      <c r="C169" s="277"/>
      <c r="D169" s="277"/>
      <c r="E169" s="275"/>
      <c r="F169" s="275"/>
      <c r="G169" s="98"/>
      <c r="H169" s="97"/>
      <c r="I169" s="100"/>
      <c r="J169" s="97"/>
      <c r="K169" s="107"/>
      <c r="L169" s="85"/>
      <c r="M169" s="85"/>
      <c r="N169" s="85"/>
      <c r="O169" s="85"/>
      <c r="P169" s="85"/>
      <c r="Q169" s="85"/>
      <c r="R169" s="85"/>
      <c r="S169" s="52"/>
      <c r="T169" s="52"/>
    </row>
    <row r="170" spans="1:20" ht="12.75">
      <c r="A170" s="94"/>
      <c r="B170" s="94"/>
      <c r="C170" s="85"/>
      <c r="D170" s="96"/>
      <c r="E170" s="162"/>
      <c r="F170" s="162"/>
      <c r="G170" s="97"/>
      <c r="H170" s="97"/>
      <c r="I170" s="100"/>
      <c r="J170" s="97"/>
      <c r="K170" s="97"/>
      <c r="L170" s="85"/>
      <c r="M170" s="85"/>
      <c r="N170" s="85"/>
      <c r="O170" s="85"/>
      <c r="P170" s="85"/>
      <c r="Q170" s="85"/>
      <c r="R170" s="85"/>
      <c r="S170" s="52"/>
      <c r="T170" s="52"/>
    </row>
    <row r="171" spans="1:20" ht="12.75">
      <c r="A171" s="94"/>
      <c r="B171" s="94"/>
      <c r="C171" s="85"/>
      <c r="D171" s="96"/>
      <c r="E171" s="275"/>
      <c r="F171" s="275"/>
      <c r="G171" s="99"/>
      <c r="H171" s="97"/>
      <c r="I171" s="100"/>
      <c r="J171" s="97"/>
      <c r="K171" s="97"/>
      <c r="L171" s="85"/>
      <c r="M171" s="85"/>
      <c r="N171" s="85"/>
      <c r="O171" s="85"/>
      <c r="P171" s="85"/>
      <c r="Q171" s="85"/>
      <c r="R171" s="85"/>
      <c r="S171" s="52"/>
      <c r="T171" s="52"/>
    </row>
    <row r="172" spans="1:20" ht="12.75">
      <c r="A172" s="95"/>
      <c r="B172" s="94"/>
      <c r="C172" s="85"/>
      <c r="D172" s="96"/>
      <c r="E172" s="161"/>
      <c r="F172" s="161"/>
      <c r="G172" s="99"/>
      <c r="H172" s="97"/>
      <c r="I172" s="100"/>
      <c r="J172" s="97"/>
      <c r="K172" s="97"/>
      <c r="L172" s="85"/>
      <c r="M172" s="85"/>
      <c r="N172" s="85"/>
      <c r="O172" s="85"/>
      <c r="P172" s="85"/>
      <c r="Q172" s="85"/>
      <c r="R172" s="85"/>
      <c r="S172" s="52"/>
      <c r="T172" s="52"/>
    </row>
    <row r="173" spans="1:20" ht="12.75">
      <c r="A173" s="94"/>
      <c r="B173" s="94"/>
      <c r="C173" s="85"/>
      <c r="D173" s="96"/>
      <c r="E173" s="241"/>
      <c r="F173" s="241"/>
      <c r="G173" s="159"/>
      <c r="H173" s="107"/>
      <c r="I173" s="159"/>
      <c r="J173" s="107"/>
      <c r="K173" s="97"/>
      <c r="L173" s="85"/>
      <c r="M173" s="85"/>
      <c r="N173" s="85"/>
      <c r="O173" s="85"/>
      <c r="P173" s="85"/>
      <c r="Q173" s="85"/>
      <c r="R173" s="85"/>
      <c r="S173" s="52"/>
      <c r="T173" s="52"/>
    </row>
    <row r="174" spans="1:20" ht="12.75">
      <c r="A174" s="94"/>
      <c r="B174" s="94"/>
      <c r="C174" s="85"/>
      <c r="D174" s="96"/>
      <c r="E174" s="99"/>
      <c r="F174" s="99"/>
      <c r="G174" s="99"/>
      <c r="H174" s="97"/>
      <c r="I174" s="99"/>
      <c r="J174" s="97"/>
      <c r="K174" s="97"/>
      <c r="L174" s="85"/>
      <c r="M174" s="85"/>
      <c r="N174" s="85"/>
      <c r="O174" s="85"/>
      <c r="P174" s="85"/>
      <c r="Q174" s="85"/>
      <c r="R174" s="85"/>
      <c r="S174" s="52"/>
      <c r="T174" s="52"/>
    </row>
    <row r="175" spans="1:20" ht="12.75">
      <c r="A175" s="95"/>
      <c r="B175" s="94"/>
      <c r="C175" s="85"/>
      <c r="D175" s="271"/>
      <c r="E175" s="271"/>
      <c r="F175" s="271"/>
      <c r="G175" s="271"/>
      <c r="H175" s="271"/>
      <c r="I175" s="267"/>
      <c r="J175" s="267"/>
      <c r="K175" s="107"/>
      <c r="L175" s="91"/>
      <c r="M175" s="85"/>
      <c r="N175" s="108"/>
      <c r="O175" s="85"/>
      <c r="P175" s="85"/>
      <c r="Q175" s="85"/>
      <c r="R175" s="85"/>
      <c r="S175" s="52"/>
      <c r="T175" s="52"/>
    </row>
    <row r="176" spans="1:20" ht="12.75">
      <c r="A176" s="95"/>
      <c r="B176" s="94"/>
      <c r="C176" s="85"/>
      <c r="D176" s="134"/>
      <c r="E176" s="134"/>
      <c r="F176" s="134"/>
      <c r="G176" s="134"/>
      <c r="H176" s="134"/>
      <c r="I176" s="100"/>
      <c r="J176" s="100"/>
      <c r="K176" s="107"/>
      <c r="L176" s="91"/>
      <c r="M176" s="85"/>
      <c r="N176" s="108"/>
      <c r="O176" s="85"/>
      <c r="P176" s="85"/>
      <c r="Q176" s="85"/>
      <c r="R176" s="85"/>
      <c r="S176" s="52"/>
      <c r="T176" s="52"/>
    </row>
    <row r="177" spans="1:20" ht="12.75">
      <c r="A177" s="95"/>
      <c r="B177" s="94"/>
      <c r="C177" s="85"/>
      <c r="D177" s="96"/>
      <c r="E177" s="97"/>
      <c r="F177" s="98"/>
      <c r="G177" s="97"/>
      <c r="H177" s="99"/>
      <c r="I177" s="100"/>
      <c r="J177" s="101"/>
      <c r="K177" s="102"/>
      <c r="L177" s="85"/>
      <c r="M177" s="85"/>
      <c r="N177" s="92"/>
      <c r="O177" s="85"/>
      <c r="P177" s="85"/>
      <c r="Q177" s="85"/>
      <c r="R177" s="85"/>
      <c r="S177" s="52"/>
      <c r="T177" s="52"/>
    </row>
    <row r="178" spans="1:20" ht="12.75">
      <c r="A178" s="95"/>
      <c r="B178" s="112"/>
      <c r="C178" s="85"/>
      <c r="D178" s="96"/>
      <c r="E178" s="115"/>
      <c r="F178" s="160"/>
      <c r="G178" s="272"/>
      <c r="H178" s="272"/>
      <c r="I178" s="272"/>
      <c r="J178" s="272"/>
      <c r="K178" s="104"/>
      <c r="L178" s="85"/>
      <c r="M178" s="85"/>
      <c r="N178" s="85"/>
      <c r="O178" s="85"/>
      <c r="P178" s="85"/>
      <c r="Q178" s="85"/>
      <c r="R178" s="85"/>
      <c r="S178" s="52"/>
      <c r="T178" s="52"/>
    </row>
    <row r="179" spans="1:20" ht="12.75">
      <c r="A179" s="95"/>
      <c r="B179" s="85"/>
      <c r="C179" s="85"/>
      <c r="D179" s="96"/>
      <c r="E179" s="97"/>
      <c r="F179" s="164"/>
      <c r="G179" s="274"/>
      <c r="H179" s="274"/>
      <c r="I179" s="274"/>
      <c r="J179" s="274"/>
      <c r="K179" s="104"/>
      <c r="L179" s="85"/>
      <c r="M179" s="85"/>
      <c r="N179" s="85"/>
      <c r="O179" s="85"/>
      <c r="P179" s="85"/>
      <c r="Q179" s="85"/>
      <c r="R179" s="85"/>
      <c r="S179" s="52"/>
      <c r="T179" s="52"/>
    </row>
    <row r="180" spans="1:20" ht="12.75">
      <c r="A180" s="94"/>
      <c r="B180" s="85"/>
      <c r="C180" s="85"/>
      <c r="D180" s="96"/>
      <c r="E180" s="97"/>
      <c r="F180" s="164"/>
      <c r="G180" s="157"/>
      <c r="H180" s="115"/>
      <c r="I180" s="157"/>
      <c r="J180" s="115"/>
      <c r="K180" s="104"/>
      <c r="L180" s="85"/>
      <c r="M180" s="85"/>
      <c r="N180" s="85"/>
      <c r="O180" s="85"/>
      <c r="P180" s="85"/>
      <c r="Q180" s="85"/>
      <c r="R180" s="85"/>
      <c r="S180" s="52"/>
      <c r="T180" s="52"/>
    </row>
    <row r="181" spans="1:20" ht="12.75">
      <c r="A181" s="116"/>
      <c r="B181" s="85"/>
      <c r="C181" s="85"/>
      <c r="D181" s="96"/>
      <c r="E181" s="97"/>
      <c r="F181" s="164"/>
      <c r="G181" s="157"/>
      <c r="H181" s="115"/>
      <c r="I181" s="157"/>
      <c r="J181" s="115"/>
      <c r="K181" s="104"/>
      <c r="L181" s="85"/>
      <c r="M181" s="85"/>
      <c r="N181" s="85"/>
      <c r="O181" s="85"/>
      <c r="P181" s="85"/>
      <c r="Q181" s="85"/>
      <c r="R181" s="85"/>
      <c r="S181" s="52"/>
      <c r="T181" s="52"/>
    </row>
    <row r="182" spans="1:20" ht="12.75">
      <c r="A182" s="95"/>
      <c r="B182" s="112"/>
      <c r="C182" s="85"/>
      <c r="D182" s="96"/>
      <c r="E182" s="97"/>
      <c r="F182" s="98"/>
      <c r="G182" s="99"/>
      <c r="H182" s="99"/>
      <c r="I182" s="100"/>
      <c r="J182" s="101"/>
      <c r="K182" s="101"/>
      <c r="L182" s="85"/>
      <c r="M182" s="85"/>
      <c r="N182" s="85"/>
      <c r="O182" s="85"/>
      <c r="P182" s="85"/>
      <c r="Q182" s="85"/>
      <c r="R182" s="85"/>
      <c r="S182" s="52"/>
      <c r="T182" s="52"/>
    </row>
    <row r="183" spans="1:20" ht="12.75">
      <c r="A183" s="95"/>
      <c r="B183" s="112"/>
      <c r="C183" s="85"/>
      <c r="D183" s="96"/>
      <c r="E183" s="97"/>
      <c r="F183" s="98"/>
      <c r="G183" s="99"/>
      <c r="H183" s="97"/>
      <c r="I183" s="100"/>
      <c r="J183" s="97"/>
      <c r="K183" s="97"/>
      <c r="L183" s="85"/>
      <c r="M183" s="85"/>
      <c r="N183" s="85"/>
      <c r="O183" s="85"/>
      <c r="P183" s="85"/>
      <c r="Q183" s="85"/>
      <c r="R183" s="85"/>
      <c r="S183" s="52"/>
      <c r="T183" s="52"/>
    </row>
    <row r="184" spans="1:20" ht="12.75">
      <c r="A184" s="94"/>
      <c r="B184" s="85"/>
      <c r="C184" s="85"/>
      <c r="D184" s="165"/>
      <c r="E184" s="85"/>
      <c r="F184" s="98"/>
      <c r="G184" s="99"/>
      <c r="H184" s="97"/>
      <c r="I184" s="100"/>
      <c r="J184" s="97"/>
      <c r="K184" s="97"/>
      <c r="L184" s="85"/>
      <c r="M184" s="85"/>
      <c r="N184" s="85"/>
      <c r="O184" s="85"/>
      <c r="P184" s="85"/>
      <c r="Q184" s="85"/>
      <c r="R184" s="85"/>
      <c r="S184" s="52"/>
      <c r="T184" s="52"/>
    </row>
    <row r="185" spans="1:20" ht="12.75">
      <c r="A185" s="95"/>
      <c r="B185" s="94"/>
      <c r="C185" s="85"/>
      <c r="D185" s="96"/>
      <c r="E185" s="97"/>
      <c r="F185" s="98"/>
      <c r="G185" s="99"/>
      <c r="H185" s="97"/>
      <c r="I185" s="100"/>
      <c r="J185" s="97"/>
      <c r="K185" s="101"/>
      <c r="L185" s="85"/>
      <c r="M185" s="85"/>
      <c r="N185" s="85"/>
      <c r="O185" s="85"/>
      <c r="P185" s="85"/>
      <c r="Q185" s="85"/>
      <c r="R185" s="85"/>
      <c r="S185" s="52"/>
      <c r="T185" s="52"/>
    </row>
    <row r="186" spans="1:20" ht="12.75">
      <c r="A186" s="95"/>
      <c r="B186" s="112"/>
      <c r="C186" s="85"/>
      <c r="D186" s="97"/>
      <c r="E186" s="85"/>
      <c r="F186" s="98"/>
      <c r="G186" s="100"/>
      <c r="H186" s="97"/>
      <c r="I186" s="97"/>
      <c r="J186" s="97"/>
      <c r="K186" s="97"/>
      <c r="L186" s="85"/>
      <c r="M186" s="85"/>
      <c r="N186" s="85"/>
      <c r="O186" s="85"/>
      <c r="P186" s="85"/>
      <c r="Q186" s="85"/>
      <c r="R186" s="85"/>
      <c r="S186" s="52"/>
      <c r="T186" s="52"/>
    </row>
    <row r="187" spans="1:20" ht="12.75">
      <c r="A187" s="94"/>
      <c r="B187" s="85"/>
      <c r="C187" s="85"/>
      <c r="D187" s="96"/>
      <c r="E187" s="97"/>
      <c r="F187" s="98"/>
      <c r="G187" s="97"/>
      <c r="H187" s="97"/>
      <c r="I187" s="97"/>
      <c r="J187" s="97"/>
      <c r="K187" s="97"/>
      <c r="L187" s="85"/>
      <c r="M187" s="85"/>
      <c r="N187" s="85"/>
      <c r="O187" s="85"/>
      <c r="P187" s="85"/>
      <c r="Q187" s="85"/>
      <c r="R187" s="85"/>
      <c r="S187" s="52"/>
      <c r="T187" s="52"/>
    </row>
    <row r="188" spans="1:20" ht="12.75">
      <c r="A188" s="94"/>
      <c r="B188" s="85"/>
      <c r="C188" s="85"/>
      <c r="D188" s="96"/>
      <c r="E188" s="97"/>
      <c r="F188" s="98"/>
      <c r="G188" s="97"/>
      <c r="H188" s="97"/>
      <c r="I188" s="97"/>
      <c r="J188" s="97"/>
      <c r="K188" s="101"/>
      <c r="L188" s="85"/>
      <c r="M188" s="85"/>
      <c r="N188" s="85"/>
      <c r="O188" s="85"/>
      <c r="P188" s="85"/>
      <c r="Q188" s="85"/>
      <c r="R188" s="85"/>
      <c r="S188" s="52"/>
      <c r="T188" s="52"/>
    </row>
    <row r="189" spans="1:20" ht="12.75">
      <c r="A189" s="95"/>
      <c r="B189" s="85"/>
      <c r="C189" s="85"/>
      <c r="D189" s="271"/>
      <c r="E189" s="271"/>
      <c r="F189" s="271"/>
      <c r="G189" s="271"/>
      <c r="H189" s="271"/>
      <c r="I189" s="273"/>
      <c r="J189" s="273"/>
      <c r="K189" s="90"/>
      <c r="L189" s="91"/>
      <c r="M189" s="85"/>
      <c r="N189" s="92"/>
      <c r="O189" s="85"/>
      <c r="P189" s="85"/>
      <c r="Q189" s="85"/>
      <c r="R189" s="85"/>
      <c r="S189" s="52"/>
      <c r="T189" s="52"/>
    </row>
    <row r="190" spans="1:20" ht="12.75">
      <c r="A190" s="95"/>
      <c r="B190" s="112"/>
      <c r="C190" s="85"/>
      <c r="D190" s="96"/>
      <c r="E190" s="97"/>
      <c r="F190" s="98"/>
      <c r="G190" s="97"/>
      <c r="H190" s="97"/>
      <c r="I190" s="100"/>
      <c r="J190" s="97"/>
      <c r="K190" s="101"/>
      <c r="L190" s="85"/>
      <c r="M190" s="85"/>
      <c r="N190" s="85"/>
      <c r="O190" s="85"/>
      <c r="P190" s="85"/>
      <c r="Q190" s="85"/>
      <c r="R190" s="85"/>
      <c r="S190" s="52"/>
      <c r="T190" s="52"/>
    </row>
    <row r="191" spans="1:20" ht="12.75">
      <c r="A191" s="95"/>
      <c r="B191" s="112"/>
      <c r="C191" s="85"/>
      <c r="D191" s="268"/>
      <c r="E191" s="268"/>
      <c r="F191" s="270"/>
      <c r="G191" s="270"/>
      <c r="H191" s="268"/>
      <c r="I191" s="268"/>
      <c r="J191" s="104"/>
      <c r="K191" s="104"/>
      <c r="L191" s="85"/>
      <c r="M191" s="85"/>
      <c r="N191" s="85"/>
      <c r="O191" s="85"/>
      <c r="P191" s="85"/>
      <c r="Q191" s="85"/>
      <c r="R191" s="85"/>
      <c r="S191" s="52"/>
      <c r="T191" s="52"/>
    </row>
    <row r="192" spans="1:20" ht="12.75">
      <c r="A192" s="95"/>
      <c r="B192" s="104"/>
      <c r="C192" s="104"/>
      <c r="D192" s="268"/>
      <c r="E192" s="268"/>
      <c r="F192" s="270"/>
      <c r="G192" s="270"/>
      <c r="H192" s="268"/>
      <c r="I192" s="268"/>
      <c r="J192" s="104"/>
      <c r="K192" s="104"/>
      <c r="L192" s="85"/>
      <c r="M192" s="85"/>
      <c r="N192" s="85"/>
      <c r="O192" s="85"/>
      <c r="P192" s="85"/>
      <c r="Q192" s="85"/>
      <c r="R192" s="85"/>
      <c r="S192" s="52"/>
      <c r="T192" s="52"/>
    </row>
    <row r="193" spans="1:20" ht="12.75">
      <c r="A193" s="95"/>
      <c r="B193" s="112"/>
      <c r="C193" s="85"/>
      <c r="D193" s="96"/>
      <c r="E193" s="97"/>
      <c r="F193" s="98"/>
      <c r="G193" s="97"/>
      <c r="H193" s="99"/>
      <c r="I193" s="100"/>
      <c r="J193" s="101"/>
      <c r="K193" s="101"/>
      <c r="L193" s="85"/>
      <c r="M193" s="85"/>
      <c r="N193" s="85"/>
      <c r="O193" s="85"/>
      <c r="P193" s="85"/>
      <c r="Q193" s="85"/>
      <c r="R193" s="85"/>
      <c r="S193" s="52"/>
      <c r="T193" s="52"/>
    </row>
    <row r="194" spans="1:20" ht="12.75">
      <c r="A194" s="95"/>
      <c r="B194" s="91"/>
      <c r="C194" s="85"/>
      <c r="D194" s="96"/>
      <c r="E194" s="97"/>
      <c r="F194" s="98"/>
      <c r="G194" s="97"/>
      <c r="H194" s="99"/>
      <c r="I194" s="97"/>
      <c r="J194" s="101"/>
      <c r="K194" s="101"/>
      <c r="L194" s="85"/>
      <c r="M194" s="85"/>
      <c r="N194" s="85"/>
      <c r="O194" s="85"/>
      <c r="P194" s="85"/>
      <c r="Q194" s="85"/>
      <c r="R194" s="85"/>
      <c r="S194" s="52"/>
      <c r="T194" s="52"/>
    </row>
    <row r="195" spans="1:20" ht="12.75">
      <c r="A195" s="166"/>
      <c r="B195" s="85"/>
      <c r="C195" s="116"/>
      <c r="D195" s="167"/>
      <c r="E195" s="90"/>
      <c r="F195" s="156"/>
      <c r="G195" s="97"/>
      <c r="H195" s="155"/>
      <c r="I195" s="90"/>
      <c r="J195" s="103"/>
      <c r="K195" s="90"/>
      <c r="L195" s="116"/>
      <c r="M195" s="116"/>
      <c r="N195" s="116"/>
      <c r="O195" s="85"/>
      <c r="P195" s="85"/>
      <c r="Q195" s="85"/>
      <c r="R195" s="85"/>
      <c r="S195" s="52"/>
      <c r="T195" s="52"/>
    </row>
    <row r="196" spans="1:20" ht="12.75">
      <c r="A196" s="166"/>
      <c r="B196" s="85"/>
      <c r="C196" s="116"/>
      <c r="D196" s="167"/>
      <c r="E196" s="90"/>
      <c r="F196" s="156"/>
      <c r="G196" s="97"/>
      <c r="H196" s="155"/>
      <c r="I196" s="90"/>
      <c r="J196" s="103"/>
      <c r="K196" s="90"/>
      <c r="L196" s="116"/>
      <c r="M196" s="116"/>
      <c r="N196" s="116"/>
      <c r="O196" s="85"/>
      <c r="P196" s="85"/>
      <c r="Q196" s="85"/>
      <c r="R196" s="85"/>
      <c r="S196" s="52"/>
      <c r="T196" s="52"/>
    </row>
    <row r="197" spans="1:20" ht="12.75">
      <c r="A197" s="166"/>
      <c r="B197" s="85"/>
      <c r="C197" s="116"/>
      <c r="D197" s="167"/>
      <c r="E197" s="90"/>
      <c r="F197" s="156"/>
      <c r="G197" s="97"/>
      <c r="H197" s="155"/>
      <c r="I197" s="90"/>
      <c r="J197" s="103"/>
      <c r="K197" s="90"/>
      <c r="L197" s="116"/>
      <c r="M197" s="116"/>
      <c r="N197" s="116"/>
      <c r="O197" s="85"/>
      <c r="P197" s="85"/>
      <c r="Q197" s="85"/>
      <c r="R197" s="85"/>
      <c r="S197" s="52"/>
      <c r="T197" s="52"/>
    </row>
    <row r="198" spans="1:20" ht="12.75">
      <c r="A198" s="122"/>
      <c r="B198" s="85"/>
      <c r="C198" s="85"/>
      <c r="D198" s="96"/>
      <c r="E198" s="97"/>
      <c r="F198" s="269"/>
      <c r="G198" s="269"/>
      <c r="H198" s="99"/>
      <c r="I198" s="97"/>
      <c r="J198" s="101"/>
      <c r="K198" s="97"/>
      <c r="L198" s="85"/>
      <c r="M198" s="85"/>
      <c r="N198" s="85"/>
      <c r="O198" s="85"/>
      <c r="P198" s="85"/>
      <c r="Q198" s="85"/>
      <c r="R198" s="85"/>
      <c r="S198" s="52"/>
      <c r="T198" s="52"/>
    </row>
    <row r="199" spans="1:20" ht="12.75">
      <c r="A199" s="168"/>
      <c r="B199" s="112"/>
      <c r="C199" s="85"/>
      <c r="D199" s="96"/>
      <c r="E199" s="97"/>
      <c r="F199" s="98"/>
      <c r="G199" s="97"/>
      <c r="H199" s="99"/>
      <c r="I199" s="97"/>
      <c r="J199" s="101"/>
      <c r="K199" s="101"/>
      <c r="L199" s="85"/>
      <c r="M199" s="85"/>
      <c r="N199" s="85"/>
      <c r="O199" s="85"/>
      <c r="P199" s="85"/>
      <c r="Q199" s="85"/>
      <c r="R199" s="85"/>
      <c r="S199" s="52"/>
      <c r="T199" s="52"/>
    </row>
    <row r="200" spans="1:20" ht="12.75">
      <c r="A200" s="168"/>
      <c r="B200" s="91"/>
      <c r="C200" s="85"/>
      <c r="D200" s="96"/>
      <c r="E200" s="97"/>
      <c r="F200" s="98"/>
      <c r="G200" s="97"/>
      <c r="H200" s="99"/>
      <c r="I200" s="97"/>
      <c r="J200" s="101"/>
      <c r="K200" s="101"/>
      <c r="L200" s="85"/>
      <c r="M200" s="85"/>
      <c r="N200" s="85"/>
      <c r="O200" s="85"/>
      <c r="P200" s="85"/>
      <c r="Q200" s="85"/>
      <c r="R200" s="85"/>
      <c r="S200" s="52"/>
      <c r="T200" s="52"/>
    </row>
    <row r="201" spans="1:20" ht="12.75">
      <c r="A201" s="169"/>
      <c r="B201" s="85"/>
      <c r="C201" s="85"/>
      <c r="D201" s="96"/>
      <c r="E201" s="97"/>
      <c r="F201" s="98"/>
      <c r="G201" s="97"/>
      <c r="H201" s="99"/>
      <c r="I201" s="97"/>
      <c r="J201" s="101"/>
      <c r="K201" s="101"/>
      <c r="L201" s="85"/>
      <c r="M201" s="85"/>
      <c r="N201" s="85"/>
      <c r="O201" s="85"/>
      <c r="P201" s="85"/>
      <c r="Q201" s="85"/>
      <c r="R201" s="85"/>
      <c r="S201" s="52"/>
      <c r="T201" s="52"/>
    </row>
    <row r="202" spans="1:20" ht="12.75">
      <c r="A202" s="169"/>
      <c r="B202" s="85"/>
      <c r="C202" s="85"/>
      <c r="D202" s="96"/>
      <c r="E202" s="97"/>
      <c r="F202" s="98"/>
      <c r="G202" s="97"/>
      <c r="H202" s="99"/>
      <c r="I202" s="97"/>
      <c r="J202" s="101"/>
      <c r="K202" s="101"/>
      <c r="L202" s="85"/>
      <c r="M202" s="85"/>
      <c r="N202" s="85"/>
      <c r="O202" s="85"/>
      <c r="P202" s="85"/>
      <c r="Q202" s="85"/>
      <c r="R202" s="85"/>
      <c r="S202" s="52"/>
      <c r="T202" s="52"/>
    </row>
    <row r="203" spans="1:20" ht="12.75">
      <c r="A203" s="168"/>
      <c r="B203" s="169"/>
      <c r="C203" s="85"/>
      <c r="D203" s="96"/>
      <c r="E203" s="97"/>
      <c r="F203" s="98"/>
      <c r="G203" s="97"/>
      <c r="H203" s="99"/>
      <c r="I203" s="97"/>
      <c r="J203" s="101"/>
      <c r="K203" s="101"/>
      <c r="L203" s="85"/>
      <c r="M203" s="85"/>
      <c r="N203" s="85"/>
      <c r="O203" s="85"/>
      <c r="P203" s="85"/>
      <c r="Q203" s="85"/>
      <c r="R203" s="85"/>
      <c r="S203" s="52"/>
      <c r="T203" s="52"/>
    </row>
    <row r="204" spans="1:20" ht="12.75">
      <c r="A204" s="116"/>
      <c r="B204" s="85"/>
      <c r="C204" s="85"/>
      <c r="D204" s="96"/>
      <c r="E204" s="97"/>
      <c r="F204" s="98"/>
      <c r="G204" s="97"/>
      <c r="H204" s="99"/>
      <c r="I204" s="97"/>
      <c r="J204" s="101"/>
      <c r="K204" s="97"/>
      <c r="L204" s="85"/>
      <c r="M204" s="85"/>
      <c r="N204" s="85"/>
      <c r="O204" s="85"/>
      <c r="P204" s="85"/>
      <c r="Q204" s="85"/>
      <c r="R204" s="85"/>
      <c r="S204" s="52"/>
      <c r="T204" s="52"/>
    </row>
    <row r="205" spans="1:20" ht="12.75">
      <c r="A205" s="116"/>
      <c r="B205" s="85"/>
      <c r="C205" s="85"/>
      <c r="D205" s="96"/>
      <c r="E205" s="97"/>
      <c r="F205" s="269"/>
      <c r="G205" s="269"/>
      <c r="H205" s="99"/>
      <c r="I205" s="97"/>
      <c r="J205" s="101"/>
      <c r="K205" s="97"/>
      <c r="L205" s="85"/>
      <c r="M205" s="85"/>
      <c r="N205" s="85"/>
      <c r="O205" s="85"/>
      <c r="P205" s="85"/>
      <c r="Q205" s="85"/>
      <c r="R205" s="85"/>
      <c r="S205" s="52"/>
      <c r="T205" s="52"/>
    </row>
    <row r="206" spans="1:20" ht="12.75">
      <c r="A206" s="168"/>
      <c r="B206" s="116"/>
      <c r="C206" s="85"/>
      <c r="D206" s="96"/>
      <c r="E206" s="97"/>
      <c r="F206" s="98"/>
      <c r="G206" s="97"/>
      <c r="H206" s="99"/>
      <c r="I206" s="97"/>
      <c r="J206" s="101"/>
      <c r="K206" s="97"/>
      <c r="L206" s="85"/>
      <c r="M206" s="85"/>
      <c r="N206" s="85"/>
      <c r="O206" s="85"/>
      <c r="P206" s="85"/>
      <c r="Q206" s="85"/>
      <c r="R206" s="85"/>
      <c r="S206" s="52"/>
      <c r="T206" s="52"/>
    </row>
    <row r="207" spans="1:20" ht="12.75">
      <c r="A207" s="95"/>
      <c r="B207" s="116"/>
      <c r="C207" s="85"/>
      <c r="D207" s="96"/>
      <c r="E207" s="97"/>
      <c r="F207" s="98"/>
      <c r="G207" s="97"/>
      <c r="H207" s="99"/>
      <c r="I207" s="97"/>
      <c r="J207" s="101"/>
      <c r="K207" s="97"/>
      <c r="L207" s="85"/>
      <c r="M207" s="85"/>
      <c r="N207" s="85"/>
      <c r="O207" s="85"/>
      <c r="P207" s="85"/>
      <c r="Q207" s="85"/>
      <c r="R207" s="85"/>
      <c r="S207" s="52"/>
      <c r="T207" s="52"/>
    </row>
    <row r="208" spans="1:20" ht="12.75">
      <c r="A208" s="95"/>
      <c r="B208" s="91"/>
      <c r="C208" s="85"/>
      <c r="D208" s="96"/>
      <c r="E208" s="97"/>
      <c r="F208" s="98"/>
      <c r="G208" s="97"/>
      <c r="H208" s="99"/>
      <c r="I208" s="97"/>
      <c r="J208" s="101"/>
      <c r="K208" s="101"/>
      <c r="L208" s="85"/>
      <c r="M208" s="85"/>
      <c r="N208" s="85"/>
      <c r="O208" s="85"/>
      <c r="P208" s="85"/>
      <c r="Q208" s="85"/>
      <c r="R208" s="85"/>
      <c r="S208" s="52"/>
      <c r="T208" s="52"/>
    </row>
    <row r="209" spans="1:20" ht="12.75">
      <c r="A209" s="169"/>
      <c r="B209" s="85"/>
      <c r="C209" s="85"/>
      <c r="D209" s="96"/>
      <c r="E209" s="97"/>
      <c r="F209" s="98"/>
      <c r="G209" s="97"/>
      <c r="H209" s="99"/>
      <c r="I209" s="97"/>
      <c r="J209" s="101"/>
      <c r="K209" s="101"/>
      <c r="L209" s="85"/>
      <c r="M209" s="85"/>
      <c r="N209" s="85"/>
      <c r="O209" s="85"/>
      <c r="P209" s="85"/>
      <c r="Q209" s="85"/>
      <c r="R209" s="85"/>
      <c r="S209" s="52"/>
      <c r="T209" s="52"/>
    </row>
    <row r="210" spans="1:20" ht="12.75">
      <c r="A210" s="116"/>
      <c r="B210" s="85"/>
      <c r="C210" s="116"/>
      <c r="D210" s="167"/>
      <c r="E210" s="90"/>
      <c r="F210" s="272"/>
      <c r="G210" s="272"/>
      <c r="H210" s="99"/>
      <c r="I210" s="97"/>
      <c r="J210" s="101"/>
      <c r="K210" s="97"/>
      <c r="L210" s="116"/>
      <c r="M210" s="116"/>
      <c r="N210" s="116"/>
      <c r="O210" s="85"/>
      <c r="P210" s="85"/>
      <c r="Q210" s="85"/>
      <c r="R210" s="85"/>
      <c r="S210" s="52"/>
      <c r="T210" s="52"/>
    </row>
    <row r="211" spans="1:20" ht="12.75">
      <c r="A211" s="170"/>
      <c r="B211" s="116"/>
      <c r="C211" s="116"/>
      <c r="D211" s="167"/>
      <c r="E211" s="90"/>
      <c r="F211" s="156"/>
      <c r="G211" s="97"/>
      <c r="H211" s="99"/>
      <c r="I211" s="97"/>
      <c r="J211" s="101"/>
      <c r="K211" s="97"/>
      <c r="L211" s="116"/>
      <c r="M211" s="116"/>
      <c r="N211" s="116"/>
      <c r="O211" s="85"/>
      <c r="P211" s="85"/>
      <c r="Q211" s="85"/>
      <c r="R211" s="85"/>
      <c r="S211" s="52"/>
      <c r="T211" s="52"/>
    </row>
    <row r="212" spans="1:20" ht="12.75">
      <c r="A212" s="170"/>
      <c r="B212" s="116"/>
      <c r="C212" s="116"/>
      <c r="D212" s="167"/>
      <c r="E212" s="90"/>
      <c r="F212" s="156"/>
      <c r="G212" s="97"/>
      <c r="H212" s="99"/>
      <c r="I212" s="97"/>
      <c r="J212" s="101"/>
      <c r="K212" s="97"/>
      <c r="L212" s="116"/>
      <c r="M212" s="116"/>
      <c r="N212" s="116"/>
      <c r="O212" s="85"/>
      <c r="P212" s="85"/>
      <c r="Q212" s="85"/>
      <c r="R212" s="85"/>
      <c r="S212" s="52"/>
      <c r="T212" s="52"/>
    </row>
    <row r="213" spans="1:20" ht="12.75">
      <c r="A213" s="95"/>
      <c r="B213" s="91"/>
      <c r="C213" s="116"/>
      <c r="D213" s="167"/>
      <c r="E213" s="90"/>
      <c r="F213" s="156"/>
      <c r="G213" s="97"/>
      <c r="H213" s="155"/>
      <c r="I213" s="90"/>
      <c r="J213" s="103"/>
      <c r="K213" s="103"/>
      <c r="L213" s="116"/>
      <c r="M213" s="116"/>
      <c r="N213" s="116"/>
      <c r="O213" s="85"/>
      <c r="P213" s="85"/>
      <c r="Q213" s="85"/>
      <c r="R213" s="85"/>
      <c r="S213" s="52"/>
      <c r="T213" s="52"/>
    </row>
    <row r="214" spans="1:20" ht="12.75">
      <c r="A214" s="122"/>
      <c r="B214" s="85"/>
      <c r="C214" s="116"/>
      <c r="D214" s="167"/>
      <c r="E214" s="90"/>
      <c r="F214" s="272"/>
      <c r="G214" s="272"/>
      <c r="H214" s="99"/>
      <c r="I214" s="97"/>
      <c r="J214" s="101"/>
      <c r="K214" s="97"/>
      <c r="L214" s="116"/>
      <c r="M214" s="116"/>
      <c r="N214" s="116"/>
      <c r="O214" s="85"/>
      <c r="P214" s="85"/>
      <c r="Q214" s="85"/>
      <c r="R214" s="85"/>
      <c r="S214" s="52"/>
      <c r="T214" s="52"/>
    </row>
    <row r="215" spans="1:20" ht="12.75">
      <c r="A215" s="170"/>
      <c r="B215" s="116"/>
      <c r="C215" s="116"/>
      <c r="D215" s="167"/>
      <c r="E215" s="90"/>
      <c r="F215" s="156"/>
      <c r="G215" s="97"/>
      <c r="H215" s="155"/>
      <c r="I215" s="90"/>
      <c r="J215" s="103"/>
      <c r="K215" s="103"/>
      <c r="L215" s="116"/>
      <c r="M215" s="116"/>
      <c r="N215" s="116"/>
      <c r="O215" s="85"/>
      <c r="P215" s="85"/>
      <c r="Q215" s="85"/>
      <c r="R215" s="85"/>
      <c r="S215" s="52"/>
      <c r="T215" s="52"/>
    </row>
    <row r="216" spans="1:20" ht="12.75">
      <c r="A216" s="95"/>
      <c r="B216" s="91"/>
      <c r="C216" s="85"/>
      <c r="D216" s="96"/>
      <c r="E216" s="97"/>
      <c r="F216" s="98"/>
      <c r="G216" s="97"/>
      <c r="H216" s="99"/>
      <c r="I216" s="97"/>
      <c r="J216" s="101"/>
      <c r="K216" s="101"/>
      <c r="L216" s="85"/>
      <c r="M216" s="85"/>
      <c r="N216" s="85"/>
      <c r="O216" s="85"/>
      <c r="P216" s="85"/>
      <c r="Q216" s="85"/>
      <c r="R216" s="85"/>
      <c r="S216" s="52"/>
      <c r="T216" s="52"/>
    </row>
    <row r="217" spans="1:20" ht="12.75">
      <c r="A217" s="171"/>
      <c r="B217" s="85"/>
      <c r="C217" s="85"/>
      <c r="D217" s="96"/>
      <c r="E217" s="97"/>
      <c r="F217" s="98"/>
      <c r="G217" s="97"/>
      <c r="H217" s="99"/>
      <c r="I217" s="97"/>
      <c r="J217" s="101"/>
      <c r="K217" s="101"/>
      <c r="L217" s="85"/>
      <c r="M217" s="85"/>
      <c r="N217" s="85"/>
      <c r="O217" s="85"/>
      <c r="P217" s="85"/>
      <c r="Q217" s="85"/>
      <c r="R217" s="85"/>
      <c r="S217" s="52"/>
      <c r="T217" s="52"/>
    </row>
    <row r="218" spans="1:20" ht="12.75">
      <c r="A218" s="171"/>
      <c r="B218" s="85"/>
      <c r="C218" s="85"/>
      <c r="D218" s="96"/>
      <c r="E218" s="97"/>
      <c r="F218" s="98"/>
      <c r="G218" s="97"/>
      <c r="H218" s="99"/>
      <c r="I218" s="97"/>
      <c r="J218" s="101"/>
      <c r="K218" s="101"/>
      <c r="L218" s="85"/>
      <c r="M218" s="85"/>
      <c r="N218" s="85"/>
      <c r="O218" s="85"/>
      <c r="P218" s="85"/>
      <c r="Q218" s="85"/>
      <c r="R218" s="85"/>
      <c r="S218" s="52"/>
      <c r="T218" s="52"/>
    </row>
    <row r="219" spans="1:20" ht="12.75">
      <c r="A219" s="171"/>
      <c r="B219" s="85"/>
      <c r="C219" s="85"/>
      <c r="D219" s="96"/>
      <c r="E219" s="97"/>
      <c r="F219" s="98"/>
      <c r="G219" s="97"/>
      <c r="H219" s="99"/>
      <c r="I219" s="97"/>
      <c r="J219" s="101"/>
      <c r="K219" s="97"/>
      <c r="L219" s="85"/>
      <c r="M219" s="85"/>
      <c r="N219" s="85"/>
      <c r="O219" s="85"/>
      <c r="P219" s="85"/>
      <c r="Q219" s="85"/>
      <c r="R219" s="85"/>
      <c r="S219" s="52"/>
      <c r="T219" s="52"/>
    </row>
    <row r="220" spans="1:20" ht="12.75">
      <c r="A220" s="116"/>
      <c r="B220" s="85"/>
      <c r="C220" s="85"/>
      <c r="D220" s="96"/>
      <c r="E220" s="97"/>
      <c r="F220" s="98"/>
      <c r="G220" s="97"/>
      <c r="H220" s="99"/>
      <c r="I220" s="97"/>
      <c r="J220" s="101"/>
      <c r="K220" s="97"/>
      <c r="L220" s="85"/>
      <c r="M220" s="85"/>
      <c r="N220" s="85"/>
      <c r="O220" s="85"/>
      <c r="P220" s="85"/>
      <c r="Q220" s="85"/>
      <c r="R220" s="85"/>
      <c r="S220" s="52"/>
      <c r="T220" s="52"/>
    </row>
    <row r="221" spans="1:20" ht="12.75">
      <c r="A221" s="116"/>
      <c r="B221" s="85"/>
      <c r="C221" s="85"/>
      <c r="D221" s="96"/>
      <c r="E221" s="97"/>
      <c r="F221" s="269"/>
      <c r="G221" s="269"/>
      <c r="H221" s="99"/>
      <c r="I221" s="97"/>
      <c r="J221" s="101"/>
      <c r="K221" s="97"/>
      <c r="L221" s="85"/>
      <c r="M221" s="85"/>
      <c r="N221" s="85"/>
      <c r="O221" s="85"/>
      <c r="P221" s="85"/>
      <c r="Q221" s="85"/>
      <c r="R221" s="85"/>
      <c r="S221" s="52"/>
      <c r="T221" s="52"/>
    </row>
    <row r="222" spans="1:20" ht="12.75">
      <c r="A222" s="168"/>
      <c r="B222" s="113"/>
      <c r="C222" s="85"/>
      <c r="D222" s="96"/>
      <c r="E222" s="97"/>
      <c r="F222" s="98"/>
      <c r="G222" s="97"/>
      <c r="H222" s="99"/>
      <c r="I222" s="97"/>
      <c r="J222" s="101"/>
      <c r="K222" s="101"/>
      <c r="L222" s="85"/>
      <c r="M222" s="85"/>
      <c r="N222" s="85"/>
      <c r="O222" s="85"/>
      <c r="P222" s="85"/>
      <c r="Q222" s="85"/>
      <c r="R222" s="85"/>
      <c r="S222" s="52"/>
      <c r="T222" s="52"/>
    </row>
    <row r="223" spans="1:20" ht="12.75">
      <c r="A223" s="95"/>
      <c r="B223" s="91"/>
      <c r="C223" s="85"/>
      <c r="D223" s="96"/>
      <c r="E223" s="97"/>
      <c r="F223" s="98"/>
      <c r="G223" s="97"/>
      <c r="H223" s="99"/>
      <c r="I223" s="97"/>
      <c r="J223" s="101"/>
      <c r="K223" s="101"/>
      <c r="L223" s="85"/>
      <c r="M223" s="85"/>
      <c r="N223" s="85"/>
      <c r="O223" s="85"/>
      <c r="P223" s="85"/>
      <c r="Q223" s="85"/>
      <c r="R223" s="85"/>
      <c r="S223" s="52"/>
      <c r="T223" s="52"/>
    </row>
    <row r="224" spans="1:20" ht="12.75">
      <c r="A224" s="122"/>
      <c r="B224" s="85"/>
      <c r="C224" s="116"/>
      <c r="D224" s="167"/>
      <c r="E224" s="90"/>
      <c r="F224" s="272"/>
      <c r="G224" s="272"/>
      <c r="H224" s="155"/>
      <c r="I224" s="90"/>
      <c r="J224" s="103"/>
      <c r="K224" s="97"/>
      <c r="L224" s="116"/>
      <c r="M224" s="116"/>
      <c r="N224" s="116"/>
      <c r="O224" s="85"/>
      <c r="P224" s="85"/>
      <c r="Q224" s="85"/>
      <c r="R224" s="85"/>
      <c r="S224" s="52"/>
      <c r="T224" s="52"/>
    </row>
    <row r="225" spans="1:20" ht="12.75">
      <c r="A225" s="95"/>
      <c r="B225" s="112"/>
      <c r="C225" s="85"/>
      <c r="D225" s="96"/>
      <c r="E225" s="97"/>
      <c r="F225" s="98"/>
      <c r="G225" s="97"/>
      <c r="H225" s="99"/>
      <c r="I225" s="97"/>
      <c r="J225" s="101"/>
      <c r="K225" s="101"/>
      <c r="L225" s="85"/>
      <c r="M225" s="85"/>
      <c r="N225" s="85"/>
      <c r="O225" s="85"/>
      <c r="P225" s="85"/>
      <c r="Q225" s="85"/>
      <c r="R225" s="85"/>
      <c r="S225" s="52"/>
      <c r="T225" s="52"/>
    </row>
    <row r="226" spans="1:20" ht="12.75">
      <c r="A226" s="95"/>
      <c r="B226" s="112"/>
      <c r="C226" s="85"/>
      <c r="D226" s="96"/>
      <c r="E226" s="97"/>
      <c r="F226" s="98"/>
      <c r="G226" s="97"/>
      <c r="H226" s="99"/>
      <c r="I226" s="97"/>
      <c r="J226" s="101"/>
      <c r="K226" s="101"/>
      <c r="L226" s="85"/>
      <c r="M226" s="85"/>
      <c r="N226" s="85"/>
      <c r="O226" s="85"/>
      <c r="P226" s="85"/>
      <c r="Q226" s="85"/>
      <c r="R226" s="85"/>
      <c r="S226" s="52"/>
      <c r="T226" s="52"/>
    </row>
    <row r="227" spans="1:20" ht="12.75">
      <c r="A227" s="122"/>
      <c r="B227" s="85"/>
      <c r="C227" s="85"/>
      <c r="D227" s="96"/>
      <c r="E227" s="97"/>
      <c r="F227" s="269"/>
      <c r="G227" s="269"/>
      <c r="H227" s="99"/>
      <c r="I227" s="97"/>
      <c r="J227" s="103"/>
      <c r="K227" s="97"/>
      <c r="L227" s="85"/>
      <c r="M227" s="85"/>
      <c r="N227" s="85"/>
      <c r="O227" s="85"/>
      <c r="P227" s="85"/>
      <c r="Q227" s="85"/>
      <c r="R227" s="85"/>
      <c r="S227" s="52"/>
      <c r="T227" s="52"/>
    </row>
    <row r="228" spans="1:20" ht="12.75">
      <c r="A228" s="95"/>
      <c r="B228" s="112"/>
      <c r="C228" s="85"/>
      <c r="D228" s="96"/>
      <c r="E228" s="97"/>
      <c r="F228" s="98"/>
      <c r="G228" s="97"/>
      <c r="H228" s="99"/>
      <c r="I228" s="97"/>
      <c r="J228" s="101"/>
      <c r="K228" s="101"/>
      <c r="L228" s="85"/>
      <c r="M228" s="85"/>
      <c r="N228" s="85"/>
      <c r="O228" s="85"/>
      <c r="P228" s="85"/>
      <c r="Q228" s="85"/>
      <c r="R228" s="85"/>
      <c r="S228" s="52"/>
      <c r="T228" s="52"/>
    </row>
    <row r="229" spans="1:20" ht="12.75">
      <c r="A229" s="95"/>
      <c r="B229" s="112"/>
      <c r="C229" s="85"/>
      <c r="D229" s="96"/>
      <c r="E229" s="97"/>
      <c r="F229" s="98"/>
      <c r="G229" s="97"/>
      <c r="H229" s="99"/>
      <c r="I229" s="97"/>
      <c r="J229" s="101"/>
      <c r="K229" s="101"/>
      <c r="L229" s="85"/>
      <c r="M229" s="85"/>
      <c r="N229" s="85"/>
      <c r="O229" s="85"/>
      <c r="P229" s="85"/>
      <c r="Q229" s="85"/>
      <c r="R229" s="85"/>
      <c r="S229" s="52"/>
      <c r="T229" s="52"/>
    </row>
    <row r="230" spans="1:20" ht="12.75">
      <c r="A230" s="171"/>
      <c r="B230" s="85"/>
      <c r="C230" s="85"/>
      <c r="D230" s="96"/>
      <c r="E230" s="97"/>
      <c r="F230" s="98"/>
      <c r="G230" s="97"/>
      <c r="H230" s="99"/>
      <c r="I230" s="97"/>
      <c r="J230" s="101"/>
      <c r="K230" s="101"/>
      <c r="L230" s="85"/>
      <c r="M230" s="85"/>
      <c r="N230" s="85"/>
      <c r="O230" s="85"/>
      <c r="P230" s="85"/>
      <c r="Q230" s="85"/>
      <c r="R230" s="85"/>
      <c r="S230" s="52"/>
      <c r="T230" s="52"/>
    </row>
    <row r="231" spans="1:20" ht="12.75">
      <c r="A231" s="122"/>
      <c r="B231" s="85"/>
      <c r="C231" s="85"/>
      <c r="D231" s="96"/>
      <c r="E231" s="97"/>
      <c r="F231" s="269"/>
      <c r="G231" s="269"/>
      <c r="H231" s="99"/>
      <c r="I231" s="97"/>
      <c r="J231" s="103"/>
      <c r="K231" s="97"/>
      <c r="L231" s="85"/>
      <c r="M231" s="85"/>
      <c r="N231" s="85"/>
      <c r="O231" s="85"/>
      <c r="P231" s="85"/>
      <c r="Q231" s="85"/>
      <c r="R231" s="85"/>
      <c r="S231" s="52"/>
      <c r="T231" s="52"/>
    </row>
    <row r="232" spans="1:20" ht="12.75">
      <c r="A232" s="122"/>
      <c r="B232" s="85"/>
      <c r="C232" s="85"/>
      <c r="D232" s="96"/>
      <c r="E232" s="97"/>
      <c r="F232" s="98"/>
      <c r="G232" s="97"/>
      <c r="H232" s="99"/>
      <c r="I232" s="97"/>
      <c r="J232" s="103"/>
      <c r="K232" s="97"/>
      <c r="L232" s="85"/>
      <c r="M232" s="85"/>
      <c r="N232" s="85"/>
      <c r="O232" s="85"/>
      <c r="P232" s="85"/>
      <c r="Q232" s="85"/>
      <c r="R232" s="85"/>
      <c r="S232" s="52"/>
      <c r="T232" s="52"/>
    </row>
    <row r="233" spans="1:20" ht="12.75">
      <c r="A233" s="95"/>
      <c r="B233" s="112"/>
      <c r="C233" s="85"/>
      <c r="D233" s="96"/>
      <c r="E233" s="97"/>
      <c r="F233" s="98"/>
      <c r="G233" s="97"/>
      <c r="H233" s="99"/>
      <c r="I233" s="97"/>
      <c r="J233" s="101"/>
      <c r="K233" s="101"/>
      <c r="L233" s="85"/>
      <c r="M233" s="85"/>
      <c r="N233" s="85"/>
      <c r="O233" s="85"/>
      <c r="P233" s="85"/>
      <c r="Q233" s="85"/>
      <c r="R233" s="85"/>
      <c r="S233" s="52"/>
      <c r="T233" s="52"/>
    </row>
    <row r="234" spans="1:20" ht="12.75">
      <c r="A234" s="95"/>
      <c r="B234" s="112"/>
      <c r="C234" s="85"/>
      <c r="D234" s="96"/>
      <c r="E234" s="97"/>
      <c r="F234" s="98"/>
      <c r="G234" s="97"/>
      <c r="H234" s="99"/>
      <c r="I234" s="97"/>
      <c r="J234" s="101"/>
      <c r="K234" s="101"/>
      <c r="L234" s="85"/>
      <c r="M234" s="85"/>
      <c r="N234" s="85"/>
      <c r="O234" s="85"/>
      <c r="P234" s="85"/>
      <c r="Q234" s="85"/>
      <c r="R234" s="85"/>
      <c r="S234" s="52"/>
      <c r="T234" s="52"/>
    </row>
    <row r="235" spans="1:20" ht="12.75">
      <c r="A235" s="95"/>
      <c r="B235" s="112"/>
      <c r="C235" s="85"/>
      <c r="D235" s="96"/>
      <c r="E235" s="97"/>
      <c r="F235" s="98"/>
      <c r="G235" s="97"/>
      <c r="H235" s="99"/>
      <c r="I235" s="97"/>
      <c r="J235" s="101"/>
      <c r="K235" s="101"/>
      <c r="L235" s="85"/>
      <c r="M235" s="85"/>
      <c r="N235" s="85"/>
      <c r="O235" s="85"/>
      <c r="P235" s="85"/>
      <c r="Q235" s="85"/>
      <c r="R235" s="85"/>
      <c r="S235" s="52"/>
      <c r="T235" s="52"/>
    </row>
    <row r="236" spans="1:20" ht="12.75">
      <c r="A236" s="95"/>
      <c r="B236" s="91"/>
      <c r="C236" s="85"/>
      <c r="D236" s="96"/>
      <c r="E236" s="97"/>
      <c r="F236" s="98"/>
      <c r="G236" s="97"/>
      <c r="H236" s="99"/>
      <c r="I236" s="97"/>
      <c r="J236" s="101"/>
      <c r="K236" s="101"/>
      <c r="L236" s="85"/>
      <c r="M236" s="85"/>
      <c r="N236" s="85"/>
      <c r="O236" s="85"/>
      <c r="P236" s="85"/>
      <c r="Q236" s="85"/>
      <c r="R236" s="85"/>
      <c r="S236" s="52"/>
      <c r="T236" s="52"/>
    </row>
    <row r="237" spans="1:20" ht="12.75">
      <c r="A237" s="172"/>
      <c r="B237" s="85"/>
      <c r="C237" s="85"/>
      <c r="D237" s="96"/>
      <c r="E237" s="97"/>
      <c r="F237" s="98"/>
      <c r="G237" s="97"/>
      <c r="H237" s="99"/>
      <c r="I237" s="97"/>
      <c r="J237" s="103"/>
      <c r="K237" s="97"/>
      <c r="L237" s="85"/>
      <c r="M237" s="85"/>
      <c r="N237" s="85"/>
      <c r="O237" s="85"/>
      <c r="P237" s="85"/>
      <c r="Q237" s="85"/>
      <c r="R237" s="85"/>
      <c r="S237" s="52"/>
      <c r="T237" s="52"/>
    </row>
    <row r="238" spans="1:20" ht="12.75">
      <c r="A238" s="172"/>
      <c r="B238" s="85"/>
      <c r="C238" s="85"/>
      <c r="D238" s="96"/>
      <c r="E238" s="97"/>
      <c r="F238" s="98"/>
      <c r="G238" s="97"/>
      <c r="H238" s="99"/>
      <c r="I238" s="97"/>
      <c r="J238" s="103"/>
      <c r="K238" s="97"/>
      <c r="L238" s="85"/>
      <c r="M238" s="85"/>
      <c r="N238" s="85"/>
      <c r="O238" s="85"/>
      <c r="P238" s="85"/>
      <c r="Q238" s="85"/>
      <c r="R238" s="85"/>
      <c r="S238" s="52"/>
      <c r="T238" s="52"/>
    </row>
    <row r="239" spans="1:20" ht="12.75">
      <c r="A239" s="122"/>
      <c r="B239" s="85"/>
      <c r="C239" s="85"/>
      <c r="D239" s="96"/>
      <c r="E239" s="97"/>
      <c r="F239" s="269"/>
      <c r="G239" s="269"/>
      <c r="H239" s="99"/>
      <c r="I239" s="97"/>
      <c r="J239" s="103"/>
      <c r="K239" s="97"/>
      <c r="L239" s="85"/>
      <c r="M239" s="85"/>
      <c r="N239" s="85"/>
      <c r="O239" s="85"/>
      <c r="P239" s="85"/>
      <c r="Q239" s="85"/>
      <c r="R239" s="85"/>
      <c r="S239" s="52"/>
      <c r="T239" s="52"/>
    </row>
    <row r="240" spans="1:20" ht="12.75">
      <c r="A240" s="95"/>
      <c r="B240" s="122"/>
      <c r="C240" s="85"/>
      <c r="D240" s="96"/>
      <c r="E240" s="97"/>
      <c r="F240" s="98"/>
      <c r="G240" s="97"/>
      <c r="H240" s="99"/>
      <c r="I240" s="97"/>
      <c r="J240" s="101"/>
      <c r="K240" s="101"/>
      <c r="L240" s="85"/>
      <c r="M240" s="85"/>
      <c r="N240" s="85"/>
      <c r="O240" s="85"/>
      <c r="P240" s="85"/>
      <c r="Q240" s="85"/>
      <c r="R240" s="85"/>
      <c r="S240" s="52"/>
      <c r="T240" s="52"/>
    </row>
    <row r="241" spans="1:20" ht="12.75">
      <c r="A241" s="95"/>
      <c r="B241" s="122"/>
      <c r="C241" s="85"/>
      <c r="D241" s="96"/>
      <c r="E241" s="97"/>
      <c r="F241" s="98"/>
      <c r="G241" s="97"/>
      <c r="H241" s="99"/>
      <c r="I241" s="97"/>
      <c r="J241" s="101"/>
      <c r="K241" s="101"/>
      <c r="L241" s="85"/>
      <c r="M241" s="85"/>
      <c r="N241" s="85"/>
      <c r="O241" s="85"/>
      <c r="P241" s="85"/>
      <c r="Q241" s="85"/>
      <c r="R241" s="85"/>
      <c r="S241" s="52"/>
      <c r="T241" s="52"/>
    </row>
    <row r="242" spans="1:20" ht="12.75">
      <c r="A242" s="95"/>
      <c r="B242" s="173"/>
      <c r="C242" s="85"/>
      <c r="D242" s="96"/>
      <c r="E242" s="97"/>
      <c r="F242" s="98"/>
      <c r="G242" s="97"/>
      <c r="H242" s="99"/>
      <c r="I242" s="97"/>
      <c r="J242" s="101"/>
      <c r="K242" s="101"/>
      <c r="L242" s="85"/>
      <c r="M242" s="85"/>
      <c r="N242" s="85"/>
      <c r="O242" s="85"/>
      <c r="P242" s="85"/>
      <c r="Q242" s="85"/>
      <c r="R242" s="85"/>
      <c r="S242" s="52"/>
      <c r="T242" s="52"/>
    </row>
    <row r="243" spans="1:20" ht="12.75">
      <c r="A243" s="122"/>
      <c r="B243" s="85"/>
      <c r="C243" s="85"/>
      <c r="D243" s="96"/>
      <c r="E243" s="97"/>
      <c r="F243" s="269"/>
      <c r="G243" s="269"/>
      <c r="H243" s="99"/>
      <c r="I243" s="97"/>
      <c r="J243" s="103"/>
      <c r="K243" s="97"/>
      <c r="L243" s="85"/>
      <c r="M243" s="85"/>
      <c r="N243" s="85"/>
      <c r="O243" s="85"/>
      <c r="P243" s="85"/>
      <c r="Q243" s="85"/>
      <c r="R243" s="85"/>
      <c r="S243" s="52"/>
      <c r="T243" s="52"/>
    </row>
    <row r="244" spans="1:20" ht="12.75">
      <c r="A244" s="122"/>
      <c r="B244" s="122"/>
      <c r="C244" s="85"/>
      <c r="D244" s="96"/>
      <c r="E244" s="97"/>
      <c r="F244" s="98"/>
      <c r="G244" s="97"/>
      <c r="H244" s="99"/>
      <c r="I244" s="97"/>
      <c r="J244" s="101"/>
      <c r="K244" s="101"/>
      <c r="L244" s="85"/>
      <c r="M244" s="85"/>
      <c r="N244" s="85"/>
      <c r="O244" s="85"/>
      <c r="P244" s="85"/>
      <c r="Q244" s="85"/>
      <c r="R244" s="85"/>
      <c r="S244" s="52"/>
      <c r="T244" s="52"/>
    </row>
    <row r="245" spans="1:20" ht="12.75">
      <c r="A245" s="122"/>
      <c r="B245" s="122"/>
      <c r="C245" s="85"/>
      <c r="D245" s="96"/>
      <c r="E245" s="97"/>
      <c r="F245" s="269"/>
      <c r="G245" s="269"/>
      <c r="H245" s="99"/>
      <c r="I245" s="97"/>
      <c r="J245" s="103"/>
      <c r="K245" s="97"/>
      <c r="L245" s="85"/>
      <c r="M245" s="85"/>
      <c r="N245" s="85"/>
      <c r="O245" s="85"/>
      <c r="P245" s="85"/>
      <c r="Q245" s="85"/>
      <c r="R245" s="85"/>
      <c r="S245" s="52"/>
      <c r="T245" s="52"/>
    </row>
    <row r="246" spans="1:20" ht="12.75">
      <c r="A246" s="122"/>
      <c r="B246" s="122"/>
      <c r="C246" s="85"/>
      <c r="D246" s="96"/>
      <c r="E246" s="97"/>
      <c r="F246" s="98"/>
      <c r="G246" s="97"/>
      <c r="H246" s="99"/>
      <c r="I246" s="97"/>
      <c r="J246" s="101"/>
      <c r="K246" s="97"/>
      <c r="L246" s="85"/>
      <c r="M246" s="85"/>
      <c r="N246" s="85"/>
      <c r="O246" s="85"/>
      <c r="P246" s="85"/>
      <c r="Q246" s="85"/>
      <c r="R246" s="85"/>
      <c r="S246" s="52"/>
      <c r="T246" s="52"/>
    </row>
    <row r="247" spans="1:20" ht="12.75">
      <c r="A247" s="122"/>
      <c r="B247" s="122"/>
      <c r="C247" s="85"/>
      <c r="D247" s="96"/>
      <c r="E247" s="97"/>
      <c r="F247" s="269"/>
      <c r="G247" s="269"/>
      <c r="H247" s="99"/>
      <c r="I247" s="97"/>
      <c r="J247" s="103"/>
      <c r="K247" s="97"/>
      <c r="L247" s="85"/>
      <c r="M247" s="85"/>
      <c r="N247" s="85"/>
      <c r="O247" s="85"/>
      <c r="P247" s="85"/>
      <c r="Q247" s="85"/>
      <c r="R247" s="85"/>
      <c r="S247" s="52"/>
      <c r="T247" s="52"/>
    </row>
    <row r="248" spans="1:20" ht="12.75">
      <c r="A248" s="95"/>
      <c r="B248" s="122"/>
      <c r="C248" s="85"/>
      <c r="D248" s="96"/>
      <c r="E248" s="97"/>
      <c r="F248" s="98"/>
      <c r="G248" s="97"/>
      <c r="H248" s="99"/>
      <c r="I248" s="97"/>
      <c r="J248" s="101"/>
      <c r="K248" s="101"/>
      <c r="L248" s="85"/>
      <c r="M248" s="85"/>
      <c r="N248" s="85"/>
      <c r="O248" s="85"/>
      <c r="P248" s="85"/>
      <c r="Q248" s="85"/>
      <c r="R248" s="85"/>
      <c r="S248" s="52"/>
      <c r="T248" s="52"/>
    </row>
    <row r="249" spans="1:20" ht="12.75">
      <c r="A249" s="95"/>
      <c r="B249" s="173"/>
      <c r="C249" s="85"/>
      <c r="D249" s="96"/>
      <c r="E249" s="97"/>
      <c r="F249" s="98"/>
      <c r="G249" s="97"/>
      <c r="H249" s="99"/>
      <c r="I249" s="97"/>
      <c r="J249" s="101"/>
      <c r="K249" s="97"/>
      <c r="L249" s="85"/>
      <c r="M249" s="85"/>
      <c r="N249" s="85"/>
      <c r="O249" s="85"/>
      <c r="P249" s="85"/>
      <c r="Q249" s="85"/>
      <c r="R249" s="85"/>
      <c r="S249" s="52"/>
      <c r="T249" s="52"/>
    </row>
    <row r="250" spans="1:20" ht="12.75">
      <c r="A250" s="122"/>
      <c r="B250" s="85"/>
      <c r="C250" s="134"/>
      <c r="D250" s="96"/>
      <c r="E250" s="97"/>
      <c r="F250" s="269"/>
      <c r="G250" s="269"/>
      <c r="H250" s="99"/>
      <c r="I250" s="97"/>
      <c r="J250" s="103"/>
      <c r="K250" s="97"/>
      <c r="L250" s="85"/>
      <c r="M250" s="85"/>
      <c r="N250" s="85"/>
      <c r="O250" s="85"/>
      <c r="P250" s="85"/>
      <c r="Q250" s="85"/>
      <c r="R250" s="85"/>
      <c r="S250" s="52"/>
      <c r="T250" s="52"/>
    </row>
    <row r="251" spans="1:20" ht="12.75">
      <c r="A251" s="147"/>
      <c r="B251" s="85"/>
      <c r="C251" s="85"/>
      <c r="D251" s="96"/>
      <c r="E251" s="97"/>
      <c r="F251" s="98"/>
      <c r="G251" s="97"/>
      <c r="H251" s="99"/>
      <c r="I251" s="97"/>
      <c r="J251" s="101"/>
      <c r="K251" s="97"/>
      <c r="L251" s="85"/>
      <c r="M251" s="85"/>
      <c r="N251" s="85"/>
      <c r="O251" s="85"/>
      <c r="P251" s="85"/>
      <c r="Q251" s="85"/>
      <c r="R251" s="85"/>
      <c r="S251" s="52"/>
      <c r="T251" s="52"/>
    </row>
    <row r="252" spans="1:20" ht="12.75">
      <c r="A252" s="95"/>
      <c r="B252" s="147"/>
      <c r="C252" s="85"/>
      <c r="D252" s="96"/>
      <c r="E252" s="97"/>
      <c r="F252" s="98"/>
      <c r="G252" s="97"/>
      <c r="H252" s="99"/>
      <c r="I252" s="97"/>
      <c r="J252" s="101"/>
      <c r="K252" s="97"/>
      <c r="L252" s="85"/>
      <c r="M252" s="85"/>
      <c r="N252" s="85"/>
      <c r="O252" s="85"/>
      <c r="P252" s="85"/>
      <c r="Q252" s="85"/>
      <c r="R252" s="85"/>
      <c r="S252" s="52"/>
      <c r="T252" s="52"/>
    </row>
    <row r="253" spans="1:20" ht="12.75">
      <c r="A253" s="95"/>
      <c r="B253" s="173"/>
      <c r="C253" s="85"/>
      <c r="D253" s="96"/>
      <c r="E253" s="97"/>
      <c r="F253" s="98"/>
      <c r="G253" s="97"/>
      <c r="H253" s="99"/>
      <c r="I253" s="97"/>
      <c r="J253" s="101"/>
      <c r="K253" s="97"/>
      <c r="L253" s="85"/>
      <c r="M253" s="85"/>
      <c r="N253" s="85"/>
      <c r="O253" s="85"/>
      <c r="P253" s="85"/>
      <c r="Q253" s="85"/>
      <c r="R253" s="85"/>
      <c r="S253" s="52"/>
      <c r="T253" s="52"/>
    </row>
    <row r="254" spans="1:20" ht="12.75">
      <c r="A254" s="122"/>
      <c r="B254" s="85"/>
      <c r="C254" s="85"/>
      <c r="D254" s="96"/>
      <c r="E254" s="97"/>
      <c r="F254" s="269"/>
      <c r="G254" s="269"/>
      <c r="H254" s="99"/>
      <c r="I254" s="97"/>
      <c r="J254" s="103"/>
      <c r="K254" s="97"/>
      <c r="L254" s="85"/>
      <c r="M254" s="85"/>
      <c r="N254" s="85"/>
      <c r="O254" s="85"/>
      <c r="P254" s="85"/>
      <c r="Q254" s="85"/>
      <c r="R254" s="85"/>
      <c r="S254" s="52"/>
      <c r="T254" s="52"/>
    </row>
    <row r="255" spans="1:20" ht="12.75">
      <c r="A255" s="95"/>
      <c r="B255" s="112"/>
      <c r="C255" s="85"/>
      <c r="D255" s="96"/>
      <c r="E255" s="97"/>
      <c r="F255" s="98"/>
      <c r="G255" s="97"/>
      <c r="H255" s="99"/>
      <c r="I255" s="97"/>
      <c r="J255" s="101"/>
      <c r="K255" s="101"/>
      <c r="L255" s="85"/>
      <c r="M255" s="85"/>
      <c r="N255" s="85"/>
      <c r="O255" s="85"/>
      <c r="P255" s="85"/>
      <c r="Q255" s="85"/>
      <c r="R255" s="85"/>
      <c r="S255" s="52"/>
      <c r="T255" s="52"/>
    </row>
    <row r="256" spans="1:20" ht="12.75">
      <c r="A256" s="95"/>
      <c r="B256" s="112"/>
      <c r="C256" s="85"/>
      <c r="D256" s="96"/>
      <c r="E256" s="97"/>
      <c r="F256" s="98"/>
      <c r="G256" s="97"/>
      <c r="H256" s="99"/>
      <c r="I256" s="97"/>
      <c r="J256" s="101"/>
      <c r="K256" s="101"/>
      <c r="L256" s="85"/>
      <c r="M256" s="85"/>
      <c r="N256" s="85"/>
      <c r="O256" s="85"/>
      <c r="P256" s="85"/>
      <c r="Q256" s="85"/>
      <c r="R256" s="85"/>
      <c r="S256" s="52"/>
      <c r="T256" s="52"/>
    </row>
    <row r="257" spans="1:20" ht="12.75">
      <c r="A257" s="95"/>
      <c r="B257" s="112"/>
      <c r="C257" s="85"/>
      <c r="D257" s="96"/>
      <c r="E257" s="97"/>
      <c r="F257" s="98"/>
      <c r="G257" s="97"/>
      <c r="H257" s="99"/>
      <c r="I257" s="97"/>
      <c r="J257" s="101"/>
      <c r="K257" s="101"/>
      <c r="L257" s="85"/>
      <c r="M257" s="85"/>
      <c r="N257" s="85"/>
      <c r="O257" s="85"/>
      <c r="P257" s="85"/>
      <c r="Q257" s="85"/>
      <c r="R257" s="85"/>
      <c r="S257" s="52"/>
      <c r="T257" s="52"/>
    </row>
    <row r="258" spans="1:20" ht="12.75">
      <c r="A258" s="122"/>
      <c r="B258" s="112"/>
      <c r="C258" s="85"/>
      <c r="D258" s="96"/>
      <c r="E258" s="97"/>
      <c r="F258" s="269"/>
      <c r="G258" s="269"/>
      <c r="H258" s="99"/>
      <c r="I258" s="97"/>
      <c r="J258" s="103"/>
      <c r="K258" s="97"/>
      <c r="L258" s="85"/>
      <c r="M258" s="85"/>
      <c r="N258" s="85"/>
      <c r="O258" s="85"/>
      <c r="P258" s="85"/>
      <c r="Q258" s="85"/>
      <c r="R258" s="85"/>
      <c r="S258" s="52"/>
      <c r="T258" s="52"/>
    </row>
    <row r="259" spans="1:20" ht="12.75">
      <c r="A259" s="122"/>
      <c r="B259" s="112"/>
      <c r="C259" s="85"/>
      <c r="D259" s="96"/>
      <c r="E259" s="97"/>
      <c r="F259" s="98"/>
      <c r="G259" s="97"/>
      <c r="H259" s="266"/>
      <c r="I259" s="266"/>
      <c r="J259" s="103"/>
      <c r="K259" s="97"/>
      <c r="L259" s="85"/>
      <c r="M259" s="85"/>
      <c r="N259" s="85"/>
      <c r="O259" s="85"/>
      <c r="P259" s="85"/>
      <c r="Q259" s="85"/>
      <c r="R259" s="85"/>
      <c r="S259" s="52"/>
      <c r="T259" s="52"/>
    </row>
    <row r="260" spans="1:20" ht="12.75">
      <c r="A260" s="122"/>
      <c r="B260" s="112"/>
      <c r="C260" s="85"/>
      <c r="D260" s="96"/>
      <c r="E260" s="97"/>
      <c r="F260" s="269"/>
      <c r="G260" s="269"/>
      <c r="H260" s="266"/>
      <c r="I260" s="266"/>
      <c r="J260" s="103"/>
      <c r="K260" s="97"/>
      <c r="L260" s="85"/>
      <c r="M260" s="85"/>
      <c r="N260" s="85"/>
      <c r="O260" s="85"/>
      <c r="P260" s="85"/>
      <c r="Q260" s="85"/>
      <c r="R260" s="85"/>
      <c r="S260" s="52"/>
      <c r="T260" s="52"/>
    </row>
    <row r="261" spans="1:20" ht="12.75">
      <c r="A261" s="85"/>
      <c r="B261" s="271"/>
      <c r="C261" s="271"/>
      <c r="D261" s="271"/>
      <c r="E261" s="271"/>
      <c r="F261" s="271"/>
      <c r="G261" s="85"/>
      <c r="H261" s="85"/>
      <c r="I261" s="85"/>
      <c r="J261" s="101"/>
      <c r="K261" s="90"/>
      <c r="L261" s="109"/>
      <c r="M261" s="85"/>
      <c r="N261" s="110"/>
      <c r="O261" s="85"/>
      <c r="P261" s="85"/>
      <c r="Q261" s="85"/>
      <c r="R261" s="85"/>
      <c r="S261" s="52"/>
      <c r="T261" s="52"/>
    </row>
    <row r="262" spans="1:20" ht="12.75">
      <c r="A262" s="122"/>
      <c r="B262" s="122"/>
      <c r="C262" s="85"/>
      <c r="D262" s="96"/>
      <c r="E262" s="97"/>
      <c r="F262" s="269"/>
      <c r="G262" s="269"/>
      <c r="H262" s="269"/>
      <c r="I262" s="269"/>
      <c r="J262" s="101"/>
      <c r="K262" s="90"/>
      <c r="L262" s="109"/>
      <c r="M262" s="85"/>
      <c r="N262" s="110"/>
      <c r="O262" s="85"/>
      <c r="P262" s="85"/>
      <c r="Q262" s="85"/>
      <c r="R262" s="85"/>
      <c r="S262" s="52"/>
      <c r="T262" s="52"/>
    </row>
    <row r="263" spans="1:20" ht="12.75">
      <c r="A263" s="95"/>
      <c r="B263" s="112"/>
      <c r="C263" s="85"/>
      <c r="D263" s="96"/>
      <c r="E263" s="97"/>
      <c r="F263" s="98"/>
      <c r="G263" s="97"/>
      <c r="H263" s="99"/>
      <c r="I263" s="97"/>
      <c r="J263" s="101"/>
      <c r="K263" s="101"/>
      <c r="L263" s="85"/>
      <c r="M263" s="85"/>
      <c r="N263" s="85"/>
      <c r="O263" s="85"/>
      <c r="P263" s="85"/>
      <c r="Q263" s="85"/>
      <c r="R263" s="85"/>
      <c r="S263" s="52"/>
      <c r="T263" s="52"/>
    </row>
    <row r="264" spans="1:20" ht="12.75">
      <c r="A264" s="95"/>
      <c r="B264" s="112"/>
      <c r="C264" s="85"/>
      <c r="D264" s="268"/>
      <c r="E264" s="268"/>
      <c r="F264" s="270"/>
      <c r="G264" s="270"/>
      <c r="H264" s="268"/>
      <c r="I264" s="268"/>
      <c r="J264" s="101"/>
      <c r="K264" s="104"/>
      <c r="L264" s="85"/>
      <c r="M264" s="85"/>
      <c r="N264" s="85"/>
      <c r="O264" s="85"/>
      <c r="P264" s="85"/>
      <c r="Q264" s="85"/>
      <c r="R264" s="85"/>
      <c r="S264" s="52"/>
      <c r="T264" s="52"/>
    </row>
    <row r="265" spans="1:20" ht="12.75">
      <c r="A265" s="95"/>
      <c r="B265" s="112"/>
      <c r="C265" s="85"/>
      <c r="D265" s="268"/>
      <c r="E265" s="268"/>
      <c r="F265" s="270"/>
      <c r="G265" s="270"/>
      <c r="H265" s="268"/>
      <c r="I265" s="268"/>
      <c r="J265" s="101"/>
      <c r="K265" s="104"/>
      <c r="L265" s="85"/>
      <c r="M265" s="85"/>
      <c r="N265" s="85"/>
      <c r="O265" s="85"/>
      <c r="P265" s="85"/>
      <c r="Q265" s="85"/>
      <c r="R265" s="85"/>
      <c r="S265" s="52"/>
      <c r="T265" s="52"/>
    </row>
    <row r="266" spans="1:20" ht="12.75">
      <c r="A266" s="95"/>
      <c r="B266" s="112"/>
      <c r="C266" s="85"/>
      <c r="D266" s="96"/>
      <c r="E266" s="97"/>
      <c r="F266" s="98"/>
      <c r="G266" s="97"/>
      <c r="H266" s="99"/>
      <c r="I266" s="97"/>
      <c r="J266" s="101"/>
      <c r="K266" s="101"/>
      <c r="L266" s="85"/>
      <c r="M266" s="85"/>
      <c r="N266" s="85"/>
      <c r="O266" s="85"/>
      <c r="P266" s="85"/>
      <c r="Q266" s="85"/>
      <c r="R266" s="85"/>
      <c r="S266" s="52"/>
      <c r="T266" s="52"/>
    </row>
    <row r="267" spans="1:20" ht="12.75">
      <c r="A267" s="116"/>
      <c r="B267" s="85"/>
      <c r="C267" s="85"/>
      <c r="D267" s="265"/>
      <c r="E267" s="265"/>
      <c r="F267" s="267"/>
      <c r="G267" s="267"/>
      <c r="H267" s="265"/>
      <c r="I267" s="265"/>
      <c r="J267" s="101"/>
      <c r="K267" s="107"/>
      <c r="L267" s="85"/>
      <c r="M267" s="85"/>
      <c r="N267" s="110"/>
      <c r="O267" s="85"/>
      <c r="P267" s="85"/>
      <c r="Q267" s="85"/>
      <c r="R267" s="85"/>
      <c r="S267" s="52"/>
      <c r="T267" s="52"/>
    </row>
    <row r="268" spans="1:20" ht="12.75">
      <c r="A268" s="116"/>
      <c r="B268" s="85"/>
      <c r="C268" s="85"/>
      <c r="D268" s="96"/>
      <c r="E268" s="97"/>
      <c r="F268" s="98"/>
      <c r="G268" s="97"/>
      <c r="H268" s="99"/>
      <c r="I268" s="97"/>
      <c r="J268" s="101"/>
      <c r="K268" s="101"/>
      <c r="L268" s="85"/>
      <c r="M268" s="85"/>
      <c r="N268" s="85"/>
      <c r="O268" s="85"/>
      <c r="P268" s="85"/>
      <c r="Q268" s="85"/>
      <c r="R268" s="85"/>
      <c r="S268" s="52"/>
      <c r="T268" s="52"/>
    </row>
    <row r="269" spans="1:20" ht="12.75">
      <c r="A269" s="95"/>
      <c r="B269" s="116"/>
      <c r="C269" s="85"/>
      <c r="D269" s="96"/>
      <c r="E269" s="97"/>
      <c r="F269" s="98"/>
      <c r="G269" s="97"/>
      <c r="H269" s="99"/>
      <c r="I269" s="97"/>
      <c r="J269" s="101"/>
      <c r="K269" s="93"/>
      <c r="L269" s="91"/>
      <c r="M269" s="85"/>
      <c r="N269" s="108"/>
      <c r="O269" s="85"/>
      <c r="P269" s="85"/>
      <c r="Q269" s="85"/>
      <c r="R269" s="85"/>
      <c r="S269" s="52"/>
      <c r="T269" s="52"/>
    </row>
    <row r="270" spans="1:20" ht="12.75">
      <c r="A270" s="95"/>
      <c r="B270" s="116"/>
      <c r="C270" s="85"/>
      <c r="D270" s="96"/>
      <c r="E270" s="97"/>
      <c r="F270" s="98"/>
      <c r="G270" s="97"/>
      <c r="H270" s="99"/>
      <c r="I270" s="97"/>
      <c r="J270" s="101"/>
      <c r="K270" s="101"/>
      <c r="L270" s="85"/>
      <c r="M270" s="111"/>
      <c r="N270" s="112"/>
      <c r="O270" s="85"/>
      <c r="P270" s="85"/>
      <c r="Q270" s="85"/>
      <c r="R270" s="85"/>
      <c r="S270" s="52"/>
      <c r="T270" s="52"/>
    </row>
    <row r="271" spans="1:20" ht="12.75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52"/>
      <c r="T271" s="52"/>
    </row>
    <row r="272" spans="1:20" ht="12.75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52"/>
      <c r="T272" s="52"/>
    </row>
    <row r="273" spans="1:20" ht="12.75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52"/>
      <c r="T273" s="52"/>
    </row>
    <row r="274" spans="1:20" ht="12.75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52"/>
      <c r="T274" s="52"/>
    </row>
    <row r="275" spans="1:20" ht="12.75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52"/>
      <c r="T275" s="52"/>
    </row>
    <row r="276" spans="1:20" ht="12.75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52"/>
      <c r="T276" s="52"/>
    </row>
    <row r="277" spans="1:20" ht="12.75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52"/>
      <c r="T277" s="52"/>
    </row>
    <row r="278" spans="1:20" ht="12.75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52"/>
      <c r="T278" s="52"/>
    </row>
    <row r="279" spans="1:20" ht="12.75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52"/>
      <c r="T279" s="52"/>
    </row>
    <row r="280" spans="1:20" ht="12.75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52"/>
      <c r="T280" s="52"/>
    </row>
    <row r="281" spans="1:20" ht="12.75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52"/>
      <c r="T281" s="52"/>
    </row>
    <row r="282" spans="1:20" ht="12.75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52"/>
      <c r="T282" s="52"/>
    </row>
    <row r="283" spans="1:20" ht="12.75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52"/>
      <c r="T283" s="52"/>
    </row>
    <row r="284" spans="1:20" ht="12.75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52"/>
      <c r="T284" s="52"/>
    </row>
    <row r="285" spans="1:20" ht="12.75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52"/>
      <c r="T285" s="52"/>
    </row>
    <row r="286" spans="1:20" ht="12.75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52"/>
      <c r="T286" s="52"/>
    </row>
    <row r="287" spans="1:20" ht="12.75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52"/>
      <c r="T287" s="52"/>
    </row>
    <row r="288" spans="1:20" ht="12.75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52"/>
      <c r="T288" s="52"/>
    </row>
    <row r="289" spans="1:20" ht="12.75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52"/>
      <c r="T289" s="52"/>
    </row>
    <row r="290" spans="1:20" ht="12.75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52"/>
      <c r="T290" s="52"/>
    </row>
    <row r="291" spans="1:20" ht="12.75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52"/>
      <c r="T291" s="52"/>
    </row>
    <row r="292" spans="1:20" ht="12.75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52"/>
      <c r="T292" s="52"/>
    </row>
    <row r="293" spans="1:20" ht="12.75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52"/>
      <c r="T293" s="52"/>
    </row>
    <row r="294" spans="1:20" ht="12.75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52"/>
      <c r="T294" s="52"/>
    </row>
    <row r="295" spans="1:20" ht="12.75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52"/>
      <c r="T295" s="52"/>
    </row>
    <row r="296" spans="1:20" ht="12.75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52"/>
      <c r="T296" s="52"/>
    </row>
    <row r="297" spans="1:20" ht="12.75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52"/>
      <c r="T297" s="52"/>
    </row>
    <row r="298" spans="1:20" ht="12.75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52"/>
      <c r="T298" s="52"/>
    </row>
    <row r="299" spans="1:20" ht="12.75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52"/>
      <c r="T299" s="52"/>
    </row>
    <row r="300" spans="1:20" ht="12.75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52"/>
      <c r="T300" s="52"/>
    </row>
    <row r="301" spans="1:20" ht="12.75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52"/>
      <c r="T301" s="52"/>
    </row>
    <row r="302" spans="1:20" ht="12.7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</row>
    <row r="303" spans="1:20" ht="12.7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</row>
    <row r="304" spans="1:20" ht="12.7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</row>
    <row r="305" spans="1:20" ht="12.7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</row>
    <row r="306" spans="1:20" ht="12.7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</row>
    <row r="307" spans="1:20" ht="12.7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</row>
    <row r="308" spans="1:20" ht="12.7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</row>
    <row r="309" spans="1:20" ht="12.7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</row>
    <row r="310" spans="1:20" ht="12.7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</row>
    <row r="311" spans="1:20" ht="12.7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</row>
    <row r="312" spans="1:20" ht="12.7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</row>
    <row r="313" spans="1:20" ht="12.7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</row>
    <row r="314" spans="1:20" ht="12.7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</row>
    <row r="315" spans="1:20" ht="12.7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</row>
    <row r="316" spans="1:20" ht="12.7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</row>
    <row r="317" spans="1:20" ht="12.7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</row>
    <row r="318" spans="1:20" ht="12.7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</row>
    <row r="319" spans="1:20" ht="12.7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</row>
    <row r="320" spans="1:20" ht="12.7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</row>
    <row r="321" spans="1:20" ht="12.7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</row>
    <row r="322" spans="1:20" ht="12.7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</row>
    <row r="323" spans="1:20" ht="12.7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</row>
    <row r="324" spans="1:20" ht="12.7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</row>
    <row r="325" spans="1:20" ht="12.7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</row>
    <row r="326" spans="1:20" ht="12.7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</row>
    <row r="327" spans="1:20" ht="12.7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</row>
    <row r="328" spans="1:20" ht="12.7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</row>
    <row r="329" spans="1:20" ht="12.7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</row>
    <row r="330" spans="1:20" ht="12.7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</row>
    <row r="331" spans="1:20" ht="12.7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</row>
    <row r="332" spans="1:20" ht="12.7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</row>
    <row r="333" spans="1:20" ht="12.7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</row>
  </sheetData>
  <mergeCells count="170">
    <mergeCell ref="B11:C11"/>
    <mergeCell ref="B13:C13"/>
    <mergeCell ref="B16:C16"/>
    <mergeCell ref="B18:C18"/>
    <mergeCell ref="L94:M94"/>
    <mergeCell ref="J95:K95"/>
    <mergeCell ref="L95:M95"/>
    <mergeCell ref="H100:I100"/>
    <mergeCell ref="J100:K100"/>
    <mergeCell ref="L100:M100"/>
    <mergeCell ref="H99:I99"/>
    <mergeCell ref="D13:E13"/>
    <mergeCell ref="J97:K97"/>
    <mergeCell ref="L97:M97"/>
    <mergeCell ref="H98:I98"/>
    <mergeCell ref="H94:I94"/>
    <mergeCell ref="H95:I95"/>
    <mergeCell ref="H96:I96"/>
    <mergeCell ref="H97:I97"/>
    <mergeCell ref="J94:K94"/>
    <mergeCell ref="F15:G15"/>
    <mergeCell ref="E113:G113"/>
    <mergeCell ref="E114:G114"/>
    <mergeCell ref="E115:G115"/>
    <mergeCell ref="E109:G109"/>
    <mergeCell ref="E110:G110"/>
    <mergeCell ref="E111:G111"/>
    <mergeCell ref="E112:G112"/>
    <mergeCell ref="E105:G105"/>
    <mergeCell ref="E106:G106"/>
    <mergeCell ref="E107:G107"/>
    <mergeCell ref="E108:G108"/>
    <mergeCell ref="E101:G101"/>
    <mergeCell ref="E102:G102"/>
    <mergeCell ref="E103:G103"/>
    <mergeCell ref="E104:G104"/>
    <mergeCell ref="E100:G100"/>
    <mergeCell ref="E99:G99"/>
    <mergeCell ref="E95:G95"/>
    <mergeCell ref="E96:G96"/>
    <mergeCell ref="E97:G97"/>
    <mergeCell ref="E98:G98"/>
    <mergeCell ref="B100:C100"/>
    <mergeCell ref="B101:C101"/>
    <mergeCell ref="B102:C102"/>
    <mergeCell ref="B98:C98"/>
    <mergeCell ref="B99:C99"/>
    <mergeCell ref="B94:C94"/>
    <mergeCell ref="B95:C95"/>
    <mergeCell ref="B96:C96"/>
    <mergeCell ref="B97:C97"/>
    <mergeCell ref="F30:G30"/>
    <mergeCell ref="E33:F33"/>
    <mergeCell ref="H52:I52"/>
    <mergeCell ref="N32:O32"/>
    <mergeCell ref="L32:M32"/>
    <mergeCell ref="D117:E117"/>
    <mergeCell ref="A6:E7"/>
    <mergeCell ref="H32:I32"/>
    <mergeCell ref="J32:K32"/>
    <mergeCell ref="F9:G9"/>
    <mergeCell ref="F31:Q31"/>
    <mergeCell ref="P32:Q32"/>
    <mergeCell ref="G32:G33"/>
    <mergeCell ref="F117:G117"/>
    <mergeCell ref="H117:J117"/>
    <mergeCell ref="F118:G118"/>
    <mergeCell ref="E169:F169"/>
    <mergeCell ref="R52:S52"/>
    <mergeCell ref="F52:G53"/>
    <mergeCell ref="P52:Q52"/>
    <mergeCell ref="J52:K52"/>
    <mergeCell ref="L52:M52"/>
    <mergeCell ref="N52:O52"/>
    <mergeCell ref="E94:G94"/>
    <mergeCell ref="E163:F163"/>
    <mergeCell ref="E165:F165"/>
    <mergeCell ref="E167:F167"/>
    <mergeCell ref="D118:E118"/>
    <mergeCell ref="F139:G139"/>
    <mergeCell ref="E155:F155"/>
    <mergeCell ref="E157:F157"/>
    <mergeCell ref="E159:F159"/>
    <mergeCell ref="E161:F161"/>
    <mergeCell ref="D128:E128"/>
    <mergeCell ref="F127:G127"/>
    <mergeCell ref="H118:J118"/>
    <mergeCell ref="H120:J120"/>
    <mergeCell ref="F198:G198"/>
    <mergeCell ref="E149:F149"/>
    <mergeCell ref="E147:F147"/>
    <mergeCell ref="E146:F146"/>
    <mergeCell ref="E173:F173"/>
    <mergeCell ref="E151:F151"/>
    <mergeCell ref="E153:F153"/>
    <mergeCell ref="D127:E127"/>
    <mergeCell ref="F128:G128"/>
    <mergeCell ref="G146:H146"/>
    <mergeCell ref="I145:J145"/>
    <mergeCell ref="I146:J146"/>
    <mergeCell ref="D141:G141"/>
    <mergeCell ref="H141:I141"/>
    <mergeCell ref="E145:F145"/>
    <mergeCell ref="F132:G132"/>
    <mergeCell ref="F135:G135"/>
    <mergeCell ref="H132:I132"/>
    <mergeCell ref="L128:M128"/>
    <mergeCell ref="N127:O127"/>
    <mergeCell ref="N128:O128"/>
    <mergeCell ref="G145:H145"/>
    <mergeCell ref="H127:I127"/>
    <mergeCell ref="H128:I128"/>
    <mergeCell ref="J127:K127"/>
    <mergeCell ref="J128:K128"/>
    <mergeCell ref="L127:M127"/>
    <mergeCell ref="L139:M139"/>
    <mergeCell ref="H135:I135"/>
    <mergeCell ref="H137:I137"/>
    <mergeCell ref="L132:M132"/>
    <mergeCell ref="L135:M135"/>
    <mergeCell ref="L137:M137"/>
    <mergeCell ref="N132:O132"/>
    <mergeCell ref="N135:O135"/>
    <mergeCell ref="N137:O137"/>
    <mergeCell ref="J141:M141"/>
    <mergeCell ref="N141:O141"/>
    <mergeCell ref="E171:F171"/>
    <mergeCell ref="A169:D169"/>
    <mergeCell ref="D175:H175"/>
    <mergeCell ref="I175:J175"/>
    <mergeCell ref="G178:H178"/>
    <mergeCell ref="G179:H179"/>
    <mergeCell ref="I178:J178"/>
    <mergeCell ref="I179:J179"/>
    <mergeCell ref="D189:H189"/>
    <mergeCell ref="I189:J189"/>
    <mergeCell ref="D191:E191"/>
    <mergeCell ref="D192:E192"/>
    <mergeCell ref="F191:G191"/>
    <mergeCell ref="F192:G192"/>
    <mergeCell ref="H191:I191"/>
    <mergeCell ref="H192:I192"/>
    <mergeCell ref="F205:G205"/>
    <mergeCell ref="F210:G210"/>
    <mergeCell ref="F214:G214"/>
    <mergeCell ref="F221:G221"/>
    <mergeCell ref="F224:G224"/>
    <mergeCell ref="F227:G227"/>
    <mergeCell ref="F231:G231"/>
    <mergeCell ref="F239:G239"/>
    <mergeCell ref="F243:G243"/>
    <mergeCell ref="F245:G245"/>
    <mergeCell ref="F247:G247"/>
    <mergeCell ref="F250:G250"/>
    <mergeCell ref="F254:G254"/>
    <mergeCell ref="F258:G258"/>
    <mergeCell ref="D265:E265"/>
    <mergeCell ref="D264:E264"/>
    <mergeCell ref="F264:G264"/>
    <mergeCell ref="F265:G265"/>
    <mergeCell ref="F260:G260"/>
    <mergeCell ref="F262:I262"/>
    <mergeCell ref="B261:F261"/>
    <mergeCell ref="H259:I259"/>
    <mergeCell ref="D267:E267"/>
    <mergeCell ref="H260:I260"/>
    <mergeCell ref="F267:G267"/>
    <mergeCell ref="H267:I267"/>
    <mergeCell ref="H264:I264"/>
    <mergeCell ref="H265:I265"/>
  </mergeCells>
  <printOptions/>
  <pageMargins left="0.75" right="0.75" top="1" bottom="1" header="0.5" footer="0.5"/>
  <pageSetup horizontalDpi="600" verticalDpi="600" orientation="landscape" scale="90" r:id="rId1"/>
  <headerFooter alignWithMargins="0">
    <oddHeader>&amp;C&amp;"Arial,Bold"&amp;14NCSX Fabrication Project Cost and Schedule</oddHeader>
    <oddFooter>&amp;C&amp;"Arial,Bold"&amp;P</oddFooter>
  </headerFooter>
  <rowBreaks count="7" manualBreakCount="7">
    <brk id="29" max="16" man="1"/>
    <brk id="60" max="16" man="1"/>
    <brk id="89" max="16" man="1"/>
    <brk id="111" max="16" man="1"/>
    <brk id="142" max="16" man="1"/>
    <brk id="176" max="16" man="1"/>
    <brk id="240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161"/>
  <sheetViews>
    <sheetView workbookViewId="0" topLeftCell="A1">
      <selection activeCell="C64" sqref="C64"/>
    </sheetView>
  </sheetViews>
  <sheetFormatPr defaultColWidth="9.140625" defaultRowHeight="12.75"/>
  <cols>
    <col min="1" max="1" width="34.00390625" style="0" customWidth="1"/>
    <col min="2" max="2" width="10.7109375" style="0" customWidth="1"/>
    <col min="3" max="3" width="10.421875" style="0" bestFit="1" customWidth="1"/>
    <col min="5" max="5" width="11.57421875" style="0" bestFit="1" customWidth="1"/>
    <col min="6" max="8" width="11.8515625" style="0" bestFit="1" customWidth="1"/>
    <col min="12" max="12" width="9.28125" style="0" bestFit="1" customWidth="1"/>
  </cols>
  <sheetData>
    <row r="1" ht="20.25">
      <c r="A1" s="63" t="str">
        <f>'Fab Project'!A1:E1</f>
        <v>WBS 131 TF Coils</v>
      </c>
    </row>
    <row r="3" spans="1:11" ht="18.75" thickBot="1">
      <c r="A3" s="72" t="s">
        <v>107</v>
      </c>
      <c r="B3" s="73"/>
      <c r="C3" s="73"/>
      <c r="D3" s="73"/>
      <c r="E3" s="73"/>
      <c r="F3" s="73"/>
      <c r="G3" s="73"/>
      <c r="H3" s="73"/>
      <c r="I3" s="73"/>
      <c r="J3" s="73"/>
      <c r="K3" s="74"/>
    </row>
    <row r="4" ht="12.75">
      <c r="A4" s="1"/>
    </row>
    <row r="5" ht="12.75">
      <c r="A5" s="1" t="s">
        <v>70</v>
      </c>
    </row>
    <row r="6" spans="1:5" ht="35.25" customHeight="1">
      <c r="A6" s="264" t="s">
        <v>176</v>
      </c>
      <c r="B6" s="264"/>
      <c r="C6" s="264"/>
      <c r="D6" s="264"/>
      <c r="E6" s="264"/>
    </row>
    <row r="7" spans="1:5" ht="12.75">
      <c r="A7" s="264"/>
      <c r="B7" s="264"/>
      <c r="C7" s="264"/>
      <c r="D7" s="264"/>
      <c r="E7" s="264"/>
    </row>
    <row r="9" ht="12.75">
      <c r="A9" s="1" t="s">
        <v>115</v>
      </c>
    </row>
    <row r="10" spans="1:3" ht="12.75">
      <c r="A10" t="s">
        <v>178</v>
      </c>
      <c r="B10" s="43">
        <f>C134</f>
        <v>1026394.0965918823</v>
      </c>
      <c r="C10" t="s">
        <v>170</v>
      </c>
    </row>
    <row r="11" ht="12.75">
      <c r="B11" s="43"/>
    </row>
    <row r="12" spans="1:2" ht="12.75">
      <c r="A12" s="27" t="s">
        <v>117</v>
      </c>
      <c r="B12" s="43">
        <f>SUM(B10:B11)</f>
        <v>1026394.0965918823</v>
      </c>
    </row>
    <row r="14" spans="1:3" ht="12.75">
      <c r="A14" t="s">
        <v>108</v>
      </c>
      <c r="B14" s="46">
        <v>130</v>
      </c>
      <c r="C14" t="s">
        <v>109</v>
      </c>
    </row>
    <row r="15" spans="1:3" ht="12.75">
      <c r="A15" t="s">
        <v>110</v>
      </c>
      <c r="B15" s="206">
        <v>60</v>
      </c>
      <c r="C15" t="s">
        <v>109</v>
      </c>
    </row>
    <row r="16" spans="1:3" ht="12.75">
      <c r="A16" t="s">
        <v>111</v>
      </c>
      <c r="B16" s="206">
        <v>60</v>
      </c>
      <c r="C16" t="s">
        <v>109</v>
      </c>
    </row>
    <row r="17" ht="12.75">
      <c r="B17" s="206"/>
    </row>
    <row r="18" ht="12.75">
      <c r="B18" s="206"/>
    </row>
    <row r="19" spans="1:2" ht="12.75">
      <c r="A19" s="1" t="s">
        <v>116</v>
      </c>
      <c r="B19" s="206"/>
    </row>
    <row r="20" spans="1:2" ht="12.75">
      <c r="A20" s="1"/>
      <c r="B20" s="206"/>
    </row>
    <row r="21" spans="1:2" ht="12.75">
      <c r="A21" s="1" t="s">
        <v>288</v>
      </c>
      <c r="B21" s="206"/>
    </row>
    <row r="22" spans="1:2" ht="12.75">
      <c r="A22" s="1"/>
      <c r="B22" s="206"/>
    </row>
    <row r="23" spans="1:3" ht="12.75">
      <c r="A23" t="s">
        <v>181</v>
      </c>
      <c r="B23" s="206">
        <v>8.65678257230944</v>
      </c>
      <c r="C23" s="30" t="s">
        <v>263</v>
      </c>
    </row>
    <row r="24" spans="1:3" ht="12.75">
      <c r="A24" t="s">
        <v>182</v>
      </c>
      <c r="B24" s="31">
        <v>18</v>
      </c>
      <c r="C24" s="30"/>
    </row>
    <row r="25" spans="1:13" ht="12.75">
      <c r="A25" t="s">
        <v>183</v>
      </c>
      <c r="B25" s="31">
        <v>6</v>
      </c>
      <c r="C25" s="30"/>
      <c r="I25" s="30"/>
      <c r="L25" s="150"/>
      <c r="M25" s="142"/>
    </row>
    <row r="26" spans="1:15" ht="12.75">
      <c r="A26" t="s">
        <v>184</v>
      </c>
      <c r="B26" s="31">
        <v>2</v>
      </c>
      <c r="C26" s="30"/>
      <c r="H26" s="194"/>
      <c r="I26" s="30"/>
      <c r="L26" s="150"/>
      <c r="M26" s="142"/>
      <c r="N26" s="20"/>
      <c r="O26" s="20"/>
    </row>
    <row r="27" spans="1:15" ht="12.75">
      <c r="A27" t="s">
        <v>185</v>
      </c>
      <c r="B27" s="31">
        <v>12</v>
      </c>
      <c r="C27" s="30"/>
      <c r="H27" s="194"/>
      <c r="I27" s="30"/>
      <c r="L27" s="135"/>
      <c r="M27" s="136"/>
      <c r="N27" s="3"/>
      <c r="O27" s="3"/>
    </row>
    <row r="28" spans="1:9" ht="12.75">
      <c r="A28" t="s">
        <v>186</v>
      </c>
      <c r="B28" s="206">
        <f>B23*B27</f>
        <v>103.88139086771329</v>
      </c>
      <c r="C28" s="30"/>
      <c r="H28" s="194"/>
      <c r="I28" s="30"/>
    </row>
    <row r="29" spans="1:9" ht="12.75">
      <c r="A29" t="s">
        <v>187</v>
      </c>
      <c r="B29" s="206">
        <v>88</v>
      </c>
      <c r="C29" s="30"/>
      <c r="I29" s="30"/>
    </row>
    <row r="30" spans="1:9" ht="12.75">
      <c r="A30" t="s">
        <v>188</v>
      </c>
      <c r="B30" s="206">
        <v>100</v>
      </c>
      <c r="C30" s="30"/>
      <c r="H30" s="206"/>
      <c r="I30" s="30"/>
    </row>
    <row r="31" spans="1:9" ht="12.75">
      <c r="A31" t="s">
        <v>189</v>
      </c>
      <c r="B31" s="206">
        <v>80.645</v>
      </c>
      <c r="C31" s="30"/>
      <c r="H31" s="206"/>
      <c r="I31" s="30"/>
    </row>
    <row r="32" spans="1:3" ht="12.75">
      <c r="A32" t="s">
        <v>190</v>
      </c>
      <c r="B32" s="206">
        <v>134.2136</v>
      </c>
      <c r="C32" s="30"/>
    </row>
    <row r="33" spans="1:3" ht="12.75">
      <c r="A33" t="s">
        <v>191</v>
      </c>
      <c r="B33" s="206">
        <f>B32*B31</f>
        <v>10823.655772</v>
      </c>
      <c r="C33" s="30"/>
    </row>
    <row r="34" spans="1:3" ht="12.75">
      <c r="A34" t="s">
        <v>192</v>
      </c>
      <c r="B34" s="253">
        <f>B33/1000000</f>
        <v>0.010823655772</v>
      </c>
      <c r="C34" s="30"/>
    </row>
    <row r="35" spans="1:3" ht="12.75">
      <c r="A35" t="s">
        <v>193</v>
      </c>
      <c r="B35" s="253">
        <v>0.07442776060085</v>
      </c>
      <c r="C35" s="30"/>
    </row>
    <row r="36" spans="1:25" ht="12.75">
      <c r="A36" t="s">
        <v>194</v>
      </c>
      <c r="B36" s="253">
        <v>0.7619999999999999</v>
      </c>
      <c r="C36" s="30"/>
      <c r="G36" s="229"/>
      <c r="H36" s="230"/>
      <c r="I36" s="231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</row>
    <row r="37" spans="1:25" ht="12.75">
      <c r="A37" t="s">
        <v>195</v>
      </c>
      <c r="B37">
        <v>1.0668</v>
      </c>
      <c r="C37" s="30"/>
      <c r="G37" s="229"/>
      <c r="H37" s="232"/>
      <c r="I37" s="231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</row>
    <row r="38" spans="1:25" ht="12.75">
      <c r="A38" t="s">
        <v>196</v>
      </c>
      <c r="B38">
        <v>0.7619999999999999</v>
      </c>
      <c r="C38" s="30"/>
      <c r="G38" s="229"/>
      <c r="H38" s="232"/>
      <c r="I38" s="231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</row>
    <row r="39" spans="1:25" ht="12.75">
      <c r="A39" t="s">
        <v>197</v>
      </c>
      <c r="B39">
        <v>11.02</v>
      </c>
      <c r="C39" s="30"/>
      <c r="G39" s="229"/>
      <c r="H39" s="232"/>
      <c r="I39" s="231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</row>
    <row r="40" spans="1:25" ht="12.75">
      <c r="A40" t="s">
        <v>198</v>
      </c>
      <c r="B40">
        <v>63.83</v>
      </c>
      <c r="C40" s="30"/>
      <c r="G40" s="229"/>
      <c r="H40" s="232"/>
      <c r="I40" s="231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</row>
    <row r="41" spans="1:25" ht="12.75">
      <c r="A41" t="s">
        <v>199</v>
      </c>
      <c r="B41">
        <v>1.27</v>
      </c>
      <c r="C41" s="30"/>
      <c r="G41" s="229"/>
      <c r="H41" s="230"/>
      <c r="I41" s="231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</row>
    <row r="42" spans="1:25" ht="12.75">
      <c r="A42" t="s">
        <v>200</v>
      </c>
      <c r="B42" s="206">
        <f>B41*B41*(4-PI())</f>
        <v>1.3845252090250226</v>
      </c>
      <c r="G42" s="229"/>
      <c r="H42" s="230"/>
      <c r="I42" s="231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</row>
    <row r="43" spans="1:25" ht="12.75">
      <c r="A43" s="14" t="s">
        <v>305</v>
      </c>
      <c r="B43" s="206">
        <f>SQRT(4*B44/PI())</f>
        <v>12.865501965161373</v>
      </c>
      <c r="C43" s="30"/>
      <c r="D43" s="228"/>
      <c r="F43" s="228"/>
      <c r="G43" s="229"/>
      <c r="H43" s="230"/>
      <c r="I43" s="231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</row>
    <row r="44" spans="1:25" ht="12.75">
      <c r="A44" t="s">
        <v>201</v>
      </c>
      <c r="B44">
        <v>130</v>
      </c>
      <c r="C44" s="30"/>
      <c r="G44" s="229"/>
      <c r="H44" s="230"/>
      <c r="I44" s="231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</row>
    <row r="45" spans="1:25" ht="12.75">
      <c r="A45" t="s">
        <v>202</v>
      </c>
      <c r="B45" s="206">
        <f>B39*B40-B42-B44</f>
        <v>572.0220747909749</v>
      </c>
      <c r="C45" s="30"/>
      <c r="G45" s="229"/>
      <c r="H45" s="230"/>
      <c r="I45" s="231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</row>
    <row r="46" spans="1:25" ht="12.75">
      <c r="A46" t="s">
        <v>203</v>
      </c>
      <c r="B46" s="206">
        <v>1</v>
      </c>
      <c r="C46" s="30"/>
      <c r="G46" s="229"/>
      <c r="H46" s="230"/>
      <c r="I46" s="231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</row>
    <row r="47" spans="1:25" ht="12.75">
      <c r="A47" t="s">
        <v>204</v>
      </c>
      <c r="B47" s="206">
        <f>B45*B46</f>
        <v>572.0220747909749</v>
      </c>
      <c r="C47" s="30"/>
      <c r="G47" s="229"/>
      <c r="H47" s="230"/>
      <c r="I47" s="231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</row>
    <row r="48" spans="7:25" ht="12.75">
      <c r="G48" s="229"/>
      <c r="H48" s="232"/>
      <c r="I48" s="231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</row>
    <row r="49" spans="1:25" ht="12.75">
      <c r="A49" t="s">
        <v>264</v>
      </c>
      <c r="B49" s="205">
        <v>8.58E-06</v>
      </c>
      <c r="C49" s="46"/>
      <c r="G49" s="229"/>
      <c r="H49" s="230"/>
      <c r="I49" s="231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</row>
    <row r="50" spans="1:25" ht="12.75">
      <c r="A50" t="s">
        <v>205</v>
      </c>
      <c r="B50" s="194">
        <f>B28*1000*B45*B49</f>
        <v>509.8446101576391</v>
      </c>
      <c r="C50" s="30"/>
      <c r="G50" s="229"/>
      <c r="H50" s="230"/>
      <c r="I50" s="231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</row>
    <row r="51" spans="3:25" ht="12.75">
      <c r="C51" s="30"/>
      <c r="G51" s="229"/>
      <c r="H51" s="232"/>
      <c r="I51" s="231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</row>
    <row r="52" spans="3:25" ht="12.75">
      <c r="C52" s="30"/>
      <c r="G52" s="229"/>
      <c r="H52" s="230"/>
      <c r="I52" s="231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</row>
    <row r="53" spans="1:25" ht="12.75">
      <c r="A53" s="1" t="s">
        <v>286</v>
      </c>
      <c r="B53" t="s">
        <v>287</v>
      </c>
      <c r="C53" s="30"/>
      <c r="G53" s="229"/>
      <c r="H53" s="230"/>
      <c r="I53" s="231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</row>
    <row r="54" spans="3:25" ht="12.75">
      <c r="C54" s="30"/>
      <c r="G54" s="229"/>
      <c r="H54" s="230"/>
      <c r="I54" s="231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</row>
    <row r="55" spans="1:25" ht="12.75">
      <c r="A55" s="195" t="s">
        <v>265</v>
      </c>
      <c r="C55" s="30"/>
      <c r="G55" s="229"/>
      <c r="H55" s="230"/>
      <c r="I55" s="231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</row>
    <row r="56" spans="1:25" ht="12.75">
      <c r="A56" t="s">
        <v>206</v>
      </c>
      <c r="B56" s="22" t="s">
        <v>207</v>
      </c>
      <c r="C56" s="31">
        <v>160</v>
      </c>
      <c r="G56" s="229"/>
      <c r="H56" s="230"/>
      <c r="I56" s="231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</row>
    <row r="57" spans="1:25" ht="12.75">
      <c r="A57" t="s">
        <v>208</v>
      </c>
      <c r="B57" s="25" t="s">
        <v>209</v>
      </c>
      <c r="C57" s="217">
        <f>C56*B14</f>
        <v>20800</v>
      </c>
      <c r="G57" s="229"/>
      <c r="H57" s="230"/>
      <c r="I57" s="231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</row>
    <row r="58" spans="1:9" ht="12.75">
      <c r="A58" t="s">
        <v>210</v>
      </c>
      <c r="B58" s="22" t="s">
        <v>207</v>
      </c>
      <c r="C58" s="31">
        <v>160</v>
      </c>
      <c r="G58" s="231"/>
      <c r="H58" s="74"/>
      <c r="I58" s="74"/>
    </row>
    <row r="59" spans="1:9" ht="12.75">
      <c r="A59" t="s">
        <v>210</v>
      </c>
      <c r="B59" s="25" t="s">
        <v>209</v>
      </c>
      <c r="C59" s="217">
        <f>C58*B16</f>
        <v>9600</v>
      </c>
      <c r="G59" s="74"/>
      <c r="H59" s="74"/>
      <c r="I59" s="74"/>
    </row>
    <row r="60" spans="1:9" ht="12.75">
      <c r="A60" t="s">
        <v>276</v>
      </c>
      <c r="B60" s="25" t="s">
        <v>209</v>
      </c>
      <c r="C60" s="217">
        <f>2*C109/18</f>
        <v>34679.011581836996</v>
      </c>
      <c r="G60" s="74"/>
      <c r="H60" s="74"/>
      <c r="I60" s="74"/>
    </row>
    <row r="61" spans="1:9" ht="12.75">
      <c r="A61" s="14" t="s">
        <v>295</v>
      </c>
      <c r="B61" s="26" t="s">
        <v>207</v>
      </c>
      <c r="C61" s="131">
        <v>160</v>
      </c>
      <c r="D61" t="s">
        <v>303</v>
      </c>
      <c r="G61" s="74"/>
      <c r="H61" s="74"/>
      <c r="I61" s="74"/>
    </row>
    <row r="62" spans="1:9" ht="12.75">
      <c r="A62" s="14" t="s">
        <v>296</v>
      </c>
      <c r="B62" s="26" t="s">
        <v>209</v>
      </c>
      <c r="C62" s="233">
        <v>40000</v>
      </c>
      <c r="G62" s="74"/>
      <c r="H62" s="74"/>
      <c r="I62" s="74"/>
    </row>
    <row r="63" spans="1:9" ht="12.75">
      <c r="A63" t="s">
        <v>275</v>
      </c>
      <c r="B63" s="22" t="s">
        <v>207</v>
      </c>
      <c r="C63" s="31">
        <f>C56+C58+C61</f>
        <v>480</v>
      </c>
      <c r="D63" t="s">
        <v>211</v>
      </c>
      <c r="G63" s="74"/>
      <c r="H63" s="74"/>
      <c r="I63" s="74"/>
    </row>
    <row r="64" spans="1:9" ht="12.75">
      <c r="A64" s="1" t="s">
        <v>274</v>
      </c>
      <c r="B64" s="25" t="s">
        <v>209</v>
      </c>
      <c r="C64" s="217">
        <f>C57+C59+C60+C62</f>
        <v>105079.011581837</v>
      </c>
      <c r="G64" s="74"/>
      <c r="H64" s="74"/>
      <c r="I64" s="74"/>
    </row>
    <row r="65" spans="3:9" ht="12.75">
      <c r="C65" s="30"/>
      <c r="G65" s="74"/>
      <c r="H65" s="74"/>
      <c r="I65" s="74"/>
    </row>
    <row r="66" spans="1:9" ht="12.75">
      <c r="A66" s="195" t="s">
        <v>212</v>
      </c>
      <c r="B66" s="196"/>
      <c r="C66" s="30"/>
      <c r="G66" s="74"/>
      <c r="H66" s="74"/>
      <c r="I66" s="74"/>
    </row>
    <row r="67" spans="1:9" ht="12.75">
      <c r="A67" s="197" t="s">
        <v>213</v>
      </c>
      <c r="B67" s="207" t="s">
        <v>207</v>
      </c>
      <c r="C67" s="50">
        <v>500</v>
      </c>
      <c r="D67" t="s">
        <v>214</v>
      </c>
      <c r="G67" s="74"/>
      <c r="H67" s="74"/>
      <c r="I67" s="74"/>
    </row>
    <row r="68" spans="1:9" ht="12.75">
      <c r="A68" s="197" t="s">
        <v>215</v>
      </c>
      <c r="B68" s="210" t="s">
        <v>209</v>
      </c>
      <c r="C68" s="216">
        <f>C67*B16</f>
        <v>30000</v>
      </c>
      <c r="G68" s="74"/>
      <c r="H68" s="74"/>
      <c r="I68" s="74"/>
    </row>
    <row r="69" spans="1:9" ht="12.75">
      <c r="A69" s="20" t="s">
        <v>261</v>
      </c>
      <c r="B69" s="137">
        <v>10</v>
      </c>
      <c r="C69" s="39" t="s">
        <v>260</v>
      </c>
      <c r="D69" s="14"/>
      <c r="E69" s="14"/>
      <c r="F69" s="14"/>
      <c r="G69" s="74"/>
      <c r="H69" s="74"/>
      <c r="I69" s="74"/>
    </row>
    <row r="70" spans="1:9" ht="12.75">
      <c r="A70" s="20" t="s">
        <v>262</v>
      </c>
      <c r="B70" s="137">
        <v>1.25</v>
      </c>
      <c r="C70" s="22" t="s">
        <v>269</v>
      </c>
      <c r="D70" s="214" t="s">
        <v>268</v>
      </c>
      <c r="E70" s="14"/>
      <c r="F70" s="14"/>
      <c r="G70" s="74"/>
      <c r="H70" s="74"/>
      <c r="I70" s="74"/>
    </row>
    <row r="71" spans="1:6" ht="12.75">
      <c r="A71" s="197" t="s">
        <v>267</v>
      </c>
      <c r="B71" s="210" t="s">
        <v>209</v>
      </c>
      <c r="C71" s="216">
        <f>B50*B24*B69*B70</f>
        <v>114715.03728546879</v>
      </c>
      <c r="D71" s="14"/>
      <c r="E71" s="14"/>
      <c r="F71" s="14"/>
    </row>
    <row r="72" spans="1:6" ht="12.75">
      <c r="A72" s="197" t="s">
        <v>290</v>
      </c>
      <c r="B72" s="208">
        <v>2</v>
      </c>
      <c r="C72" s="151" t="s">
        <v>260</v>
      </c>
      <c r="D72" s="14"/>
      <c r="E72" s="14"/>
      <c r="F72" s="14"/>
    </row>
    <row r="73" spans="1:6" ht="12.75">
      <c r="A73" s="197" t="s">
        <v>291</v>
      </c>
      <c r="B73" s="137" t="s">
        <v>209</v>
      </c>
      <c r="C73" s="216">
        <f>2*B50*B24</f>
        <v>18354.405965675007</v>
      </c>
      <c r="D73" s="14"/>
      <c r="E73" s="14"/>
      <c r="F73" s="14"/>
    </row>
    <row r="74" spans="1:6" ht="12.75">
      <c r="A74" s="197" t="s">
        <v>298</v>
      </c>
      <c r="B74" s="137" t="s">
        <v>218</v>
      </c>
      <c r="C74" s="254">
        <v>25.4</v>
      </c>
      <c r="E74" s="14"/>
      <c r="F74" s="14"/>
    </row>
    <row r="75" spans="1:3" ht="12.75">
      <c r="A75" s="198" t="s">
        <v>297</v>
      </c>
      <c r="B75" s="137" t="s">
        <v>216</v>
      </c>
      <c r="C75" s="213">
        <f>2*(B39+B40)/1000*(1000/C74)</f>
        <v>5.893700787401575</v>
      </c>
    </row>
    <row r="76" spans="1:3" ht="12.75">
      <c r="A76" s="198" t="s">
        <v>217</v>
      </c>
      <c r="B76" s="137" t="s">
        <v>218</v>
      </c>
      <c r="C76" s="213">
        <v>0.1778</v>
      </c>
    </row>
    <row r="77" spans="1:3" ht="12.75">
      <c r="A77" s="198" t="s">
        <v>219</v>
      </c>
      <c r="B77" s="137" t="s">
        <v>220</v>
      </c>
      <c r="C77" s="40">
        <v>2</v>
      </c>
    </row>
    <row r="78" spans="1:3" ht="12.75">
      <c r="A78" s="198" t="s">
        <v>221</v>
      </c>
      <c r="B78" s="137" t="s">
        <v>222</v>
      </c>
      <c r="C78" s="213">
        <v>10</v>
      </c>
    </row>
    <row r="79" spans="1:3" ht="12.75">
      <c r="A79" s="198" t="s">
        <v>223</v>
      </c>
      <c r="B79" s="137" t="s">
        <v>220</v>
      </c>
      <c r="C79" s="215">
        <f>C77*C75*B28/C78</f>
        <v>122.44916703068252</v>
      </c>
    </row>
    <row r="80" spans="1:3" ht="12.75">
      <c r="A80" s="198" t="s">
        <v>224</v>
      </c>
      <c r="B80" s="137" t="s">
        <v>53</v>
      </c>
      <c r="C80" s="215">
        <v>1.3</v>
      </c>
    </row>
    <row r="81" spans="1:3" ht="12.75">
      <c r="A81" s="198" t="s">
        <v>225</v>
      </c>
      <c r="B81" s="137" t="s">
        <v>220</v>
      </c>
      <c r="C81" s="215">
        <f>C80*C79*B24</f>
        <v>2865.3105085179714</v>
      </c>
    </row>
    <row r="82" spans="1:3" ht="12.75">
      <c r="A82" s="198" t="s">
        <v>226</v>
      </c>
      <c r="B82" s="137" t="s">
        <v>227</v>
      </c>
      <c r="C82" s="40">
        <v>4</v>
      </c>
    </row>
    <row r="83" spans="1:6" ht="12.75">
      <c r="A83" s="197" t="s">
        <v>302</v>
      </c>
      <c r="B83" s="137" t="s">
        <v>218</v>
      </c>
      <c r="C83" s="254">
        <v>25.4</v>
      </c>
      <c r="D83" s="114"/>
      <c r="F83" s="198"/>
    </row>
    <row r="84" spans="1:6" ht="12.75">
      <c r="A84" s="198" t="s">
        <v>297</v>
      </c>
      <c r="B84" s="137" t="s">
        <v>216</v>
      </c>
      <c r="C84" s="213">
        <f>2*(B39+B40)/1000*(1000/C83)</f>
        <v>5.893700787401575</v>
      </c>
      <c r="D84" s="213"/>
      <c r="F84" s="198"/>
    </row>
    <row r="85" spans="1:6" ht="12.75">
      <c r="A85" s="198" t="s">
        <v>217</v>
      </c>
      <c r="B85" s="137" t="s">
        <v>218</v>
      </c>
      <c r="C85" s="213">
        <v>0.2667</v>
      </c>
      <c r="D85" s="213"/>
      <c r="F85" s="198"/>
    </row>
    <row r="86" spans="1:6" ht="12.75">
      <c r="A86" s="198" t="s">
        <v>299</v>
      </c>
      <c r="B86" s="137" t="s">
        <v>220</v>
      </c>
      <c r="C86" s="40">
        <v>1</v>
      </c>
      <c r="D86" s="213"/>
      <c r="F86" s="198"/>
    </row>
    <row r="87" spans="1:6" ht="12.75">
      <c r="A87" s="198" t="s">
        <v>221</v>
      </c>
      <c r="B87" s="137" t="s">
        <v>222</v>
      </c>
      <c r="C87" s="213">
        <v>10</v>
      </c>
      <c r="D87" s="213"/>
      <c r="F87" s="193"/>
    </row>
    <row r="88" spans="1:6" ht="12.75">
      <c r="A88" s="198" t="s">
        <v>223</v>
      </c>
      <c r="B88" s="137" t="s">
        <v>220</v>
      </c>
      <c r="C88" s="215">
        <f>C86*C84*B28/C87</f>
        <v>61.22458351534126</v>
      </c>
      <c r="D88" s="215"/>
      <c r="F88" s="198"/>
    </row>
    <row r="89" spans="1:6" ht="12.75">
      <c r="A89" s="198" t="s">
        <v>224</v>
      </c>
      <c r="B89" s="137" t="s">
        <v>53</v>
      </c>
      <c r="C89" s="215">
        <v>1.3</v>
      </c>
      <c r="D89" s="215"/>
      <c r="F89" s="198"/>
    </row>
    <row r="90" spans="1:6" ht="12.75">
      <c r="A90" s="198" t="s">
        <v>225</v>
      </c>
      <c r="B90" s="137" t="s">
        <v>220</v>
      </c>
      <c r="C90" s="215">
        <f>C89*C88*B24</f>
        <v>1432.6552542589857</v>
      </c>
      <c r="D90" s="215"/>
      <c r="F90" s="198"/>
    </row>
    <row r="91" spans="1:6" ht="12.75">
      <c r="A91" s="198" t="s">
        <v>226</v>
      </c>
      <c r="B91" s="137" t="s">
        <v>227</v>
      </c>
      <c r="C91" s="40">
        <v>40</v>
      </c>
      <c r="D91" s="40"/>
      <c r="F91" s="198"/>
    </row>
    <row r="92" spans="1:6" ht="12.75">
      <c r="A92" s="198" t="s">
        <v>228</v>
      </c>
      <c r="B92" s="210" t="s">
        <v>209</v>
      </c>
      <c r="C92" s="216">
        <f>C90*C91+C82*C81</f>
        <v>68767.4522044313</v>
      </c>
      <c r="F92" s="198"/>
    </row>
    <row r="93" spans="1:3" ht="12.75">
      <c r="A93" s="198" t="s">
        <v>229</v>
      </c>
      <c r="B93" s="137" t="s">
        <v>218</v>
      </c>
      <c r="C93" s="255">
        <v>0.254</v>
      </c>
    </row>
    <row r="94" spans="1:3" ht="12.75">
      <c r="A94" s="198" t="s">
        <v>219</v>
      </c>
      <c r="B94" s="137" t="s">
        <v>220</v>
      </c>
      <c r="C94" s="213">
        <v>6</v>
      </c>
    </row>
    <row r="95" spans="1:3" ht="12.75">
      <c r="A95" s="198" t="s">
        <v>230</v>
      </c>
      <c r="B95" s="137" t="s">
        <v>218</v>
      </c>
      <c r="C95" s="213">
        <f>2*C94*C93</f>
        <v>3.048</v>
      </c>
    </row>
    <row r="96" spans="1:3" ht="12.75">
      <c r="A96" s="198" t="s">
        <v>231</v>
      </c>
      <c r="B96" s="137" t="s">
        <v>232</v>
      </c>
      <c r="C96" s="213">
        <v>5.08</v>
      </c>
    </row>
    <row r="97" spans="1:3" ht="12.75">
      <c r="A97" s="198" t="s">
        <v>233</v>
      </c>
      <c r="B97" s="137" t="s">
        <v>222</v>
      </c>
      <c r="C97" s="40">
        <f>C94*(2*(B31+B32)/1000)*B23/(C96/100)</f>
        <v>439.3663426749934</v>
      </c>
    </row>
    <row r="98" spans="1:3" ht="12.75">
      <c r="A98" s="198" t="s">
        <v>221</v>
      </c>
      <c r="B98" s="137" t="s">
        <v>222</v>
      </c>
      <c r="C98" s="40">
        <v>10</v>
      </c>
    </row>
    <row r="99" spans="1:3" ht="12.75">
      <c r="A99" s="198" t="s">
        <v>223</v>
      </c>
      <c r="B99" s="137" t="s">
        <v>220</v>
      </c>
      <c r="C99" s="40">
        <f>C97/C98</f>
        <v>43.93663426749934</v>
      </c>
    </row>
    <row r="100" spans="1:3" ht="12.75">
      <c r="A100" s="198" t="s">
        <v>224</v>
      </c>
      <c r="B100" s="137" t="s">
        <v>53</v>
      </c>
      <c r="C100" s="213">
        <v>1.3</v>
      </c>
    </row>
    <row r="101" spans="1:3" ht="12.75">
      <c r="A101" s="198" t="s">
        <v>234</v>
      </c>
      <c r="B101" s="137" t="s">
        <v>220</v>
      </c>
      <c r="C101" s="40">
        <f>C100*C99*18</f>
        <v>1028.1172418594847</v>
      </c>
    </row>
    <row r="102" spans="1:3" ht="12.75">
      <c r="A102" s="197" t="s">
        <v>235</v>
      </c>
      <c r="B102" s="209" t="s">
        <v>209</v>
      </c>
      <c r="C102" s="40">
        <v>28</v>
      </c>
    </row>
    <row r="103" spans="1:3" ht="12.75">
      <c r="A103" s="197" t="s">
        <v>236</v>
      </c>
      <c r="B103" s="210" t="s">
        <v>209</v>
      </c>
      <c r="C103" s="216">
        <f>C102*C101</f>
        <v>28787.28277206557</v>
      </c>
    </row>
    <row r="104" spans="1:3" ht="12.75">
      <c r="A104" s="199" t="s">
        <v>237</v>
      </c>
      <c r="B104" s="211" t="s">
        <v>238</v>
      </c>
      <c r="C104" s="40">
        <f>0.15*B23*(B34)*1000</f>
        <v>14.054705198358914</v>
      </c>
    </row>
    <row r="105" spans="1:3" ht="12.75">
      <c r="A105" s="197" t="s">
        <v>239</v>
      </c>
      <c r="B105" s="209" t="s">
        <v>240</v>
      </c>
      <c r="C105" s="40">
        <v>30</v>
      </c>
    </row>
    <row r="106" spans="1:6" ht="12.75">
      <c r="A106" s="200" t="s">
        <v>241</v>
      </c>
      <c r="B106" s="210" t="s">
        <v>209</v>
      </c>
      <c r="C106" s="216">
        <f>C105*C104*18*1.25</f>
        <v>9486.926008892267</v>
      </c>
      <c r="D106" s="14"/>
      <c r="E106" s="14"/>
      <c r="F106" s="14"/>
    </row>
    <row r="107" spans="1:6" ht="12.75">
      <c r="A107" s="200" t="s">
        <v>270</v>
      </c>
      <c r="B107" s="209" t="s">
        <v>209</v>
      </c>
      <c r="C107" s="40">
        <v>4000</v>
      </c>
      <c r="D107" s="14"/>
      <c r="E107" s="14"/>
      <c r="F107" s="14"/>
    </row>
    <row r="108" spans="1:6" ht="12.75">
      <c r="A108" s="200" t="s">
        <v>271</v>
      </c>
      <c r="B108" s="210" t="s">
        <v>209</v>
      </c>
      <c r="C108" s="216">
        <f>B24*C107</f>
        <v>72000</v>
      </c>
      <c r="D108" s="14"/>
      <c r="E108" s="14"/>
      <c r="F108" s="14"/>
    </row>
    <row r="109" spans="1:4" ht="12.75">
      <c r="A109" s="201" t="s">
        <v>242</v>
      </c>
      <c r="B109" s="212" t="s">
        <v>209</v>
      </c>
      <c r="C109" s="216">
        <f>C108+C106+C103+C92+C73+C71</f>
        <v>312111.10423653293</v>
      </c>
      <c r="D109" t="s">
        <v>243</v>
      </c>
    </row>
    <row r="110" spans="1:3" ht="12.75">
      <c r="A110" s="201"/>
      <c r="B110" s="212"/>
      <c r="C110" s="216"/>
    </row>
    <row r="111" spans="1:3" ht="12.75">
      <c r="A111" s="201"/>
      <c r="B111" s="212"/>
      <c r="C111" s="216"/>
    </row>
    <row r="112" spans="1:3" ht="12.75">
      <c r="A112" s="195" t="s">
        <v>272</v>
      </c>
      <c r="B112" s="207"/>
      <c r="C112" s="213"/>
    </row>
    <row r="113" spans="1:3" ht="12.75">
      <c r="A113" s="202" t="s">
        <v>244</v>
      </c>
      <c r="B113" s="207" t="s">
        <v>245</v>
      </c>
      <c r="C113" s="40">
        <v>1</v>
      </c>
    </row>
    <row r="114" spans="1:3" ht="25.5">
      <c r="A114" s="198" t="s">
        <v>246</v>
      </c>
      <c r="B114" s="137" t="s">
        <v>220</v>
      </c>
      <c r="C114" s="40">
        <v>4</v>
      </c>
    </row>
    <row r="115" spans="1:3" ht="12.75">
      <c r="A115" s="198" t="s">
        <v>247</v>
      </c>
      <c r="B115" s="137" t="s">
        <v>220</v>
      </c>
      <c r="C115" s="40">
        <v>3</v>
      </c>
    </row>
    <row r="116" spans="1:3" ht="12.75">
      <c r="A116" s="198" t="s">
        <v>248</v>
      </c>
      <c r="B116" s="137" t="s">
        <v>220</v>
      </c>
      <c r="C116" s="40">
        <f>B27/C114</f>
        <v>3</v>
      </c>
    </row>
    <row r="117" spans="1:3" ht="12.75">
      <c r="A117" s="198" t="s">
        <v>249</v>
      </c>
      <c r="B117" s="39" t="s">
        <v>207</v>
      </c>
      <c r="C117" s="40">
        <f>(C113+C116*C115)*8</f>
        <v>80</v>
      </c>
    </row>
    <row r="118" spans="1:4" ht="12.75">
      <c r="A118" s="198" t="s">
        <v>250</v>
      </c>
      <c r="B118" s="39" t="s">
        <v>207</v>
      </c>
      <c r="C118" s="40">
        <f>0.5*(C113+C116)*8</f>
        <v>16</v>
      </c>
      <c r="D118" t="s">
        <v>273</v>
      </c>
    </row>
    <row r="119" spans="1:3" ht="12.75">
      <c r="A119" s="198" t="s">
        <v>251</v>
      </c>
      <c r="B119" s="3" t="s">
        <v>209</v>
      </c>
      <c r="C119" s="216">
        <f>C118*B14</f>
        <v>2080</v>
      </c>
    </row>
    <row r="120" spans="1:3" ht="12.75">
      <c r="A120" s="198" t="s">
        <v>252</v>
      </c>
      <c r="B120" s="137" t="s">
        <v>220</v>
      </c>
      <c r="C120" s="40">
        <v>12</v>
      </c>
    </row>
    <row r="121" spans="1:3" ht="12.75">
      <c r="A121" s="198" t="s">
        <v>253</v>
      </c>
      <c r="B121" s="137" t="s">
        <v>220</v>
      </c>
      <c r="C121" s="40">
        <v>2</v>
      </c>
    </row>
    <row r="122" spans="1:3" ht="12.75">
      <c r="A122" s="198" t="s">
        <v>254</v>
      </c>
      <c r="B122" s="137" t="s">
        <v>207</v>
      </c>
      <c r="C122" s="40">
        <f>((C101/18)/C120)*C121*8</f>
        <v>76.1568327303322</v>
      </c>
    </row>
    <row r="123" spans="1:3" ht="12.75">
      <c r="A123" s="198" t="s">
        <v>277</v>
      </c>
      <c r="B123" s="137" t="s">
        <v>207</v>
      </c>
      <c r="C123" s="40">
        <v>8</v>
      </c>
    </row>
    <row r="124" spans="1:3" ht="12.75">
      <c r="A124" s="198" t="s">
        <v>255</v>
      </c>
      <c r="B124" s="137" t="s">
        <v>220</v>
      </c>
      <c r="C124" s="40">
        <v>3</v>
      </c>
    </row>
    <row r="125" spans="1:3" ht="12.75">
      <c r="A125" s="198" t="s">
        <v>278</v>
      </c>
      <c r="B125" s="137" t="s">
        <v>207</v>
      </c>
      <c r="C125" s="40">
        <f>C123*B23</f>
        <v>69.25426057847552</v>
      </c>
    </row>
    <row r="126" spans="1:3" ht="12.75">
      <c r="A126" s="198" t="s">
        <v>306</v>
      </c>
      <c r="B126" s="39" t="s">
        <v>207</v>
      </c>
      <c r="C126" s="213">
        <f>8*((1.5*18)+1)</f>
        <v>224</v>
      </c>
    </row>
    <row r="127" spans="1:3" ht="12.75">
      <c r="A127" s="198" t="s">
        <v>307</v>
      </c>
      <c r="B127" s="39" t="s">
        <v>207</v>
      </c>
      <c r="C127" s="213">
        <v>64</v>
      </c>
    </row>
    <row r="128" spans="1:3" ht="12.75">
      <c r="A128" s="198" t="s">
        <v>256</v>
      </c>
      <c r="B128" s="137" t="s">
        <v>207</v>
      </c>
      <c r="C128" s="40">
        <v>16</v>
      </c>
    </row>
    <row r="129" spans="1:4" ht="12.75">
      <c r="A129" s="203" t="s">
        <v>257</v>
      </c>
      <c r="B129" s="3" t="s">
        <v>207</v>
      </c>
      <c r="C129" s="216">
        <f>B24*(C128+C127+C126+C125+C122+C117)</f>
        <v>9529.399679558539</v>
      </c>
      <c r="D129" t="s">
        <v>258</v>
      </c>
    </row>
    <row r="130" spans="1:3" ht="12.75">
      <c r="A130" s="203" t="s">
        <v>257</v>
      </c>
      <c r="B130" s="3" t="s">
        <v>207</v>
      </c>
      <c r="C130" s="216">
        <f>B24*C118</f>
        <v>288</v>
      </c>
    </row>
    <row r="131" spans="1:3" ht="12.75">
      <c r="A131" s="204" t="s">
        <v>259</v>
      </c>
      <c r="B131" s="216" t="s">
        <v>209</v>
      </c>
      <c r="C131" s="216">
        <f>C129*B16+C130*B14</f>
        <v>609203.9807735124</v>
      </c>
    </row>
    <row r="132" spans="1:3" ht="12.75">
      <c r="A132" s="20"/>
      <c r="B132" s="137"/>
      <c r="C132" s="30"/>
    </row>
    <row r="133" spans="1:3" ht="12.75">
      <c r="A133" s="20"/>
      <c r="B133" s="137"/>
      <c r="C133" s="30"/>
    </row>
    <row r="134" spans="1:3" ht="12.75">
      <c r="A134" s="193" t="s">
        <v>266</v>
      </c>
      <c r="B134" s="216" t="s">
        <v>209</v>
      </c>
      <c r="C134" s="216">
        <f>C131+C109+C64</f>
        <v>1026394.0965918823</v>
      </c>
    </row>
    <row r="135" spans="1:6" ht="12.75">
      <c r="A135" s="52"/>
      <c r="B135" s="5"/>
      <c r="C135" s="218"/>
      <c r="D135" s="52"/>
      <c r="E135" s="52"/>
      <c r="F135" s="52"/>
    </row>
    <row r="136" spans="1:6" ht="12.75">
      <c r="A136" s="52"/>
      <c r="B136" s="52"/>
      <c r="C136" s="52"/>
      <c r="D136" s="52"/>
      <c r="E136" s="52"/>
      <c r="F136" s="52"/>
    </row>
    <row r="137" spans="1:6" ht="12.75">
      <c r="A137" s="52"/>
      <c r="B137" s="52"/>
      <c r="C137" s="52"/>
      <c r="D137" s="52"/>
      <c r="E137" s="52"/>
      <c r="F137" s="52"/>
    </row>
    <row r="138" spans="1:6" ht="12.75">
      <c r="A138" s="190"/>
      <c r="B138" s="219"/>
      <c r="C138" s="218"/>
      <c r="D138" s="52"/>
      <c r="E138" s="52"/>
      <c r="F138" s="52"/>
    </row>
    <row r="139" spans="1:6" ht="12.75">
      <c r="A139" s="52"/>
      <c r="B139" s="52"/>
      <c r="C139" s="52"/>
      <c r="D139" s="52"/>
      <c r="E139" s="52"/>
      <c r="F139" s="52"/>
    </row>
    <row r="140" spans="1:6" ht="12.75">
      <c r="A140" s="52"/>
      <c r="B140" s="52"/>
      <c r="C140" s="52"/>
      <c r="D140" s="52"/>
      <c r="E140" s="52"/>
      <c r="F140" s="52"/>
    </row>
    <row r="141" spans="1:6" ht="12.75">
      <c r="A141" s="52"/>
      <c r="B141" s="52"/>
      <c r="C141" s="218"/>
      <c r="D141" s="52"/>
      <c r="E141" s="52"/>
      <c r="F141" s="52"/>
    </row>
    <row r="142" spans="1:6" ht="12.75">
      <c r="A142" s="220"/>
      <c r="B142" s="52"/>
      <c r="C142" s="220"/>
      <c r="D142" s="220"/>
      <c r="E142" s="52"/>
      <c r="F142" s="52"/>
    </row>
    <row r="143" spans="1:10" ht="12.75">
      <c r="A143" s="218"/>
      <c r="B143" s="221"/>
      <c r="C143" s="52"/>
      <c r="D143" s="218"/>
      <c r="E143" s="52"/>
      <c r="F143" s="52"/>
      <c r="G143" s="85"/>
      <c r="H143" s="85"/>
      <c r="I143" s="85"/>
      <c r="J143" s="85"/>
    </row>
    <row r="144" spans="1:10" ht="12.75">
      <c r="A144" s="222"/>
      <c r="B144" s="223"/>
      <c r="C144" s="52"/>
      <c r="D144" s="52"/>
      <c r="E144" s="52"/>
      <c r="F144" s="52"/>
      <c r="G144" s="85"/>
      <c r="H144" s="85"/>
      <c r="I144" s="85"/>
      <c r="J144" s="85"/>
    </row>
    <row r="145" spans="1:10" ht="12.75">
      <c r="A145" s="222"/>
      <c r="B145" s="223"/>
      <c r="C145" s="52"/>
      <c r="D145" s="52"/>
      <c r="E145" s="52"/>
      <c r="F145" s="52"/>
      <c r="G145" s="85"/>
      <c r="H145" s="85"/>
      <c r="I145" s="85"/>
      <c r="J145" s="85"/>
    </row>
    <row r="146" spans="1:10" ht="12.75">
      <c r="A146" s="52"/>
      <c r="B146" s="223"/>
      <c r="C146" s="52"/>
      <c r="D146" s="52"/>
      <c r="E146" s="52"/>
      <c r="F146" s="52"/>
      <c r="G146" s="85"/>
      <c r="H146" s="85"/>
      <c r="I146" s="85"/>
      <c r="J146" s="85"/>
    </row>
    <row r="147" spans="1:10" ht="12.75">
      <c r="A147" s="52"/>
      <c r="B147" s="223"/>
      <c r="C147" s="218"/>
      <c r="D147" s="218"/>
      <c r="E147" s="52"/>
      <c r="F147" s="52"/>
      <c r="G147" s="85"/>
      <c r="H147" s="85"/>
      <c r="I147" s="85"/>
      <c r="J147" s="85"/>
    </row>
    <row r="148" spans="1:10" ht="12.75">
      <c r="A148" s="52"/>
      <c r="B148" s="223"/>
      <c r="C148" s="52"/>
      <c r="D148" s="52"/>
      <c r="E148" s="52"/>
      <c r="F148" s="52"/>
      <c r="G148" s="85"/>
      <c r="H148" s="85"/>
      <c r="I148" s="85"/>
      <c r="J148" s="85"/>
    </row>
    <row r="149" spans="1:10" ht="12.75">
      <c r="A149" s="52"/>
      <c r="B149" s="223"/>
      <c r="C149" s="52"/>
      <c r="D149" s="52"/>
      <c r="E149" s="52"/>
      <c r="F149" s="52"/>
      <c r="G149" s="85"/>
      <c r="H149" s="85"/>
      <c r="I149" s="85"/>
      <c r="J149" s="85"/>
    </row>
    <row r="150" spans="1:10" ht="12.75">
      <c r="A150" s="52"/>
      <c r="B150" s="223"/>
      <c r="C150" s="52"/>
      <c r="D150" s="52"/>
      <c r="E150" s="52"/>
      <c r="F150" s="52"/>
      <c r="G150" s="85"/>
      <c r="H150" s="85"/>
      <c r="I150" s="85"/>
      <c r="J150" s="85"/>
    </row>
    <row r="151" spans="1:10" ht="12.75">
      <c r="A151" s="52"/>
      <c r="B151" s="223"/>
      <c r="C151" s="52"/>
      <c r="D151" s="52"/>
      <c r="E151" s="52"/>
      <c r="F151" s="52"/>
      <c r="G151" s="85"/>
      <c r="H151" s="85"/>
      <c r="I151" s="85"/>
      <c r="J151" s="85"/>
    </row>
    <row r="152" spans="1:10" ht="12.75">
      <c r="A152" s="224"/>
      <c r="B152" s="225"/>
      <c r="C152" s="52"/>
      <c r="D152" s="52"/>
      <c r="E152" s="52"/>
      <c r="F152" s="52"/>
      <c r="G152" s="85"/>
      <c r="H152" s="85"/>
      <c r="I152" s="85"/>
      <c r="J152" s="85"/>
    </row>
    <row r="153" spans="1:10" ht="12.75">
      <c r="A153" s="52"/>
      <c r="B153" s="52"/>
      <c r="C153" s="218"/>
      <c r="D153" s="52"/>
      <c r="E153" s="52"/>
      <c r="F153" s="52"/>
      <c r="G153" s="85"/>
      <c r="H153" s="85"/>
      <c r="I153" s="85"/>
      <c r="J153" s="85"/>
    </row>
    <row r="154" spans="1:10" ht="12.75">
      <c r="A154" s="52"/>
      <c r="B154" s="52"/>
      <c r="C154" s="218"/>
      <c r="D154" s="52"/>
      <c r="E154" s="52"/>
      <c r="F154" s="52"/>
      <c r="G154" s="85"/>
      <c r="H154" s="85"/>
      <c r="I154" s="85"/>
      <c r="J154" s="85"/>
    </row>
    <row r="155" spans="3:10" ht="12.75">
      <c r="C155" s="30"/>
      <c r="G155" s="85"/>
      <c r="H155" s="85"/>
      <c r="I155" s="85"/>
      <c r="J155" s="85"/>
    </row>
    <row r="156" spans="3:10" ht="12.75">
      <c r="C156" s="30"/>
      <c r="G156" s="85"/>
      <c r="H156" s="85"/>
      <c r="I156" s="85"/>
      <c r="J156" s="85"/>
    </row>
    <row r="157" spans="1:10" ht="12.75">
      <c r="A157" s="85"/>
      <c r="B157" s="85"/>
      <c r="C157" s="85"/>
      <c r="D157" s="85"/>
      <c r="E157" s="85"/>
      <c r="F157" s="85"/>
      <c r="G157" s="85"/>
      <c r="H157" s="85"/>
      <c r="I157" s="85"/>
      <c r="J157" s="85"/>
    </row>
    <row r="158" spans="1:10" ht="12.75">
      <c r="A158" s="85"/>
      <c r="B158" s="85"/>
      <c r="C158" s="85"/>
      <c r="D158" s="85"/>
      <c r="E158" s="85"/>
      <c r="F158" s="85"/>
      <c r="G158" s="85"/>
      <c r="H158" s="85"/>
      <c r="I158" s="85"/>
      <c r="J158" s="85"/>
    </row>
    <row r="159" spans="1:10" ht="12.75">
      <c r="A159" s="85"/>
      <c r="B159" s="85"/>
      <c r="C159" s="85"/>
      <c r="D159" s="85"/>
      <c r="E159" s="85"/>
      <c r="F159" s="85"/>
      <c r="G159" s="85"/>
      <c r="H159" s="85"/>
      <c r="I159" s="85"/>
      <c r="J159" s="85"/>
    </row>
    <row r="160" spans="1:10" ht="12.75">
      <c r="A160" s="85"/>
      <c r="B160" s="85"/>
      <c r="C160" s="85"/>
      <c r="D160" s="85"/>
      <c r="E160" s="85"/>
      <c r="F160" s="85"/>
      <c r="G160" s="85"/>
      <c r="H160" s="85"/>
      <c r="I160" s="85"/>
      <c r="J160" s="85"/>
    </row>
    <row r="161" spans="1:10" ht="12.75">
      <c r="A161" s="85"/>
      <c r="B161" s="85"/>
      <c r="C161" s="85"/>
      <c r="D161" s="85"/>
      <c r="E161" s="85"/>
      <c r="F161" s="85"/>
      <c r="G161" s="85"/>
      <c r="H161" s="85"/>
      <c r="I161" s="85"/>
      <c r="J161" s="85"/>
    </row>
  </sheetData>
  <mergeCells count="1">
    <mergeCell ref="A6:E7"/>
  </mergeCells>
  <printOptions/>
  <pageMargins left="0.75" right="0.75" top="1" bottom="1" header="0.5" footer="0.5"/>
  <pageSetup horizontalDpi="600" verticalDpi="600" orientation="landscape" scale="90" r:id="rId1"/>
  <headerFooter alignWithMargins="0">
    <oddHeader>&amp;C&amp;"Arial,Bold"&amp;14NCSX Fabrication Project Cost and Schedule</oddHeader>
    <oddFooter>&amp;C&amp;"Arial,Bold"&amp;P</oddFooter>
  </headerFooter>
  <rowBreaks count="4" manualBreakCount="4">
    <brk id="18" max="9" man="1"/>
    <brk id="51" max="9" man="1"/>
    <brk id="78" max="9" man="1"/>
    <brk id="110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311"/>
  <sheetViews>
    <sheetView view="pageBreakPreview" zoomScale="60" workbookViewId="0" topLeftCell="A1">
      <selection activeCell="P10" sqref="P10"/>
    </sheetView>
  </sheetViews>
  <sheetFormatPr defaultColWidth="9.140625" defaultRowHeight="12.75"/>
  <cols>
    <col min="1" max="1" width="26.28125" style="0" customWidth="1"/>
    <col min="5" max="5" width="11.140625" style="0" bestFit="1" customWidth="1"/>
    <col min="6" max="6" width="4.140625" style="0" customWidth="1"/>
    <col min="7" max="7" width="7.28125" style="0" customWidth="1"/>
    <col min="8" max="12" width="5.7109375" style="0" customWidth="1"/>
    <col min="13" max="13" width="6.00390625" style="0" customWidth="1"/>
    <col min="14" max="17" width="5.7109375" style="0" customWidth="1"/>
  </cols>
  <sheetData>
    <row r="1" ht="20.25">
      <c r="A1" s="63" t="str">
        <f>'Fab Project'!A1:E1</f>
        <v>WBS 131 TF Coils</v>
      </c>
    </row>
    <row r="3" spans="1:15" ht="18.75" thickBot="1">
      <c r="A3" s="72" t="s">
        <v>118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5" ht="12.75">
      <c r="A5" s="1" t="s">
        <v>70</v>
      </c>
    </row>
    <row r="6" spans="1:15" ht="12.75">
      <c r="A6" s="264" t="s">
        <v>173</v>
      </c>
      <c r="B6" s="264"/>
      <c r="C6" s="264"/>
      <c r="D6" s="264"/>
      <c r="E6" s="264"/>
      <c r="F6" s="264"/>
      <c r="G6" s="257" t="s">
        <v>96</v>
      </c>
      <c r="H6" s="257"/>
      <c r="I6" s="257"/>
      <c r="J6" s="257"/>
      <c r="K6" s="257"/>
      <c r="L6" s="257"/>
      <c r="M6" s="257"/>
      <c r="N6" s="257"/>
      <c r="O6" s="257"/>
    </row>
    <row r="7" spans="1:15" ht="57.75" customHeight="1">
      <c r="A7" s="264"/>
      <c r="B7" s="264"/>
      <c r="C7" s="264"/>
      <c r="D7" s="264"/>
      <c r="E7" s="264"/>
      <c r="F7" s="264"/>
      <c r="G7" s="39" t="s">
        <v>91</v>
      </c>
      <c r="H7" s="262" t="s">
        <v>8</v>
      </c>
      <c r="I7" s="262"/>
      <c r="J7" s="262" t="s">
        <v>159</v>
      </c>
      <c r="K7" s="262"/>
      <c r="L7" s="262" t="s">
        <v>101</v>
      </c>
      <c r="M7" s="262"/>
      <c r="N7" s="262" t="s">
        <v>10</v>
      </c>
      <c r="O7" s="262"/>
    </row>
    <row r="8" spans="2:17" ht="12.75">
      <c r="B8" s="25" t="s">
        <v>53</v>
      </c>
      <c r="C8" s="25" t="s">
        <v>54</v>
      </c>
      <c r="D8" s="25" t="s">
        <v>55</v>
      </c>
      <c r="E8" s="263" t="s">
        <v>92</v>
      </c>
      <c r="F8" s="263"/>
      <c r="H8" s="22" t="s">
        <v>90</v>
      </c>
      <c r="I8" s="22" t="s">
        <v>62</v>
      </c>
      <c r="J8" s="22" t="s">
        <v>90</v>
      </c>
      <c r="K8" s="22" t="s">
        <v>62</v>
      </c>
      <c r="L8" s="22" t="s">
        <v>90</v>
      </c>
      <c r="M8" s="22" t="s">
        <v>62</v>
      </c>
      <c r="N8" s="22" t="s">
        <v>90</v>
      </c>
      <c r="O8" s="22" t="s">
        <v>62</v>
      </c>
      <c r="P8" s="22"/>
      <c r="Q8" s="22"/>
    </row>
    <row r="9" spans="1:4" ht="12.75">
      <c r="A9" s="1" t="s">
        <v>156</v>
      </c>
      <c r="B9" s="46"/>
      <c r="D9" s="46"/>
    </row>
    <row r="10" spans="1:17" ht="12.75">
      <c r="A10" s="20"/>
      <c r="B10" s="130">
        <v>0</v>
      </c>
      <c r="C10" s="22" t="s">
        <v>164</v>
      </c>
      <c r="D10" s="23">
        <v>1</v>
      </c>
      <c r="E10" s="36">
        <f>D10*$B10</f>
        <v>0</v>
      </c>
      <c r="F10" s="36"/>
      <c r="G10" s="30">
        <f>H10+J10+L10+N10+P10</f>
        <v>1</v>
      </c>
      <c r="H10" s="32">
        <v>0</v>
      </c>
      <c r="I10" s="31">
        <f>$E10*H10</f>
        <v>0</v>
      </c>
      <c r="J10" s="32">
        <v>0</v>
      </c>
      <c r="K10" s="31">
        <f>$E10*J10</f>
        <v>0</v>
      </c>
      <c r="L10" s="32">
        <v>0</v>
      </c>
      <c r="M10" s="31">
        <f>$E10*L10</f>
        <v>0</v>
      </c>
      <c r="N10" s="32">
        <f>1-H10</f>
        <v>1</v>
      </c>
      <c r="O10" s="31">
        <f>$E10*N10</f>
        <v>0</v>
      </c>
      <c r="P10" s="32"/>
      <c r="Q10" s="31"/>
    </row>
    <row r="11" spans="1:17" ht="12.75">
      <c r="A11" s="20"/>
      <c r="B11" s="50">
        <v>0</v>
      </c>
      <c r="C11" s="22" t="s">
        <v>163</v>
      </c>
      <c r="D11" s="23">
        <v>1</v>
      </c>
      <c r="E11" s="36">
        <f>D11*$B11</f>
        <v>0</v>
      </c>
      <c r="F11" s="36"/>
      <c r="G11" s="30">
        <f>H11+J11+L11+N11+P11</f>
        <v>0</v>
      </c>
      <c r="H11" s="32">
        <v>0</v>
      </c>
      <c r="I11" s="31">
        <f>$E11*H11</f>
        <v>0</v>
      </c>
      <c r="J11" s="32">
        <v>0</v>
      </c>
      <c r="K11" s="31">
        <f>$E11*J11</f>
        <v>0</v>
      </c>
      <c r="L11" s="32">
        <v>0</v>
      </c>
      <c r="M11" s="31">
        <f>$E11*L11</f>
        <v>0</v>
      </c>
      <c r="N11" s="32">
        <v>0</v>
      </c>
      <c r="O11" s="31">
        <f>$E11*N11</f>
        <v>0</v>
      </c>
      <c r="P11" s="32"/>
      <c r="Q11" s="31"/>
    </row>
    <row r="12" spans="1:17" ht="12.75">
      <c r="A12" s="20"/>
      <c r="B12" s="50">
        <v>0</v>
      </c>
      <c r="C12" s="22" t="s">
        <v>160</v>
      </c>
      <c r="D12" s="23">
        <v>1</v>
      </c>
      <c r="E12" s="36">
        <f>D12*$B12</f>
        <v>0</v>
      </c>
      <c r="F12" s="36"/>
      <c r="G12" s="30">
        <f>H12+J12+L12+N12+P12</f>
        <v>0</v>
      </c>
      <c r="H12" s="32">
        <v>0</v>
      </c>
      <c r="I12" s="31">
        <f>$E12*H12</f>
        <v>0</v>
      </c>
      <c r="J12" s="32">
        <v>0</v>
      </c>
      <c r="K12" s="31">
        <f>$E12*J12</f>
        <v>0</v>
      </c>
      <c r="L12" s="32">
        <v>0</v>
      </c>
      <c r="M12" s="31">
        <f>$E12*L12</f>
        <v>0</v>
      </c>
      <c r="N12" s="32">
        <v>0</v>
      </c>
      <c r="O12" s="31">
        <f>$E12*N12</f>
        <v>0</v>
      </c>
      <c r="P12" s="32"/>
      <c r="Q12" s="31"/>
    </row>
    <row r="13" spans="2:6" ht="12.75">
      <c r="B13" s="46"/>
      <c r="D13" s="46"/>
      <c r="E13" s="36"/>
      <c r="F13" s="36"/>
    </row>
    <row r="14" spans="1:17" ht="12.75">
      <c r="A14" s="27" t="s">
        <v>69</v>
      </c>
      <c r="E14" s="37">
        <f>SUM(E10:E13)</f>
        <v>0</v>
      </c>
      <c r="F14" s="37"/>
      <c r="I14" s="27">
        <f>SUM(I10:I13)</f>
        <v>0</v>
      </c>
      <c r="K14" s="27">
        <f>SUM(K10:K13)</f>
        <v>0</v>
      </c>
      <c r="M14" s="27">
        <f>SUM(M10:M13)</f>
        <v>0</v>
      </c>
      <c r="O14" s="27">
        <f>SUM(O10:O13)</f>
        <v>0</v>
      </c>
      <c r="Q14" s="27"/>
    </row>
    <row r="15" spans="1:17" ht="12.75">
      <c r="A15" s="27"/>
      <c r="E15" s="37"/>
      <c r="F15" s="37"/>
      <c r="I15" s="27"/>
      <c r="K15" s="27"/>
      <c r="M15" s="27"/>
      <c r="O15" s="27"/>
      <c r="Q15" s="27"/>
    </row>
    <row r="16" spans="1:17" ht="25.5">
      <c r="A16" s="27"/>
      <c r="E16" s="37"/>
      <c r="F16" s="37"/>
      <c r="G16" s="39" t="s">
        <v>91</v>
      </c>
      <c r="H16" s="262" t="s">
        <v>8</v>
      </c>
      <c r="I16" s="262"/>
      <c r="J16" s="262" t="s">
        <v>159</v>
      </c>
      <c r="K16" s="262"/>
      <c r="L16" s="262" t="s">
        <v>101</v>
      </c>
      <c r="M16" s="262"/>
      <c r="N16" s="262" t="s">
        <v>10</v>
      </c>
      <c r="O16" s="262"/>
      <c r="Q16" s="27"/>
    </row>
    <row r="17" spans="1:15" ht="12.75">
      <c r="A17" s="1" t="s">
        <v>157</v>
      </c>
      <c r="C17" s="22"/>
      <c r="H17" s="22" t="s">
        <v>90</v>
      </c>
      <c r="I17" s="22" t="s">
        <v>62</v>
      </c>
      <c r="J17" s="22" t="s">
        <v>90</v>
      </c>
      <c r="K17" s="22" t="s">
        <v>62</v>
      </c>
      <c r="L17" s="22" t="s">
        <v>90</v>
      </c>
      <c r="M17" s="22" t="s">
        <v>62</v>
      </c>
      <c r="N17" s="22" t="s">
        <v>90</v>
      </c>
      <c r="O17" s="22" t="s">
        <v>62</v>
      </c>
    </row>
    <row r="18" spans="1:15" ht="12.75">
      <c r="A18" s="14"/>
      <c r="B18" s="50">
        <v>0</v>
      </c>
      <c r="C18" s="22" t="s">
        <v>165</v>
      </c>
      <c r="D18" s="23">
        <v>1</v>
      </c>
      <c r="E18">
        <f>B18*D18</f>
        <v>0</v>
      </c>
      <c r="G18" s="30">
        <f>H18+J18+L18+N18+P18</f>
        <v>1</v>
      </c>
      <c r="H18" s="131">
        <v>0</v>
      </c>
      <c r="I18" s="31">
        <f>$E18*H18</f>
        <v>0</v>
      </c>
      <c r="J18" s="131">
        <f>1-H18</f>
        <v>1</v>
      </c>
      <c r="K18" s="31">
        <f>$E18*J18</f>
        <v>0</v>
      </c>
      <c r="L18" s="32">
        <v>0</v>
      </c>
      <c r="M18" s="31">
        <f>$E18*L18</f>
        <v>0</v>
      </c>
      <c r="N18" s="32">
        <v>0</v>
      </c>
      <c r="O18" s="31">
        <f>$E18*N18</f>
        <v>0</v>
      </c>
    </row>
    <row r="19" spans="1:15" ht="12.75">
      <c r="A19" s="14"/>
      <c r="B19" s="50">
        <v>0</v>
      </c>
      <c r="C19" s="22" t="s">
        <v>165</v>
      </c>
      <c r="D19" s="23">
        <v>1</v>
      </c>
      <c r="E19">
        <f>B19*D19</f>
        <v>0</v>
      </c>
      <c r="G19" s="30">
        <f>H19+J19+L19+N19+P19</f>
        <v>0</v>
      </c>
      <c r="H19" s="32">
        <v>0</v>
      </c>
      <c r="I19" s="31">
        <f>$E19*H19</f>
        <v>0</v>
      </c>
      <c r="J19" s="131">
        <v>0</v>
      </c>
      <c r="K19" s="31">
        <f>$E19*J19</f>
        <v>0</v>
      </c>
      <c r="L19" s="131">
        <v>0</v>
      </c>
      <c r="M19" s="31">
        <f>$E19*L19</f>
        <v>0</v>
      </c>
      <c r="N19" s="32">
        <v>0</v>
      </c>
      <c r="O19" s="31">
        <f>$E19*N19</f>
        <v>0</v>
      </c>
    </row>
    <row r="20" spans="1:17" ht="12.75">
      <c r="A20" s="20"/>
      <c r="B20" s="50">
        <v>0</v>
      </c>
      <c r="C20" s="22" t="s">
        <v>162</v>
      </c>
      <c r="D20" s="23">
        <v>1</v>
      </c>
      <c r="E20">
        <f>B20*D20</f>
        <v>0</v>
      </c>
      <c r="G20" s="30">
        <f>H20+J20+L20+N20+P20</f>
        <v>0</v>
      </c>
      <c r="H20" s="32">
        <v>0</v>
      </c>
      <c r="I20" s="31">
        <f>$E20*H20</f>
        <v>0</v>
      </c>
      <c r="J20" s="32">
        <v>0</v>
      </c>
      <c r="K20" s="31">
        <f>$E20*J20</f>
        <v>0</v>
      </c>
      <c r="L20" s="32">
        <v>0</v>
      </c>
      <c r="M20" s="31">
        <f>$E20*L20</f>
        <v>0</v>
      </c>
      <c r="N20" s="32">
        <v>0</v>
      </c>
      <c r="O20" s="31">
        <f>$E20*N20</f>
        <v>0</v>
      </c>
      <c r="P20" s="32"/>
      <c r="Q20" s="31"/>
    </row>
    <row r="21" spans="1:17" ht="12.75">
      <c r="A21" s="20"/>
      <c r="B21" s="50">
        <v>0</v>
      </c>
      <c r="C21" s="22" t="s">
        <v>92</v>
      </c>
      <c r="D21" s="23">
        <v>1</v>
      </c>
      <c r="E21">
        <f>B21*D21</f>
        <v>0</v>
      </c>
      <c r="G21" s="30">
        <f>H21+J21+L21+N21+P21</f>
        <v>0</v>
      </c>
      <c r="H21" s="131">
        <v>0</v>
      </c>
      <c r="I21" s="31">
        <f>$E21*H21</f>
        <v>0</v>
      </c>
      <c r="J21" s="131">
        <v>0</v>
      </c>
      <c r="K21" s="31">
        <f>$E21*J21</f>
        <v>0</v>
      </c>
      <c r="L21" s="32">
        <v>0</v>
      </c>
      <c r="M21" s="31">
        <f>$E21*L21</f>
        <v>0</v>
      </c>
      <c r="N21" s="32">
        <v>0</v>
      </c>
      <c r="O21" s="31">
        <f>$E21*N21</f>
        <v>0</v>
      </c>
      <c r="P21" s="32"/>
      <c r="Q21" s="31"/>
    </row>
    <row r="23" spans="1:17" ht="12.75">
      <c r="A23" s="27" t="s">
        <v>69</v>
      </c>
      <c r="E23" s="6">
        <f>SUM(E18:E22)</f>
        <v>0</v>
      </c>
      <c r="F23" s="6"/>
      <c r="I23" s="6">
        <f>SUM(I18:I22)</f>
        <v>0</v>
      </c>
      <c r="K23" s="6">
        <f>SUM(K18:K22)</f>
        <v>0</v>
      </c>
      <c r="M23" s="6">
        <f>SUM(M18:M22)</f>
        <v>0</v>
      </c>
      <c r="O23" s="6">
        <f>SUM(O18:O22)</f>
        <v>0</v>
      </c>
      <c r="Q23" s="27"/>
    </row>
    <row r="25" spans="1:15" ht="12.7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</row>
    <row r="26" spans="1:15" ht="12.75">
      <c r="A26" s="112"/>
      <c r="B26" s="104"/>
      <c r="C26" s="174"/>
      <c r="D26" s="104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</row>
    <row r="27" spans="1:15" ht="12.75">
      <c r="A27" s="85"/>
      <c r="B27" s="175"/>
      <c r="C27" s="103"/>
      <c r="D27" s="176"/>
      <c r="E27" s="85"/>
      <c r="F27" s="85"/>
      <c r="G27" s="85"/>
      <c r="H27" s="85"/>
      <c r="I27" s="85"/>
      <c r="J27" s="85"/>
      <c r="K27" s="288"/>
      <c r="L27" s="288"/>
      <c r="M27" s="288"/>
      <c r="N27" s="288"/>
      <c r="O27" s="85"/>
    </row>
    <row r="28" spans="1:15" ht="12.75">
      <c r="A28" s="85"/>
      <c r="B28" s="176"/>
      <c r="C28" s="103"/>
      <c r="D28" s="176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</row>
    <row r="29" spans="1:15" ht="12.75">
      <c r="A29" s="85"/>
      <c r="B29" s="176"/>
      <c r="C29" s="103"/>
      <c r="D29" s="176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</row>
    <row r="30" spans="1:15" ht="12.75">
      <c r="A30" s="85"/>
      <c r="B30" s="176"/>
      <c r="C30" s="103"/>
      <c r="D30" s="176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</row>
    <row r="31" spans="1:15" ht="12.75">
      <c r="A31" s="85"/>
      <c r="B31" s="176"/>
      <c r="C31" s="103"/>
      <c r="D31" s="17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</row>
    <row r="32" spans="1:15" ht="12.75">
      <c r="A32" s="85"/>
      <c r="B32" s="85"/>
      <c r="C32" s="85"/>
      <c r="D32" s="177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</row>
    <row r="33" spans="1:15" ht="12.75">
      <c r="A33" s="112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  <row r="34" spans="1:15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</row>
    <row r="35" spans="1:15" ht="12.75">
      <c r="A35" s="112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</row>
    <row r="36" spans="1:15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</row>
    <row r="37" spans="1:15" ht="18.75">
      <c r="A37" s="91"/>
      <c r="B37" s="106"/>
      <c r="C37" s="106"/>
      <c r="D37" s="96"/>
      <c r="E37" s="97"/>
      <c r="F37" s="98"/>
      <c r="G37" s="97"/>
      <c r="H37" s="99"/>
      <c r="I37" s="97"/>
      <c r="J37" s="101"/>
      <c r="K37" s="101"/>
      <c r="L37" s="85"/>
      <c r="M37" s="85"/>
      <c r="N37" s="85"/>
      <c r="O37" s="85"/>
    </row>
    <row r="38" spans="1:15" ht="12.75">
      <c r="A38" s="95"/>
      <c r="B38" s="112"/>
      <c r="C38" s="85"/>
      <c r="D38" s="96"/>
      <c r="E38" s="97"/>
      <c r="F38" s="98"/>
      <c r="G38" s="97"/>
      <c r="H38" s="99"/>
      <c r="I38" s="97"/>
      <c r="J38" s="101"/>
      <c r="K38" s="101"/>
      <c r="L38" s="85"/>
      <c r="M38" s="85"/>
      <c r="N38" s="85"/>
      <c r="O38" s="85"/>
    </row>
    <row r="39" spans="1:15" ht="12.75">
      <c r="A39" s="116"/>
      <c r="B39" s="85"/>
      <c r="C39" s="85"/>
      <c r="D39" s="96"/>
      <c r="E39" s="97"/>
      <c r="F39" s="98"/>
      <c r="G39" s="97"/>
      <c r="H39" s="99"/>
      <c r="I39" s="97"/>
      <c r="J39" s="101"/>
      <c r="K39" s="101"/>
      <c r="L39" s="85"/>
      <c r="M39" s="85"/>
      <c r="N39" s="85"/>
      <c r="O39" s="85"/>
    </row>
    <row r="40" spans="1:17" ht="12.75">
      <c r="A40" s="116"/>
      <c r="B40" s="85"/>
      <c r="C40" s="116"/>
      <c r="D40" s="167"/>
      <c r="E40" s="90"/>
      <c r="F40" s="156"/>
      <c r="G40" s="90"/>
      <c r="H40" s="155"/>
      <c r="I40" s="90"/>
      <c r="J40" s="103"/>
      <c r="K40" s="103"/>
      <c r="L40" s="116"/>
      <c r="M40" s="85"/>
      <c r="N40" s="85"/>
      <c r="O40" s="85"/>
      <c r="P40" s="98"/>
      <c r="Q40" s="85"/>
    </row>
    <row r="41" spans="1:17" ht="12.75">
      <c r="A41" s="116"/>
      <c r="B41" s="85"/>
      <c r="C41" s="85"/>
      <c r="D41" s="96"/>
      <c r="E41" s="97"/>
      <c r="F41" s="98"/>
      <c r="G41" s="97"/>
      <c r="H41" s="99"/>
      <c r="I41" s="97"/>
      <c r="J41" s="101"/>
      <c r="K41" s="101"/>
      <c r="L41" s="85"/>
      <c r="M41" s="85"/>
      <c r="N41" s="85"/>
      <c r="O41" s="85"/>
      <c r="P41" s="98"/>
      <c r="Q41" s="85"/>
    </row>
    <row r="42" spans="1:17" ht="12.75">
      <c r="A42" s="112"/>
      <c r="B42" s="85"/>
      <c r="C42" s="96"/>
      <c r="D42" s="97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85"/>
    </row>
    <row r="43" spans="1:17" ht="12.75">
      <c r="A43" s="116"/>
      <c r="B43" s="85"/>
      <c r="C43" s="96"/>
      <c r="D43" s="97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85"/>
    </row>
    <row r="44" spans="1:17" ht="12.75">
      <c r="A44" s="116"/>
      <c r="B44" s="85"/>
      <c r="C44" s="96"/>
      <c r="D44" s="97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85"/>
    </row>
    <row r="45" spans="1:17" ht="12.75">
      <c r="A45" s="113"/>
      <c r="B45" s="85"/>
      <c r="C45" s="96"/>
      <c r="D45" s="97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85"/>
    </row>
    <row r="46" spans="1:17" ht="12.75">
      <c r="A46" s="116"/>
      <c r="B46" s="85"/>
      <c r="C46" s="96"/>
      <c r="D46" s="9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85"/>
    </row>
    <row r="47" spans="1:17" ht="12.75">
      <c r="A47" s="116"/>
      <c r="B47" s="85"/>
      <c r="C47" s="96"/>
      <c r="D47" s="97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85"/>
    </row>
    <row r="48" spans="1:17" ht="12.75">
      <c r="A48" s="116"/>
      <c r="B48" s="85"/>
      <c r="C48" s="96"/>
      <c r="D48" s="97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85"/>
    </row>
    <row r="49" spans="1:17" ht="12.75">
      <c r="A49" s="116"/>
      <c r="B49" s="85"/>
      <c r="C49" s="96"/>
      <c r="D49" s="97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85"/>
    </row>
    <row r="50" spans="1:17" ht="12.75">
      <c r="A50" s="113"/>
      <c r="B50" s="85"/>
      <c r="C50" s="96"/>
      <c r="D50" s="97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119"/>
      <c r="Q50" s="85"/>
    </row>
    <row r="51" spans="1:15" ht="12.75">
      <c r="A51" s="113"/>
      <c r="B51" s="178"/>
      <c r="C51" s="179"/>
      <c r="D51" s="180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</row>
    <row r="52" spans="1:15" ht="12.75">
      <c r="A52" s="95"/>
      <c r="B52" s="112"/>
      <c r="C52" s="85"/>
      <c r="D52" s="96"/>
      <c r="E52" s="97"/>
      <c r="F52" s="98"/>
      <c r="G52" s="97"/>
      <c r="H52" s="99"/>
      <c r="I52" s="97"/>
      <c r="J52" s="101"/>
      <c r="K52" s="101"/>
      <c r="L52" s="85"/>
      <c r="M52" s="85"/>
      <c r="N52" s="85"/>
      <c r="O52" s="85"/>
    </row>
    <row r="53" spans="1:15" ht="12.75">
      <c r="A53" s="95"/>
      <c r="B53" s="112"/>
      <c r="C53" s="85"/>
      <c r="D53" s="96"/>
      <c r="E53" s="97"/>
      <c r="F53" s="98"/>
      <c r="G53" s="97"/>
      <c r="H53" s="99"/>
      <c r="I53" s="97"/>
      <c r="J53" s="101"/>
      <c r="K53" s="101"/>
      <c r="L53" s="85"/>
      <c r="M53" s="85"/>
      <c r="N53" s="85"/>
      <c r="O53" s="85"/>
    </row>
    <row r="54" spans="1:15" ht="12.75">
      <c r="A54" s="95"/>
      <c r="B54" s="112"/>
      <c r="C54" s="85"/>
      <c r="D54" s="96"/>
      <c r="E54" s="97"/>
      <c r="F54" s="98"/>
      <c r="G54" s="97"/>
      <c r="H54" s="99"/>
      <c r="I54" s="97"/>
      <c r="J54" s="101"/>
      <c r="K54" s="101"/>
      <c r="L54" s="85"/>
      <c r="M54" s="85"/>
      <c r="N54" s="85"/>
      <c r="O54" s="85"/>
    </row>
    <row r="55" spans="1:15" ht="12.75">
      <c r="A55" s="95"/>
      <c r="B55" s="112"/>
      <c r="C55" s="85"/>
      <c r="D55" s="96"/>
      <c r="E55" s="97"/>
      <c r="F55" s="181"/>
      <c r="G55" s="182"/>
      <c r="H55" s="163"/>
      <c r="I55" s="182"/>
      <c r="J55" s="101"/>
      <c r="K55" s="280"/>
      <c r="L55" s="280"/>
      <c r="M55" s="280"/>
      <c r="N55" s="280"/>
      <c r="O55" s="85"/>
    </row>
    <row r="56" spans="1:15" ht="12.75">
      <c r="A56" s="104"/>
      <c r="B56" s="104"/>
      <c r="C56" s="104"/>
      <c r="D56" s="268"/>
      <c r="E56" s="268"/>
      <c r="F56" s="270"/>
      <c r="G56" s="270"/>
      <c r="H56" s="268"/>
      <c r="I56" s="268"/>
      <c r="J56" s="104"/>
      <c r="K56" s="270"/>
      <c r="L56" s="270"/>
      <c r="M56" s="268"/>
      <c r="N56" s="268"/>
      <c r="O56" s="85"/>
    </row>
    <row r="57" spans="1:15" ht="12.75">
      <c r="A57" s="104"/>
      <c r="B57" s="104"/>
      <c r="C57" s="104"/>
      <c r="D57" s="268"/>
      <c r="E57" s="268"/>
      <c r="F57" s="270"/>
      <c r="G57" s="270"/>
      <c r="H57" s="268"/>
      <c r="I57" s="268"/>
      <c r="J57" s="104"/>
      <c r="K57" s="270"/>
      <c r="L57" s="270"/>
      <c r="M57" s="268"/>
      <c r="N57" s="268"/>
      <c r="O57" s="85"/>
    </row>
    <row r="58" spans="1:15" ht="12.75">
      <c r="A58" s="95"/>
      <c r="B58" s="112"/>
      <c r="C58" s="85"/>
      <c r="D58" s="96"/>
      <c r="E58" s="97"/>
      <c r="F58" s="98"/>
      <c r="G58" s="97"/>
      <c r="H58" s="99"/>
      <c r="I58" s="97"/>
      <c r="J58" s="101"/>
      <c r="K58" s="98"/>
      <c r="L58" s="97"/>
      <c r="M58" s="99"/>
      <c r="N58" s="97"/>
      <c r="O58" s="85"/>
    </row>
    <row r="59" spans="1:15" ht="12.75">
      <c r="A59" s="95"/>
      <c r="B59" s="91"/>
      <c r="C59" s="112"/>
      <c r="D59" s="183"/>
      <c r="E59" s="115"/>
      <c r="F59" s="160"/>
      <c r="G59" s="115"/>
      <c r="H59" s="184"/>
      <c r="I59" s="115"/>
      <c r="J59" s="104"/>
      <c r="K59" s="160"/>
      <c r="L59" s="115"/>
      <c r="M59" s="184"/>
      <c r="N59" s="115"/>
      <c r="O59" s="85"/>
    </row>
    <row r="60" spans="1:15" ht="12.75">
      <c r="A60" s="95"/>
      <c r="B60" s="112"/>
      <c r="C60" s="85"/>
      <c r="D60" s="96"/>
      <c r="E60" s="97"/>
      <c r="F60" s="98"/>
      <c r="G60" s="97"/>
      <c r="H60" s="99"/>
      <c r="I60" s="97"/>
      <c r="J60" s="101"/>
      <c r="K60" s="98"/>
      <c r="L60" s="97"/>
      <c r="M60" s="99"/>
      <c r="N60" s="97"/>
      <c r="O60" s="85"/>
    </row>
    <row r="61" spans="1:15" ht="12.75">
      <c r="A61" s="122"/>
      <c r="B61" s="85"/>
      <c r="C61" s="85"/>
      <c r="D61" s="96"/>
      <c r="E61" s="97"/>
      <c r="F61" s="98"/>
      <c r="G61" s="97"/>
      <c r="H61" s="99"/>
      <c r="I61" s="97"/>
      <c r="J61" s="101"/>
      <c r="K61" s="98"/>
      <c r="L61" s="97"/>
      <c r="M61" s="99"/>
      <c r="N61" s="97"/>
      <c r="O61" s="85"/>
    </row>
    <row r="62" spans="1:15" ht="12.75">
      <c r="A62" s="172"/>
      <c r="B62" s="85"/>
      <c r="C62" s="85"/>
      <c r="D62" s="96"/>
      <c r="E62" s="97"/>
      <c r="F62" s="98"/>
      <c r="G62" s="97"/>
      <c r="H62" s="99"/>
      <c r="I62" s="97"/>
      <c r="J62" s="101"/>
      <c r="K62" s="98"/>
      <c r="L62" s="97"/>
      <c r="M62" s="99"/>
      <c r="N62" s="97"/>
      <c r="O62" s="85"/>
    </row>
    <row r="63" spans="1:15" ht="12.75">
      <c r="A63" s="95"/>
      <c r="B63" s="112"/>
      <c r="C63" s="85"/>
      <c r="D63" s="96"/>
      <c r="E63" s="97"/>
      <c r="F63" s="98"/>
      <c r="G63" s="97"/>
      <c r="H63" s="99"/>
      <c r="I63" s="97"/>
      <c r="J63" s="101"/>
      <c r="K63" s="98"/>
      <c r="L63" s="97"/>
      <c r="M63" s="99"/>
      <c r="N63" s="97"/>
      <c r="O63" s="85"/>
    </row>
    <row r="64" spans="1:15" ht="12.75">
      <c r="A64" s="95"/>
      <c r="B64" s="91"/>
      <c r="C64" s="85"/>
      <c r="D64" s="96"/>
      <c r="E64" s="97"/>
      <c r="F64" s="98"/>
      <c r="G64" s="97"/>
      <c r="H64" s="99"/>
      <c r="I64" s="97"/>
      <c r="J64" s="101"/>
      <c r="K64" s="98"/>
      <c r="L64" s="97"/>
      <c r="M64" s="99"/>
      <c r="N64" s="97"/>
      <c r="O64" s="85"/>
    </row>
    <row r="65" spans="1:15" ht="12.75">
      <c r="A65" s="166"/>
      <c r="B65" s="85"/>
      <c r="C65" s="85"/>
      <c r="D65" s="96"/>
      <c r="E65" s="97"/>
      <c r="F65" s="98"/>
      <c r="G65" s="97"/>
      <c r="H65" s="99"/>
      <c r="I65" s="97"/>
      <c r="J65" s="101"/>
      <c r="K65" s="98"/>
      <c r="L65" s="97"/>
      <c r="M65" s="99"/>
      <c r="N65" s="97"/>
      <c r="O65" s="85"/>
    </row>
    <row r="66" spans="1:15" ht="12.75">
      <c r="A66" s="122"/>
      <c r="B66" s="85"/>
      <c r="C66" s="85"/>
      <c r="D66" s="96"/>
      <c r="E66" s="97"/>
      <c r="F66" s="98"/>
      <c r="G66" s="97"/>
      <c r="H66" s="99"/>
      <c r="I66" s="97"/>
      <c r="J66" s="101"/>
      <c r="K66" s="98"/>
      <c r="L66" s="97"/>
      <c r="M66" s="99"/>
      <c r="N66" s="97"/>
      <c r="O66" s="85"/>
    </row>
    <row r="67" spans="1:15" ht="12.75">
      <c r="A67" s="122"/>
      <c r="B67" s="85"/>
      <c r="C67" s="85"/>
      <c r="D67" s="96"/>
      <c r="E67" s="97"/>
      <c r="F67" s="98"/>
      <c r="G67" s="97"/>
      <c r="H67" s="99"/>
      <c r="I67" s="97"/>
      <c r="J67" s="101"/>
      <c r="K67" s="98"/>
      <c r="L67" s="97"/>
      <c r="M67" s="98"/>
      <c r="N67" s="97"/>
      <c r="O67" s="85"/>
    </row>
    <row r="68" spans="1:15" ht="12.75">
      <c r="A68" s="95"/>
      <c r="B68" s="112"/>
      <c r="C68" s="85"/>
      <c r="D68" s="96"/>
      <c r="E68" s="97"/>
      <c r="F68" s="98"/>
      <c r="G68" s="97"/>
      <c r="H68" s="99"/>
      <c r="I68" s="97"/>
      <c r="J68" s="101"/>
      <c r="K68" s="98"/>
      <c r="L68" s="97"/>
      <c r="M68" s="99"/>
      <c r="N68" s="97"/>
      <c r="O68" s="85"/>
    </row>
    <row r="69" spans="1:15" ht="12.75">
      <c r="A69" s="95"/>
      <c r="B69" s="91"/>
      <c r="C69" s="85"/>
      <c r="D69" s="96"/>
      <c r="E69" s="97"/>
      <c r="F69" s="98"/>
      <c r="G69" s="97"/>
      <c r="H69" s="99"/>
      <c r="I69" s="97"/>
      <c r="J69" s="101"/>
      <c r="K69" s="98"/>
      <c r="L69" s="97"/>
      <c r="M69" s="99"/>
      <c r="N69" s="97"/>
      <c r="O69" s="85"/>
    </row>
    <row r="70" spans="1:15" ht="12.75">
      <c r="A70" s="166"/>
      <c r="B70" s="85"/>
      <c r="C70" s="116"/>
      <c r="D70" s="167"/>
      <c r="E70" s="90"/>
      <c r="F70" s="156"/>
      <c r="G70" s="97"/>
      <c r="H70" s="155"/>
      <c r="I70" s="90"/>
      <c r="J70" s="103"/>
      <c r="K70" s="156"/>
      <c r="L70" s="97"/>
      <c r="M70" s="155"/>
      <c r="N70" s="90"/>
      <c r="O70" s="85"/>
    </row>
    <row r="71" spans="1:15" ht="12.75">
      <c r="A71" s="172"/>
      <c r="B71" s="85"/>
      <c r="C71" s="85"/>
      <c r="D71" s="96"/>
      <c r="E71" s="97"/>
      <c r="F71" s="98"/>
      <c r="G71" s="97"/>
      <c r="H71" s="99"/>
      <c r="I71" s="97"/>
      <c r="J71" s="101"/>
      <c r="K71" s="98"/>
      <c r="L71" s="97"/>
      <c r="M71" s="99"/>
      <c r="N71" s="97"/>
      <c r="O71" s="85"/>
    </row>
    <row r="72" spans="1:15" ht="12.75">
      <c r="A72" s="172"/>
      <c r="B72" s="85"/>
      <c r="C72" s="85"/>
      <c r="D72" s="96"/>
      <c r="E72" s="97"/>
      <c r="F72" s="98"/>
      <c r="G72" s="97"/>
      <c r="H72" s="99"/>
      <c r="I72" s="97"/>
      <c r="J72" s="101"/>
      <c r="K72" s="98"/>
      <c r="L72" s="97"/>
      <c r="M72" s="99"/>
      <c r="N72" s="97"/>
      <c r="O72" s="85"/>
    </row>
    <row r="73" spans="1:15" ht="12.75">
      <c r="A73" s="122"/>
      <c r="B73" s="85"/>
      <c r="C73" s="85"/>
      <c r="D73" s="96"/>
      <c r="E73" s="97"/>
      <c r="F73" s="98"/>
      <c r="G73" s="97"/>
      <c r="H73" s="99"/>
      <c r="I73" s="97"/>
      <c r="J73" s="101"/>
      <c r="K73" s="98"/>
      <c r="L73" s="97"/>
      <c r="M73" s="98"/>
      <c r="N73" s="97"/>
      <c r="O73" s="85"/>
    </row>
    <row r="74" spans="1:15" ht="12.75">
      <c r="A74" s="95"/>
      <c r="B74" s="112"/>
      <c r="C74" s="85"/>
      <c r="D74" s="96"/>
      <c r="E74" s="97"/>
      <c r="F74" s="98"/>
      <c r="G74" s="97"/>
      <c r="H74" s="99"/>
      <c r="I74" s="97"/>
      <c r="J74" s="101"/>
      <c r="K74" s="98"/>
      <c r="L74" s="97"/>
      <c r="M74" s="99"/>
      <c r="N74" s="97"/>
      <c r="O74" s="85"/>
    </row>
    <row r="75" spans="1:15" ht="12.75">
      <c r="A75" s="95"/>
      <c r="B75" s="91"/>
      <c r="C75" s="85"/>
      <c r="D75" s="96"/>
      <c r="E75" s="97"/>
      <c r="F75" s="98"/>
      <c r="G75" s="97"/>
      <c r="H75" s="99"/>
      <c r="I75" s="97"/>
      <c r="J75" s="101"/>
      <c r="K75" s="98"/>
      <c r="L75" s="97"/>
      <c r="M75" s="99"/>
      <c r="N75" s="97"/>
      <c r="O75" s="85"/>
    </row>
    <row r="76" spans="1:15" ht="12.75">
      <c r="A76" s="95"/>
      <c r="B76" s="112"/>
      <c r="C76" s="85"/>
      <c r="D76" s="96"/>
      <c r="E76" s="97"/>
      <c r="F76" s="98"/>
      <c r="G76" s="97"/>
      <c r="H76" s="99"/>
      <c r="I76" s="97"/>
      <c r="J76" s="101"/>
      <c r="K76" s="98"/>
      <c r="L76" s="97"/>
      <c r="M76" s="99"/>
      <c r="N76" s="97"/>
      <c r="O76" s="85"/>
    </row>
    <row r="77" spans="1:15" ht="12.75">
      <c r="A77" s="95"/>
      <c r="B77" s="91"/>
      <c r="C77" s="85"/>
      <c r="D77" s="96"/>
      <c r="E77" s="97"/>
      <c r="F77" s="98"/>
      <c r="G77" s="97"/>
      <c r="H77" s="99"/>
      <c r="I77" s="97"/>
      <c r="J77" s="101"/>
      <c r="K77" s="98"/>
      <c r="L77" s="97"/>
      <c r="M77" s="99"/>
      <c r="N77" s="97"/>
      <c r="O77" s="85"/>
    </row>
    <row r="78" spans="1:15" ht="12.75">
      <c r="A78" s="172"/>
      <c r="B78" s="85"/>
      <c r="C78" s="116"/>
      <c r="D78" s="167"/>
      <c r="E78" s="90"/>
      <c r="F78" s="156"/>
      <c r="G78" s="97"/>
      <c r="H78" s="155"/>
      <c r="I78" s="90"/>
      <c r="J78" s="103"/>
      <c r="K78" s="156"/>
      <c r="L78" s="97"/>
      <c r="M78" s="155"/>
      <c r="N78" s="90"/>
      <c r="O78" s="85"/>
    </row>
    <row r="79" spans="1:15" ht="12.75">
      <c r="A79" s="172"/>
      <c r="B79" s="85"/>
      <c r="C79" s="116"/>
      <c r="D79" s="167"/>
      <c r="E79" s="90"/>
      <c r="F79" s="156"/>
      <c r="G79" s="97"/>
      <c r="H79" s="155"/>
      <c r="I79" s="90"/>
      <c r="J79" s="103"/>
      <c r="K79" s="156"/>
      <c r="L79" s="97"/>
      <c r="M79" s="155"/>
      <c r="N79" s="90"/>
      <c r="O79" s="85"/>
    </row>
    <row r="80" spans="1:15" ht="12.75">
      <c r="A80" s="172"/>
      <c r="B80" s="85"/>
      <c r="C80" s="116"/>
      <c r="D80" s="167"/>
      <c r="E80" s="90"/>
      <c r="F80" s="156"/>
      <c r="G80" s="97"/>
      <c r="H80" s="155"/>
      <c r="I80" s="90"/>
      <c r="J80" s="103"/>
      <c r="K80" s="156"/>
      <c r="L80" s="97"/>
      <c r="M80" s="155"/>
      <c r="N80" s="90"/>
      <c r="O80" s="85"/>
    </row>
    <row r="81" spans="1:15" ht="12.75">
      <c r="A81" s="122"/>
      <c r="B81" s="85"/>
      <c r="C81" s="85"/>
      <c r="D81" s="96"/>
      <c r="E81" s="97"/>
      <c r="F81" s="98"/>
      <c r="G81" s="97"/>
      <c r="H81" s="99"/>
      <c r="I81" s="97"/>
      <c r="J81" s="101"/>
      <c r="K81" s="98"/>
      <c r="L81" s="97"/>
      <c r="M81" s="98"/>
      <c r="N81" s="97"/>
      <c r="O81" s="85"/>
    </row>
    <row r="82" spans="1:15" ht="12.75">
      <c r="A82" s="95"/>
      <c r="B82" s="112"/>
      <c r="C82" s="85"/>
      <c r="D82" s="96"/>
      <c r="E82" s="97"/>
      <c r="F82" s="98"/>
      <c r="G82" s="97"/>
      <c r="H82" s="99"/>
      <c r="I82" s="97"/>
      <c r="J82" s="101"/>
      <c r="K82" s="98"/>
      <c r="L82" s="97"/>
      <c r="M82" s="99"/>
      <c r="N82" s="97"/>
      <c r="O82" s="85"/>
    </row>
    <row r="83" spans="1:15" ht="12.75">
      <c r="A83" s="95"/>
      <c r="B83" s="112"/>
      <c r="C83" s="85"/>
      <c r="D83" s="96"/>
      <c r="E83" s="97"/>
      <c r="F83" s="98"/>
      <c r="G83" s="97"/>
      <c r="H83" s="99"/>
      <c r="I83" s="97"/>
      <c r="J83" s="101"/>
      <c r="K83" s="98"/>
      <c r="L83" s="97"/>
      <c r="M83" s="99"/>
      <c r="N83" s="97"/>
      <c r="O83" s="85"/>
    </row>
    <row r="84" spans="1:15" ht="12.75">
      <c r="A84" s="95"/>
      <c r="B84" s="91"/>
      <c r="C84" s="85"/>
      <c r="D84" s="96"/>
      <c r="E84" s="97"/>
      <c r="F84" s="98"/>
      <c r="G84" s="97"/>
      <c r="H84" s="99"/>
      <c r="I84" s="97"/>
      <c r="J84" s="101"/>
      <c r="K84" s="98"/>
      <c r="L84" s="97"/>
      <c r="M84" s="99"/>
      <c r="N84" s="97"/>
      <c r="O84" s="85"/>
    </row>
    <row r="85" spans="1:15" ht="12.75">
      <c r="A85" s="171"/>
      <c r="B85" s="85"/>
      <c r="C85" s="85"/>
      <c r="D85" s="96"/>
      <c r="E85" s="97"/>
      <c r="F85" s="98"/>
      <c r="G85" s="97"/>
      <c r="H85" s="99"/>
      <c r="I85" s="97"/>
      <c r="J85" s="101"/>
      <c r="K85" s="98"/>
      <c r="L85" s="97"/>
      <c r="M85" s="99"/>
      <c r="N85" s="97"/>
      <c r="O85" s="85"/>
    </row>
    <row r="86" spans="1:15" ht="12.75">
      <c r="A86" s="171"/>
      <c r="B86" s="85"/>
      <c r="C86" s="85"/>
      <c r="D86" s="96"/>
      <c r="E86" s="97"/>
      <c r="F86" s="98"/>
      <c r="G86" s="97"/>
      <c r="H86" s="99"/>
      <c r="I86" s="97"/>
      <c r="J86" s="101"/>
      <c r="K86" s="98"/>
      <c r="L86" s="97"/>
      <c r="M86" s="99"/>
      <c r="N86" s="97"/>
      <c r="O86" s="85"/>
    </row>
    <row r="87" spans="1:15" ht="12.75">
      <c r="A87" s="171"/>
      <c r="B87" s="85"/>
      <c r="C87" s="85"/>
      <c r="D87" s="96"/>
      <c r="E87" s="97"/>
      <c r="F87" s="98"/>
      <c r="G87" s="97"/>
      <c r="H87" s="99"/>
      <c r="I87" s="97"/>
      <c r="J87" s="101"/>
      <c r="K87" s="98"/>
      <c r="L87" s="97"/>
      <c r="M87" s="99"/>
      <c r="N87" s="97"/>
      <c r="O87" s="85"/>
    </row>
    <row r="88" spans="1:15" ht="12.75">
      <c r="A88" s="116"/>
      <c r="B88" s="85"/>
      <c r="C88" s="85"/>
      <c r="D88" s="96"/>
      <c r="E88" s="97"/>
      <c r="F88" s="98"/>
      <c r="G88" s="97"/>
      <c r="H88" s="99"/>
      <c r="I88" s="97"/>
      <c r="J88" s="101"/>
      <c r="K88" s="98"/>
      <c r="L88" s="97"/>
      <c r="M88" s="99"/>
      <c r="N88" s="97"/>
      <c r="O88" s="85"/>
    </row>
    <row r="89" spans="1:15" ht="12.75">
      <c r="A89" s="116"/>
      <c r="B89" s="85"/>
      <c r="C89" s="85"/>
      <c r="D89" s="96"/>
      <c r="E89" s="97"/>
      <c r="F89" s="98"/>
      <c r="G89" s="97"/>
      <c r="H89" s="99"/>
      <c r="I89" s="97"/>
      <c r="J89" s="101"/>
      <c r="K89" s="98"/>
      <c r="L89" s="97"/>
      <c r="M89" s="99"/>
      <c r="N89" s="97"/>
      <c r="O89" s="85"/>
    </row>
    <row r="90" spans="1:15" ht="12.75">
      <c r="A90" s="116"/>
      <c r="B90" s="85"/>
      <c r="C90" s="85"/>
      <c r="D90" s="96"/>
      <c r="E90" s="97"/>
      <c r="F90" s="98"/>
      <c r="G90" s="97"/>
      <c r="H90" s="99"/>
      <c r="I90" s="97"/>
      <c r="J90" s="101"/>
      <c r="K90" s="98"/>
      <c r="L90" s="97"/>
      <c r="M90" s="98"/>
      <c r="N90" s="97"/>
      <c r="O90" s="85"/>
    </row>
    <row r="91" spans="1:15" ht="12.75">
      <c r="A91" s="116"/>
      <c r="B91" s="85"/>
      <c r="C91" s="85"/>
      <c r="D91" s="96"/>
      <c r="E91" s="97"/>
      <c r="F91" s="98"/>
      <c r="G91" s="97"/>
      <c r="H91" s="99"/>
      <c r="I91" s="97"/>
      <c r="J91" s="101"/>
      <c r="K91" s="98"/>
      <c r="L91" s="97"/>
      <c r="M91" s="99"/>
      <c r="N91" s="97"/>
      <c r="O91" s="85"/>
    </row>
    <row r="92" spans="1:15" ht="12.75">
      <c r="A92" s="116"/>
      <c r="B92" s="85"/>
      <c r="C92" s="85"/>
      <c r="D92" s="96"/>
      <c r="E92" s="97"/>
      <c r="F92" s="98"/>
      <c r="G92" s="97"/>
      <c r="H92" s="99"/>
      <c r="I92" s="97"/>
      <c r="J92" s="101"/>
      <c r="K92" s="98"/>
      <c r="L92" s="97"/>
      <c r="M92" s="99"/>
      <c r="N92" s="97"/>
      <c r="O92" s="85"/>
    </row>
    <row r="93" spans="1:15" ht="12.75">
      <c r="A93" s="116"/>
      <c r="B93" s="85"/>
      <c r="C93" s="85"/>
      <c r="D93" s="96"/>
      <c r="E93" s="97"/>
      <c r="F93" s="98"/>
      <c r="G93" s="97"/>
      <c r="H93" s="99"/>
      <c r="I93" s="97"/>
      <c r="J93" s="101"/>
      <c r="K93" s="98"/>
      <c r="L93" s="97"/>
      <c r="M93" s="99"/>
      <c r="N93" s="97"/>
      <c r="O93" s="85"/>
    </row>
    <row r="94" spans="1:15" ht="12.75">
      <c r="A94" s="168"/>
      <c r="B94" s="116"/>
      <c r="C94" s="85"/>
      <c r="D94" s="96"/>
      <c r="E94" s="97"/>
      <c r="F94" s="98"/>
      <c r="G94" s="97"/>
      <c r="H94" s="99"/>
      <c r="I94" s="97"/>
      <c r="J94" s="101"/>
      <c r="K94" s="98"/>
      <c r="L94" s="97"/>
      <c r="M94" s="99"/>
      <c r="N94" s="97"/>
      <c r="O94" s="85"/>
    </row>
    <row r="95" spans="1:15" ht="12.75">
      <c r="A95" s="95"/>
      <c r="B95" s="91"/>
      <c r="C95" s="85"/>
      <c r="D95" s="96"/>
      <c r="E95" s="97"/>
      <c r="F95" s="98"/>
      <c r="G95" s="97"/>
      <c r="H95" s="99"/>
      <c r="I95" s="97"/>
      <c r="J95" s="101"/>
      <c r="K95" s="98"/>
      <c r="L95" s="97"/>
      <c r="M95" s="99"/>
      <c r="N95" s="97"/>
      <c r="O95" s="85"/>
    </row>
    <row r="96" spans="1:15" ht="12.75">
      <c r="A96" s="171"/>
      <c r="B96" s="85"/>
      <c r="C96" s="85"/>
      <c r="D96" s="96"/>
      <c r="E96" s="97"/>
      <c r="F96" s="98"/>
      <c r="G96" s="97"/>
      <c r="H96" s="99"/>
      <c r="I96" s="97"/>
      <c r="J96" s="101"/>
      <c r="K96" s="98"/>
      <c r="L96" s="97"/>
      <c r="M96" s="99"/>
      <c r="N96" s="97"/>
      <c r="O96" s="85"/>
    </row>
    <row r="97" spans="1:15" ht="12.75">
      <c r="A97" s="116"/>
      <c r="B97" s="85"/>
      <c r="C97" s="116"/>
      <c r="D97" s="167"/>
      <c r="E97" s="90"/>
      <c r="F97" s="156"/>
      <c r="G97" s="97"/>
      <c r="H97" s="99"/>
      <c r="I97" s="97"/>
      <c r="J97" s="101"/>
      <c r="K97" s="98"/>
      <c r="L97" s="97"/>
      <c r="M97" s="98"/>
      <c r="N97" s="97"/>
      <c r="O97" s="85"/>
    </row>
    <row r="98" spans="1:15" ht="12.75">
      <c r="A98" s="170"/>
      <c r="B98" s="116"/>
      <c r="C98" s="116"/>
      <c r="D98" s="167"/>
      <c r="E98" s="90"/>
      <c r="F98" s="156"/>
      <c r="G98" s="97"/>
      <c r="H98" s="99"/>
      <c r="I98" s="97"/>
      <c r="J98" s="101"/>
      <c r="K98" s="156"/>
      <c r="L98" s="97"/>
      <c r="M98" s="99"/>
      <c r="N98" s="97"/>
      <c r="O98" s="85"/>
    </row>
    <row r="99" spans="1:15" ht="12.75">
      <c r="A99" s="95"/>
      <c r="B99" s="91"/>
      <c r="C99" s="116"/>
      <c r="D99" s="167"/>
      <c r="E99" s="90"/>
      <c r="F99" s="156"/>
      <c r="G99" s="97"/>
      <c r="H99" s="155"/>
      <c r="I99" s="90"/>
      <c r="J99" s="103"/>
      <c r="K99" s="156"/>
      <c r="L99" s="97"/>
      <c r="M99" s="155"/>
      <c r="N99" s="90"/>
      <c r="O99" s="85"/>
    </row>
    <row r="100" spans="1:15" ht="12.75">
      <c r="A100" s="122"/>
      <c r="B100" s="85"/>
      <c r="C100" s="116"/>
      <c r="D100" s="167"/>
      <c r="E100" s="90"/>
      <c r="F100" s="156"/>
      <c r="G100" s="97"/>
      <c r="H100" s="99"/>
      <c r="I100" s="97"/>
      <c r="J100" s="101"/>
      <c r="K100" s="98"/>
      <c r="L100" s="97"/>
      <c r="M100" s="98"/>
      <c r="N100" s="97"/>
      <c r="O100" s="85"/>
    </row>
    <row r="101" spans="1:15" ht="12.75">
      <c r="A101" s="122"/>
      <c r="B101" s="116"/>
      <c r="C101" s="116"/>
      <c r="D101" s="167"/>
      <c r="E101" s="90"/>
      <c r="F101" s="156"/>
      <c r="G101" s="97"/>
      <c r="H101" s="155"/>
      <c r="I101" s="90"/>
      <c r="J101" s="103"/>
      <c r="K101" s="156"/>
      <c r="L101" s="97"/>
      <c r="M101" s="155"/>
      <c r="N101" s="90"/>
      <c r="O101" s="85"/>
    </row>
    <row r="102" spans="1:15" ht="12.75">
      <c r="A102" s="95"/>
      <c r="B102" s="91"/>
      <c r="C102" s="85"/>
      <c r="D102" s="96"/>
      <c r="E102" s="97"/>
      <c r="F102" s="98"/>
      <c r="G102" s="97"/>
      <c r="H102" s="99"/>
      <c r="I102" s="97"/>
      <c r="J102" s="101"/>
      <c r="K102" s="98"/>
      <c r="L102" s="97"/>
      <c r="M102" s="99"/>
      <c r="N102" s="97"/>
      <c r="O102" s="85"/>
    </row>
    <row r="103" spans="1:15" ht="12.75">
      <c r="A103" s="172"/>
      <c r="B103" s="85"/>
      <c r="C103" s="85"/>
      <c r="D103" s="96"/>
      <c r="E103" s="97"/>
      <c r="F103" s="98"/>
      <c r="G103" s="97"/>
      <c r="H103" s="99"/>
      <c r="I103" s="97"/>
      <c r="J103" s="101"/>
      <c r="K103" s="98"/>
      <c r="L103" s="97"/>
      <c r="M103" s="99"/>
      <c r="N103" s="97"/>
      <c r="O103" s="85"/>
    </row>
    <row r="104" spans="1:15" ht="12.75">
      <c r="A104" s="172"/>
      <c r="B104" s="85"/>
      <c r="C104" s="85"/>
      <c r="D104" s="96"/>
      <c r="E104" s="97"/>
      <c r="F104" s="98"/>
      <c r="G104" s="97"/>
      <c r="H104" s="99"/>
      <c r="I104" s="97"/>
      <c r="J104" s="101"/>
      <c r="K104" s="98"/>
      <c r="L104" s="97"/>
      <c r="M104" s="99"/>
      <c r="N104" s="97"/>
      <c r="O104" s="85"/>
    </row>
    <row r="105" spans="1:15" ht="12.75">
      <c r="A105" s="95"/>
      <c r="B105" s="116"/>
      <c r="C105" s="85"/>
      <c r="D105" s="96"/>
      <c r="E105" s="97"/>
      <c r="F105" s="98"/>
      <c r="G105" s="97"/>
      <c r="H105" s="99"/>
      <c r="I105" s="97"/>
      <c r="J105" s="101"/>
      <c r="K105" s="98"/>
      <c r="L105" s="97"/>
      <c r="M105" s="99"/>
      <c r="N105" s="97"/>
      <c r="O105" s="85"/>
    </row>
    <row r="106" spans="1:15" ht="12.75">
      <c r="A106" s="122"/>
      <c r="B106" s="85"/>
      <c r="C106" s="85"/>
      <c r="D106" s="96"/>
      <c r="E106" s="97"/>
      <c r="F106" s="98"/>
      <c r="G106" s="97"/>
      <c r="H106" s="99"/>
      <c r="I106" s="97"/>
      <c r="J106" s="101"/>
      <c r="K106" s="98"/>
      <c r="L106" s="97"/>
      <c r="M106" s="99"/>
      <c r="N106" s="97"/>
      <c r="O106" s="85"/>
    </row>
    <row r="107" spans="1:15" ht="12.75">
      <c r="A107" s="122"/>
      <c r="B107" s="85"/>
      <c r="C107" s="85"/>
      <c r="D107" s="96"/>
      <c r="E107" s="97"/>
      <c r="F107" s="98"/>
      <c r="G107" s="97"/>
      <c r="H107" s="99"/>
      <c r="I107" s="97"/>
      <c r="J107" s="101"/>
      <c r="K107" s="98"/>
      <c r="L107" s="97"/>
      <c r="M107" s="99"/>
      <c r="N107" s="97"/>
      <c r="O107" s="85"/>
    </row>
    <row r="108" spans="1:15" ht="12.75">
      <c r="A108" s="122"/>
      <c r="B108" s="85"/>
      <c r="C108" s="85"/>
      <c r="D108" s="96"/>
      <c r="E108" s="97"/>
      <c r="F108" s="98"/>
      <c r="G108" s="97"/>
      <c r="H108" s="99"/>
      <c r="I108" s="97"/>
      <c r="J108" s="101"/>
      <c r="K108" s="98"/>
      <c r="L108" s="97"/>
      <c r="M108" s="99"/>
      <c r="N108" s="97"/>
      <c r="O108" s="85"/>
    </row>
    <row r="109" spans="1:15" ht="12.75">
      <c r="A109" s="122"/>
      <c r="B109" s="85"/>
      <c r="C109" s="85"/>
      <c r="D109" s="96"/>
      <c r="E109" s="97"/>
      <c r="F109" s="98"/>
      <c r="G109" s="97"/>
      <c r="H109" s="99"/>
      <c r="I109" s="97"/>
      <c r="J109" s="101"/>
      <c r="K109" s="98"/>
      <c r="L109" s="97"/>
      <c r="M109" s="99"/>
      <c r="N109" s="97"/>
      <c r="O109" s="85"/>
    </row>
    <row r="110" spans="1:15" ht="12.75">
      <c r="A110" s="122"/>
      <c r="B110" s="85"/>
      <c r="C110" s="85"/>
      <c r="D110" s="96"/>
      <c r="E110" s="97"/>
      <c r="F110" s="98"/>
      <c r="G110" s="97"/>
      <c r="H110" s="99"/>
      <c r="I110" s="97"/>
      <c r="J110" s="101"/>
      <c r="K110" s="98"/>
      <c r="L110" s="97"/>
      <c r="M110" s="99"/>
      <c r="N110" s="97"/>
      <c r="O110" s="85"/>
    </row>
    <row r="111" spans="1:15" ht="12.75">
      <c r="A111" s="95"/>
      <c r="B111" s="113"/>
      <c r="C111" s="85"/>
      <c r="D111" s="96"/>
      <c r="E111" s="97"/>
      <c r="F111" s="98"/>
      <c r="G111" s="97"/>
      <c r="H111" s="99"/>
      <c r="I111" s="97"/>
      <c r="J111" s="101"/>
      <c r="K111" s="98"/>
      <c r="L111" s="97"/>
      <c r="M111" s="99"/>
      <c r="N111" s="97"/>
      <c r="O111" s="85"/>
    </row>
    <row r="112" spans="1:15" ht="12.75">
      <c r="A112" s="95"/>
      <c r="B112" s="113"/>
      <c r="C112" s="85"/>
      <c r="D112" s="96"/>
      <c r="E112" s="97"/>
      <c r="F112" s="98"/>
      <c r="G112" s="97"/>
      <c r="H112" s="99"/>
      <c r="I112" s="97"/>
      <c r="J112" s="101"/>
      <c r="K112" s="98"/>
      <c r="L112" s="97"/>
      <c r="M112" s="99"/>
      <c r="N112" s="97"/>
      <c r="O112" s="85"/>
    </row>
    <row r="113" spans="1:15" ht="12.75">
      <c r="A113" s="95"/>
      <c r="B113" s="91"/>
      <c r="C113" s="85"/>
      <c r="D113" s="96"/>
      <c r="E113" s="97"/>
      <c r="F113" s="98"/>
      <c r="G113" s="97"/>
      <c r="H113" s="99"/>
      <c r="I113" s="97"/>
      <c r="J113" s="101"/>
      <c r="K113" s="98"/>
      <c r="L113" s="97"/>
      <c r="M113" s="99"/>
      <c r="N113" s="97"/>
      <c r="O113" s="85"/>
    </row>
    <row r="114" spans="1:15" ht="12.75">
      <c r="A114" s="122"/>
      <c r="B114" s="85"/>
      <c r="C114" s="116"/>
      <c r="D114" s="167"/>
      <c r="E114" s="90"/>
      <c r="F114" s="156"/>
      <c r="G114" s="97"/>
      <c r="H114" s="155"/>
      <c r="I114" s="90"/>
      <c r="J114" s="103"/>
      <c r="K114" s="98"/>
      <c r="L114" s="97"/>
      <c r="M114" s="155"/>
      <c r="N114" s="90"/>
      <c r="O114" s="85"/>
    </row>
    <row r="115" spans="1:15" ht="12.75">
      <c r="A115" s="185"/>
      <c r="B115" s="112"/>
      <c r="C115" s="85"/>
      <c r="D115" s="96"/>
      <c r="E115" s="97"/>
      <c r="F115" s="98"/>
      <c r="G115" s="97"/>
      <c r="H115" s="99"/>
      <c r="I115" s="97"/>
      <c r="J115" s="101"/>
      <c r="K115" s="98"/>
      <c r="L115" s="97"/>
      <c r="M115" s="99"/>
      <c r="N115" s="97"/>
      <c r="O115" s="85"/>
    </row>
    <row r="116" spans="1:15" ht="12.75">
      <c r="A116" s="95"/>
      <c r="B116" s="112"/>
      <c r="C116" s="85"/>
      <c r="D116" s="96"/>
      <c r="E116" s="97"/>
      <c r="F116" s="98"/>
      <c r="G116" s="97"/>
      <c r="H116" s="99"/>
      <c r="I116" s="97"/>
      <c r="J116" s="101"/>
      <c r="K116" s="98"/>
      <c r="L116" s="97"/>
      <c r="M116" s="99"/>
      <c r="N116" s="97"/>
      <c r="O116" s="85"/>
    </row>
    <row r="117" spans="1:15" ht="12.75">
      <c r="A117" s="122"/>
      <c r="B117" s="85"/>
      <c r="C117" s="85"/>
      <c r="D117" s="96"/>
      <c r="E117" s="97"/>
      <c r="F117" s="98"/>
      <c r="G117" s="97"/>
      <c r="H117" s="99"/>
      <c r="I117" s="97"/>
      <c r="J117" s="103"/>
      <c r="K117" s="98"/>
      <c r="L117" s="97"/>
      <c r="M117" s="99"/>
      <c r="N117" s="97"/>
      <c r="O117" s="85"/>
    </row>
    <row r="118" spans="1:15" ht="12.75">
      <c r="A118" s="95"/>
      <c r="B118" s="112"/>
      <c r="C118" s="85"/>
      <c r="D118" s="96"/>
      <c r="E118" s="97"/>
      <c r="F118" s="98"/>
      <c r="G118" s="97"/>
      <c r="H118" s="99"/>
      <c r="I118" s="97"/>
      <c r="J118" s="101"/>
      <c r="K118" s="98"/>
      <c r="L118" s="97"/>
      <c r="M118" s="99"/>
      <c r="N118" s="97"/>
      <c r="O118" s="85"/>
    </row>
    <row r="119" spans="1:15" ht="12.75">
      <c r="A119" s="95"/>
      <c r="B119" s="112"/>
      <c r="C119" s="85"/>
      <c r="D119" s="96"/>
      <c r="E119" s="97"/>
      <c r="F119" s="98"/>
      <c r="G119" s="97"/>
      <c r="H119" s="99"/>
      <c r="I119" s="97"/>
      <c r="J119" s="101"/>
      <c r="K119" s="98"/>
      <c r="L119" s="97"/>
      <c r="M119" s="99"/>
      <c r="N119" s="97"/>
      <c r="O119" s="85"/>
    </row>
    <row r="120" spans="1:15" ht="12.75">
      <c r="A120" s="172"/>
      <c r="B120" s="85"/>
      <c r="C120" s="85"/>
      <c r="D120" s="96"/>
      <c r="E120" s="97"/>
      <c r="F120" s="98"/>
      <c r="G120" s="97"/>
      <c r="H120" s="99"/>
      <c r="I120" s="97"/>
      <c r="J120" s="101"/>
      <c r="K120" s="98"/>
      <c r="L120" s="97"/>
      <c r="M120" s="99"/>
      <c r="N120" s="97"/>
      <c r="O120" s="85"/>
    </row>
    <row r="121" spans="1:15" ht="12.75">
      <c r="A121" s="122"/>
      <c r="B121" s="85"/>
      <c r="C121" s="85"/>
      <c r="D121" s="96"/>
      <c r="E121" s="97"/>
      <c r="F121" s="98"/>
      <c r="G121" s="97"/>
      <c r="H121" s="99"/>
      <c r="I121" s="97"/>
      <c r="J121" s="103"/>
      <c r="K121" s="98"/>
      <c r="L121" s="97"/>
      <c r="M121" s="99"/>
      <c r="N121" s="97"/>
      <c r="O121" s="85"/>
    </row>
    <row r="122" spans="1:15" ht="12.75">
      <c r="A122" s="122"/>
      <c r="B122" s="85"/>
      <c r="C122" s="85"/>
      <c r="D122" s="96"/>
      <c r="E122" s="97"/>
      <c r="F122" s="98"/>
      <c r="G122" s="97"/>
      <c r="H122" s="99"/>
      <c r="I122" s="97"/>
      <c r="J122" s="103"/>
      <c r="K122" s="98"/>
      <c r="L122" s="97"/>
      <c r="M122" s="99"/>
      <c r="N122" s="97"/>
      <c r="O122" s="85"/>
    </row>
    <row r="123" spans="1:15" ht="12.75">
      <c r="A123" s="95"/>
      <c r="B123" s="112"/>
      <c r="C123" s="85"/>
      <c r="D123" s="96"/>
      <c r="E123" s="97"/>
      <c r="F123" s="98"/>
      <c r="G123" s="97"/>
      <c r="H123" s="99"/>
      <c r="I123" s="97"/>
      <c r="J123" s="101"/>
      <c r="K123" s="98"/>
      <c r="L123" s="97"/>
      <c r="M123" s="99"/>
      <c r="N123" s="97"/>
      <c r="O123" s="85"/>
    </row>
    <row r="124" spans="1:15" ht="12.75">
      <c r="A124" s="95"/>
      <c r="B124" s="112"/>
      <c r="C124" s="85"/>
      <c r="D124" s="96"/>
      <c r="E124" s="97"/>
      <c r="F124" s="98"/>
      <c r="G124" s="97"/>
      <c r="H124" s="99"/>
      <c r="I124" s="97"/>
      <c r="J124" s="101"/>
      <c r="K124" s="98"/>
      <c r="L124" s="97"/>
      <c r="M124" s="99"/>
      <c r="N124" s="97"/>
      <c r="O124" s="85"/>
    </row>
    <row r="125" spans="1:15" ht="12.75">
      <c r="A125" s="95"/>
      <c r="B125" s="112"/>
      <c r="C125" s="85"/>
      <c r="D125" s="96"/>
      <c r="E125" s="97"/>
      <c r="F125" s="98"/>
      <c r="G125" s="97"/>
      <c r="H125" s="99"/>
      <c r="I125" s="97"/>
      <c r="J125" s="101"/>
      <c r="K125" s="98"/>
      <c r="L125" s="97"/>
      <c r="M125" s="99"/>
      <c r="N125" s="97"/>
      <c r="O125" s="85"/>
    </row>
    <row r="126" spans="1:15" ht="12.75">
      <c r="A126" s="95"/>
      <c r="B126" s="91"/>
      <c r="C126" s="85"/>
      <c r="D126" s="96"/>
      <c r="E126" s="97"/>
      <c r="F126" s="98"/>
      <c r="G126" s="97"/>
      <c r="H126" s="99"/>
      <c r="I126" s="97"/>
      <c r="J126" s="101"/>
      <c r="K126" s="98"/>
      <c r="L126" s="97"/>
      <c r="M126" s="99"/>
      <c r="N126" s="97"/>
      <c r="O126" s="85"/>
    </row>
    <row r="127" spans="1:15" ht="12.75">
      <c r="A127" s="172"/>
      <c r="B127" s="85"/>
      <c r="C127" s="85"/>
      <c r="D127" s="96"/>
      <c r="E127" s="97"/>
      <c r="F127" s="98"/>
      <c r="G127" s="97"/>
      <c r="H127" s="99"/>
      <c r="I127" s="97"/>
      <c r="J127" s="103"/>
      <c r="K127" s="98"/>
      <c r="L127" s="97"/>
      <c r="M127" s="99"/>
      <c r="N127" s="97"/>
      <c r="O127" s="85"/>
    </row>
    <row r="128" spans="1:15" ht="12.75">
      <c r="A128" s="172"/>
      <c r="B128" s="85"/>
      <c r="C128" s="85"/>
      <c r="D128" s="96"/>
      <c r="E128" s="97"/>
      <c r="F128" s="98"/>
      <c r="G128" s="97"/>
      <c r="H128" s="99"/>
      <c r="I128" s="97"/>
      <c r="J128" s="103"/>
      <c r="K128" s="98"/>
      <c r="L128" s="97"/>
      <c r="M128" s="99"/>
      <c r="N128" s="97"/>
      <c r="O128" s="85"/>
    </row>
    <row r="129" spans="1:15" ht="12.75">
      <c r="A129" s="122"/>
      <c r="B129" s="85"/>
      <c r="C129" s="85"/>
      <c r="D129" s="96"/>
      <c r="E129" s="97"/>
      <c r="F129" s="98"/>
      <c r="G129" s="97"/>
      <c r="H129" s="99"/>
      <c r="I129" s="97"/>
      <c r="J129" s="103"/>
      <c r="K129" s="98"/>
      <c r="L129" s="97"/>
      <c r="M129" s="98"/>
      <c r="N129" s="97"/>
      <c r="O129" s="85"/>
    </row>
    <row r="130" spans="1:15" ht="12.75">
      <c r="A130" s="95"/>
      <c r="B130" s="122"/>
      <c r="C130" s="85"/>
      <c r="D130" s="96"/>
      <c r="E130" s="97"/>
      <c r="F130" s="98"/>
      <c r="G130" s="97"/>
      <c r="H130" s="99"/>
      <c r="I130" s="97"/>
      <c r="J130" s="101"/>
      <c r="K130" s="98"/>
      <c r="L130" s="97"/>
      <c r="M130" s="99"/>
      <c r="N130" s="97"/>
      <c r="O130" s="85"/>
    </row>
    <row r="131" spans="1:15" ht="12.75">
      <c r="A131" s="95"/>
      <c r="B131" s="173"/>
      <c r="C131" s="85"/>
      <c r="D131" s="96"/>
      <c r="E131" s="97"/>
      <c r="F131" s="98"/>
      <c r="G131" s="97"/>
      <c r="H131" s="99"/>
      <c r="I131" s="97"/>
      <c r="J131" s="101"/>
      <c r="K131" s="98"/>
      <c r="L131" s="97"/>
      <c r="M131" s="99"/>
      <c r="N131" s="97"/>
      <c r="O131" s="85"/>
    </row>
    <row r="132" spans="1:15" ht="12.75">
      <c r="A132" s="122"/>
      <c r="B132" s="85"/>
      <c r="C132" s="85"/>
      <c r="D132" s="96"/>
      <c r="E132" s="97"/>
      <c r="F132" s="98"/>
      <c r="G132" s="97"/>
      <c r="H132" s="99"/>
      <c r="I132" s="97"/>
      <c r="J132" s="103"/>
      <c r="K132" s="98"/>
      <c r="L132" s="97"/>
      <c r="M132" s="98"/>
      <c r="N132" s="97"/>
      <c r="O132" s="85"/>
    </row>
    <row r="133" spans="1:15" ht="12.75">
      <c r="A133" s="122"/>
      <c r="B133" s="85"/>
      <c r="C133" s="85"/>
      <c r="D133" s="96"/>
      <c r="E133" s="97"/>
      <c r="F133" s="98"/>
      <c r="G133" s="97"/>
      <c r="H133" s="99"/>
      <c r="I133" s="97"/>
      <c r="J133" s="101"/>
      <c r="K133" s="98"/>
      <c r="L133" s="97"/>
      <c r="M133" s="99"/>
      <c r="N133" s="97"/>
      <c r="O133" s="85"/>
    </row>
    <row r="134" spans="1:15" ht="12.75">
      <c r="A134" s="122"/>
      <c r="B134" s="85"/>
      <c r="C134" s="85"/>
      <c r="D134" s="96"/>
      <c r="E134" s="97"/>
      <c r="F134" s="98"/>
      <c r="G134" s="97"/>
      <c r="H134" s="99"/>
      <c r="I134" s="97"/>
      <c r="J134" s="103"/>
      <c r="K134" s="98"/>
      <c r="L134" s="97"/>
      <c r="M134" s="98"/>
      <c r="N134" s="97"/>
      <c r="O134" s="85"/>
    </row>
    <row r="135" spans="1:15" ht="12.75">
      <c r="A135" s="122"/>
      <c r="B135" s="85"/>
      <c r="C135" s="85"/>
      <c r="D135" s="96"/>
      <c r="E135" s="97"/>
      <c r="F135" s="98"/>
      <c r="G135" s="97"/>
      <c r="H135" s="99"/>
      <c r="I135" s="97"/>
      <c r="J135" s="101"/>
      <c r="K135" s="98"/>
      <c r="L135" s="97"/>
      <c r="M135" s="99"/>
      <c r="N135" s="97"/>
      <c r="O135" s="85"/>
    </row>
    <row r="136" spans="1:15" ht="12.75">
      <c r="A136" s="122"/>
      <c r="B136" s="85"/>
      <c r="C136" s="85"/>
      <c r="D136" s="96"/>
      <c r="E136" s="97"/>
      <c r="F136" s="98"/>
      <c r="G136" s="97"/>
      <c r="H136" s="99"/>
      <c r="I136" s="97"/>
      <c r="J136" s="103"/>
      <c r="K136" s="98"/>
      <c r="L136" s="97"/>
      <c r="M136" s="98"/>
      <c r="N136" s="97"/>
      <c r="O136" s="85"/>
    </row>
    <row r="137" spans="1:15" ht="12.75">
      <c r="A137" s="95"/>
      <c r="B137" s="122"/>
      <c r="C137" s="85"/>
      <c r="D137" s="96"/>
      <c r="E137" s="97"/>
      <c r="F137" s="98"/>
      <c r="G137" s="97"/>
      <c r="H137" s="99"/>
      <c r="I137" s="97"/>
      <c r="J137" s="101"/>
      <c r="K137" s="98"/>
      <c r="L137" s="97"/>
      <c r="M137" s="99"/>
      <c r="N137" s="97"/>
      <c r="O137" s="85"/>
    </row>
    <row r="138" spans="1:15" ht="12.75">
      <c r="A138" s="95"/>
      <c r="B138" s="173"/>
      <c r="C138" s="85"/>
      <c r="D138" s="96"/>
      <c r="E138" s="97"/>
      <c r="F138" s="98"/>
      <c r="G138" s="97"/>
      <c r="H138" s="99"/>
      <c r="I138" s="97"/>
      <c r="J138" s="101"/>
      <c r="K138" s="98"/>
      <c r="L138" s="97"/>
      <c r="M138" s="99"/>
      <c r="N138" s="97"/>
      <c r="O138" s="85"/>
    </row>
    <row r="139" spans="1:15" ht="12.75">
      <c r="A139" s="122"/>
      <c r="B139" s="85"/>
      <c r="C139" s="134"/>
      <c r="D139" s="96"/>
      <c r="E139" s="97"/>
      <c r="F139" s="98"/>
      <c r="G139" s="97"/>
      <c r="H139" s="99"/>
      <c r="I139" s="97"/>
      <c r="J139" s="103"/>
      <c r="K139" s="98"/>
      <c r="L139" s="97"/>
      <c r="M139" s="98"/>
      <c r="N139" s="97"/>
      <c r="O139" s="85"/>
    </row>
    <row r="140" spans="1:15" ht="12.75">
      <c r="A140" s="147"/>
      <c r="B140" s="85"/>
      <c r="C140" s="85"/>
      <c r="D140" s="96"/>
      <c r="E140" s="97"/>
      <c r="F140" s="98"/>
      <c r="G140" s="97"/>
      <c r="H140" s="99"/>
      <c r="I140" s="97"/>
      <c r="J140" s="101"/>
      <c r="K140" s="98"/>
      <c r="L140" s="97"/>
      <c r="M140" s="99"/>
      <c r="N140" s="97"/>
      <c r="O140" s="85"/>
    </row>
    <row r="141" spans="1:15" ht="12.75">
      <c r="A141" s="95"/>
      <c r="B141" s="147"/>
      <c r="C141" s="85"/>
      <c r="D141" s="96"/>
      <c r="E141" s="97"/>
      <c r="F141" s="98"/>
      <c r="G141" s="97"/>
      <c r="H141" s="99"/>
      <c r="I141" s="97"/>
      <c r="J141" s="101"/>
      <c r="K141" s="98"/>
      <c r="L141" s="97"/>
      <c r="M141" s="99"/>
      <c r="N141" s="97"/>
      <c r="O141" s="85"/>
    </row>
    <row r="142" spans="1:15" ht="12.75">
      <c r="A142" s="95"/>
      <c r="B142" s="173"/>
      <c r="C142" s="85"/>
      <c r="D142" s="96"/>
      <c r="E142" s="97"/>
      <c r="F142" s="98"/>
      <c r="G142" s="97"/>
      <c r="H142" s="99"/>
      <c r="I142" s="97"/>
      <c r="J142" s="101"/>
      <c r="K142" s="98"/>
      <c r="L142" s="97"/>
      <c r="M142" s="99"/>
      <c r="N142" s="97"/>
      <c r="O142" s="85"/>
    </row>
    <row r="143" spans="1:15" ht="12.75">
      <c r="A143" s="95"/>
      <c r="B143" s="85"/>
      <c r="C143" s="85"/>
      <c r="D143" s="96"/>
      <c r="E143" s="97"/>
      <c r="F143" s="98"/>
      <c r="G143" s="97"/>
      <c r="H143" s="99"/>
      <c r="I143" s="97"/>
      <c r="J143" s="103"/>
      <c r="K143" s="98"/>
      <c r="L143" s="97"/>
      <c r="M143" s="98"/>
      <c r="N143" s="97"/>
      <c r="O143" s="85"/>
    </row>
    <row r="144" spans="1:15" ht="12.75">
      <c r="A144" s="122"/>
      <c r="B144" s="122"/>
      <c r="C144" s="85"/>
      <c r="D144" s="96"/>
      <c r="E144" s="97"/>
      <c r="F144" s="98"/>
      <c r="G144" s="97"/>
      <c r="H144" s="99"/>
      <c r="I144" s="97"/>
      <c r="J144" s="103"/>
      <c r="K144" s="98"/>
      <c r="L144" s="97"/>
      <c r="M144" s="99"/>
      <c r="N144" s="97"/>
      <c r="O144" s="85"/>
    </row>
    <row r="145" spans="1:15" ht="12.75">
      <c r="A145" s="95"/>
      <c r="B145" s="122"/>
      <c r="C145" s="85"/>
      <c r="D145" s="96"/>
      <c r="E145" s="97"/>
      <c r="F145" s="98"/>
      <c r="G145" s="97"/>
      <c r="H145" s="99"/>
      <c r="I145" s="97"/>
      <c r="J145" s="103"/>
      <c r="K145" s="98"/>
      <c r="L145" s="97"/>
      <c r="M145" s="99"/>
      <c r="N145" s="97"/>
      <c r="O145" s="85"/>
    </row>
    <row r="146" spans="1:15" ht="12.75">
      <c r="A146" s="95"/>
      <c r="B146" s="112"/>
      <c r="C146" s="85"/>
      <c r="D146" s="96"/>
      <c r="E146" s="97"/>
      <c r="F146" s="98"/>
      <c r="G146" s="97"/>
      <c r="H146" s="99"/>
      <c r="I146" s="97"/>
      <c r="J146" s="101"/>
      <c r="K146" s="98"/>
      <c r="L146" s="97"/>
      <c r="M146" s="99"/>
      <c r="N146" s="97"/>
      <c r="O146" s="85"/>
    </row>
    <row r="147" spans="1:15" ht="12.75">
      <c r="A147" s="95"/>
      <c r="B147" s="112"/>
      <c r="C147" s="85"/>
      <c r="D147" s="96"/>
      <c r="E147" s="97"/>
      <c r="F147" s="98"/>
      <c r="G147" s="97"/>
      <c r="H147" s="99"/>
      <c r="I147" s="97"/>
      <c r="J147" s="101"/>
      <c r="K147" s="98"/>
      <c r="L147" s="97"/>
      <c r="M147" s="99"/>
      <c r="N147" s="97"/>
      <c r="O147" s="85"/>
    </row>
    <row r="148" spans="1:15" ht="12.75">
      <c r="A148" s="95"/>
      <c r="B148" s="112"/>
      <c r="C148" s="85"/>
      <c r="D148" s="96"/>
      <c r="E148" s="97"/>
      <c r="F148" s="98"/>
      <c r="G148" s="97"/>
      <c r="H148" s="99"/>
      <c r="I148" s="97"/>
      <c r="J148" s="101"/>
      <c r="K148" s="98"/>
      <c r="L148" s="97"/>
      <c r="M148" s="99"/>
      <c r="N148" s="97"/>
      <c r="O148" s="85"/>
    </row>
    <row r="149" spans="1:15" ht="12.75">
      <c r="A149" s="122"/>
      <c r="B149" s="85"/>
      <c r="C149" s="85"/>
      <c r="D149" s="96"/>
      <c r="E149" s="97"/>
      <c r="F149" s="98"/>
      <c r="G149" s="97"/>
      <c r="H149" s="99"/>
      <c r="I149" s="97"/>
      <c r="J149" s="103"/>
      <c r="K149" s="98"/>
      <c r="L149" s="97"/>
      <c r="M149" s="99"/>
      <c r="N149" s="97"/>
      <c r="O149" s="85"/>
    </row>
    <row r="150" spans="1:15" ht="12.75">
      <c r="A150" s="122"/>
      <c r="B150" s="85"/>
      <c r="C150" s="85"/>
      <c r="D150" s="96"/>
      <c r="E150" s="97"/>
      <c r="F150" s="98"/>
      <c r="G150" s="97"/>
      <c r="H150" s="99"/>
      <c r="I150" s="97"/>
      <c r="J150" s="103"/>
      <c r="K150" s="98"/>
      <c r="L150" s="97"/>
      <c r="M150" s="98"/>
      <c r="N150" s="97"/>
      <c r="O150" s="85"/>
    </row>
    <row r="151" spans="1:15" ht="12.75">
      <c r="A151" s="95"/>
      <c r="B151" s="112"/>
      <c r="C151" s="85"/>
      <c r="D151" s="96"/>
      <c r="E151" s="97"/>
      <c r="F151" s="98"/>
      <c r="G151" s="97"/>
      <c r="H151" s="99"/>
      <c r="I151" s="97"/>
      <c r="J151" s="101"/>
      <c r="K151" s="98"/>
      <c r="L151" s="97"/>
      <c r="M151" s="99"/>
      <c r="N151" s="97"/>
      <c r="O151" s="85"/>
    </row>
    <row r="152" spans="1:15" ht="12.75">
      <c r="A152" s="95"/>
      <c r="B152" s="112"/>
      <c r="C152" s="85"/>
      <c r="D152" s="96"/>
      <c r="E152" s="97"/>
      <c r="F152" s="98"/>
      <c r="G152" s="97"/>
      <c r="H152" s="99"/>
      <c r="I152" s="97"/>
      <c r="J152" s="101"/>
      <c r="K152" s="98"/>
      <c r="L152" s="97"/>
      <c r="M152" s="99"/>
      <c r="N152" s="97"/>
      <c r="O152" s="85"/>
    </row>
    <row r="153" spans="1:15" ht="12.75">
      <c r="A153" s="172"/>
      <c r="B153" s="85"/>
      <c r="C153" s="85"/>
      <c r="D153" s="96"/>
      <c r="E153" s="97"/>
      <c r="F153" s="98"/>
      <c r="G153" s="97"/>
      <c r="H153" s="99"/>
      <c r="I153" s="97"/>
      <c r="J153" s="101"/>
      <c r="K153" s="98"/>
      <c r="L153" s="97"/>
      <c r="M153" s="99"/>
      <c r="N153" s="97"/>
      <c r="O153" s="85"/>
    </row>
    <row r="154" spans="1:15" ht="12.75">
      <c r="A154" s="172"/>
      <c r="B154" s="85"/>
      <c r="C154" s="85"/>
      <c r="D154" s="99"/>
      <c r="E154" s="97"/>
      <c r="F154" s="98"/>
      <c r="G154" s="97"/>
      <c r="H154" s="99"/>
      <c r="I154" s="97"/>
      <c r="J154" s="101"/>
      <c r="K154" s="98"/>
      <c r="L154" s="97"/>
      <c r="M154" s="99"/>
      <c r="N154" s="97"/>
      <c r="O154" s="85"/>
    </row>
    <row r="155" spans="1:15" ht="12.75">
      <c r="A155" s="172"/>
      <c r="B155" s="85"/>
      <c r="C155" s="85"/>
      <c r="D155" s="96"/>
      <c r="E155" s="97"/>
      <c r="F155" s="98"/>
      <c r="G155" s="97"/>
      <c r="H155" s="99"/>
      <c r="I155" s="97"/>
      <c r="J155" s="101"/>
      <c r="K155" s="98"/>
      <c r="L155" s="97"/>
      <c r="M155" s="99"/>
      <c r="N155" s="97"/>
      <c r="O155" s="85"/>
    </row>
    <row r="156" spans="1:15" ht="12.75">
      <c r="A156" s="95"/>
      <c r="B156" s="116"/>
      <c r="C156" s="85"/>
      <c r="D156" s="96"/>
      <c r="E156" s="97"/>
      <c r="F156" s="98"/>
      <c r="G156" s="97"/>
      <c r="H156" s="99"/>
      <c r="I156" s="97"/>
      <c r="J156" s="101"/>
      <c r="K156" s="98"/>
      <c r="L156" s="97"/>
      <c r="M156" s="99"/>
      <c r="N156" s="97"/>
      <c r="O156" s="85"/>
    </row>
    <row r="157" spans="1:15" ht="12.75">
      <c r="A157" s="95"/>
      <c r="B157" s="116"/>
      <c r="C157" s="85"/>
      <c r="D157" s="99"/>
      <c r="E157" s="97"/>
      <c r="F157" s="98"/>
      <c r="G157" s="97"/>
      <c r="H157" s="99"/>
      <c r="I157" s="97"/>
      <c r="J157" s="101"/>
      <c r="K157" s="98"/>
      <c r="L157" s="97"/>
      <c r="M157" s="99"/>
      <c r="N157" s="97"/>
      <c r="O157" s="85"/>
    </row>
    <row r="158" spans="1:15" ht="12.75">
      <c r="A158" s="95"/>
      <c r="B158" s="116"/>
      <c r="C158" s="85"/>
      <c r="D158" s="96"/>
      <c r="E158" s="97"/>
      <c r="F158" s="98"/>
      <c r="G158" s="97"/>
      <c r="H158" s="99"/>
      <c r="I158" s="97"/>
      <c r="J158" s="101"/>
      <c r="K158" s="98"/>
      <c r="L158" s="97"/>
      <c r="M158" s="99"/>
      <c r="N158" s="97"/>
      <c r="O158" s="85"/>
    </row>
    <row r="159" spans="1:15" ht="12.75">
      <c r="A159" s="95"/>
      <c r="B159" s="112"/>
      <c r="C159" s="85"/>
      <c r="D159" s="96"/>
      <c r="E159" s="97"/>
      <c r="F159" s="98"/>
      <c r="G159" s="97"/>
      <c r="H159" s="99"/>
      <c r="I159" s="97"/>
      <c r="J159" s="101"/>
      <c r="K159" s="98"/>
      <c r="L159" s="97"/>
      <c r="M159" s="99"/>
      <c r="N159" s="97"/>
      <c r="O159" s="85"/>
    </row>
    <row r="160" spans="1:15" ht="12.75">
      <c r="A160" s="95"/>
      <c r="B160" s="112"/>
      <c r="C160" s="85"/>
      <c r="D160" s="96"/>
      <c r="E160" s="97"/>
      <c r="F160" s="98"/>
      <c r="G160" s="97"/>
      <c r="H160" s="99"/>
      <c r="I160" s="97"/>
      <c r="J160" s="101"/>
      <c r="K160" s="98"/>
      <c r="L160" s="97"/>
      <c r="M160" s="99"/>
      <c r="N160" s="97"/>
      <c r="O160" s="85"/>
    </row>
    <row r="161" spans="1:15" ht="12.75">
      <c r="A161" s="147"/>
      <c r="B161" s="85"/>
      <c r="C161" s="85"/>
      <c r="D161" s="96"/>
      <c r="E161" s="97"/>
      <c r="F161" s="98"/>
      <c r="G161" s="97"/>
      <c r="H161" s="99"/>
      <c r="I161" s="97"/>
      <c r="J161" s="101"/>
      <c r="K161" s="98"/>
      <c r="L161" s="97"/>
      <c r="M161" s="99"/>
      <c r="N161" s="97"/>
      <c r="O161" s="85"/>
    </row>
    <row r="162" spans="1:15" ht="12.75">
      <c r="A162" s="95"/>
      <c r="B162" s="112"/>
      <c r="C162" s="85"/>
      <c r="D162" s="96"/>
      <c r="E162" s="97"/>
      <c r="F162" s="98"/>
      <c r="G162" s="97"/>
      <c r="H162" s="99"/>
      <c r="I162" s="97"/>
      <c r="J162" s="101"/>
      <c r="K162" s="98"/>
      <c r="L162" s="97"/>
      <c r="M162" s="99"/>
      <c r="N162" s="97"/>
      <c r="O162" s="85"/>
    </row>
    <row r="163" spans="1:15" ht="12.75">
      <c r="A163" s="95"/>
      <c r="B163" s="112"/>
      <c r="C163" s="85"/>
      <c r="D163" s="85"/>
      <c r="E163" s="99"/>
      <c r="F163" s="269"/>
      <c r="G163" s="269"/>
      <c r="H163" s="266"/>
      <c r="I163" s="266"/>
      <c r="J163" s="101"/>
      <c r="K163" s="269"/>
      <c r="L163" s="269"/>
      <c r="M163" s="266"/>
      <c r="N163" s="266"/>
      <c r="O163" s="85"/>
    </row>
    <row r="164" spans="1:15" ht="12.75">
      <c r="A164" s="95"/>
      <c r="B164" s="95"/>
      <c r="C164" s="95"/>
      <c r="D164" s="85"/>
      <c r="E164" s="101"/>
      <c r="F164" s="267"/>
      <c r="G164" s="267"/>
      <c r="H164" s="266"/>
      <c r="I164" s="266"/>
      <c r="J164" s="101"/>
      <c r="K164" s="101"/>
      <c r="L164" s="101"/>
      <c r="M164" s="101"/>
      <c r="N164" s="101"/>
      <c r="O164" s="85"/>
    </row>
    <row r="165" spans="1:15" ht="12.75">
      <c r="A165" s="95"/>
      <c r="B165" s="95"/>
      <c r="C165" s="95"/>
      <c r="D165" s="85"/>
      <c r="E165" s="99"/>
      <c r="F165" s="100"/>
      <c r="G165" s="100"/>
      <c r="H165" s="266"/>
      <c r="I165" s="266"/>
      <c r="J165" s="101"/>
      <c r="K165" s="101"/>
      <c r="L165" s="101"/>
      <c r="M165" s="101"/>
      <c r="N165" s="101"/>
      <c r="O165" s="85"/>
    </row>
    <row r="166" spans="1:15" ht="12.75">
      <c r="A166" s="95"/>
      <c r="B166" s="95"/>
      <c r="C166" s="112"/>
      <c r="D166" s="85"/>
      <c r="E166" s="99"/>
      <c r="F166" s="267"/>
      <c r="G166" s="267"/>
      <c r="H166" s="266"/>
      <c r="I166" s="266"/>
      <c r="J166" s="101"/>
      <c r="K166" s="267"/>
      <c r="L166" s="267"/>
      <c r="M166" s="266"/>
      <c r="N166" s="266"/>
      <c r="O166" s="85"/>
    </row>
    <row r="167" spans="1:15" ht="12.75">
      <c r="A167" s="95"/>
      <c r="B167" s="95"/>
      <c r="C167" s="112"/>
      <c r="D167" s="85"/>
      <c r="E167" s="99"/>
      <c r="F167" s="100"/>
      <c r="G167" s="100"/>
      <c r="H167" s="99"/>
      <c r="I167" s="99"/>
      <c r="J167" s="101"/>
      <c r="K167" s="100"/>
      <c r="L167" s="100"/>
      <c r="M167" s="99"/>
      <c r="N167" s="99"/>
      <c r="O167" s="85"/>
    </row>
    <row r="168" spans="1:15" ht="12.75">
      <c r="A168" s="95"/>
      <c r="B168" s="95"/>
      <c r="C168" s="112"/>
      <c r="D168" s="85"/>
      <c r="E168" s="99"/>
      <c r="F168" s="100"/>
      <c r="G168" s="100"/>
      <c r="H168" s="99"/>
      <c r="I168" s="99"/>
      <c r="J168" s="101"/>
      <c r="K168" s="100"/>
      <c r="L168" s="100"/>
      <c r="M168" s="99"/>
      <c r="N168" s="99"/>
      <c r="O168" s="85"/>
    </row>
    <row r="169" spans="1:15" ht="12.75">
      <c r="A169" s="9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</row>
    <row r="170" spans="1:15" ht="12.75">
      <c r="A170" s="95"/>
      <c r="B170" s="112"/>
      <c r="C170" s="85"/>
      <c r="D170" s="85"/>
      <c r="E170" s="186"/>
      <c r="F170" s="270"/>
      <c r="G170" s="270"/>
      <c r="H170" s="268"/>
      <c r="I170" s="268"/>
      <c r="J170" s="85"/>
      <c r="K170" s="85"/>
      <c r="L170" s="85"/>
      <c r="M170" s="85"/>
      <c r="N170" s="85"/>
      <c r="O170" s="85"/>
    </row>
    <row r="171" spans="1:15" ht="12.75">
      <c r="A171" s="95"/>
      <c r="B171" s="112"/>
      <c r="C171" s="85"/>
      <c r="D171" s="85"/>
      <c r="E171" s="186"/>
      <c r="F171" s="270"/>
      <c r="G171" s="270"/>
      <c r="H171" s="268"/>
      <c r="I171" s="268"/>
      <c r="J171" s="85"/>
      <c r="K171" s="85"/>
      <c r="L171" s="85"/>
      <c r="M171" s="85"/>
      <c r="N171" s="85"/>
      <c r="O171" s="85"/>
    </row>
    <row r="172" spans="1:15" ht="12.75">
      <c r="A172" s="95"/>
      <c r="B172" s="112"/>
      <c r="C172" s="85"/>
      <c r="D172" s="85"/>
      <c r="E172" s="97"/>
      <c r="F172" s="98"/>
      <c r="G172" s="97"/>
      <c r="H172" s="99"/>
      <c r="I172" s="97"/>
      <c r="J172" s="85"/>
      <c r="K172" s="85"/>
      <c r="L172" s="85"/>
      <c r="M172" s="85"/>
      <c r="N172" s="85"/>
      <c r="O172" s="85"/>
    </row>
    <row r="173" spans="1:15" ht="12.75">
      <c r="A173" s="95"/>
      <c r="B173" s="112"/>
      <c r="C173" s="85"/>
      <c r="D173" s="85"/>
      <c r="E173" s="97"/>
      <c r="F173" s="98"/>
      <c r="G173" s="97"/>
      <c r="H173" s="99"/>
      <c r="I173" s="97"/>
      <c r="J173" s="85"/>
      <c r="K173" s="85"/>
      <c r="L173" s="85"/>
      <c r="M173" s="85"/>
      <c r="N173" s="85"/>
      <c r="O173" s="85"/>
    </row>
    <row r="174" spans="1:15" ht="12.75">
      <c r="A174" s="95"/>
      <c r="B174" s="112"/>
      <c r="C174" s="85"/>
      <c r="D174" s="85"/>
      <c r="E174" s="97"/>
      <c r="F174" s="98"/>
      <c r="G174" s="97"/>
      <c r="H174" s="99"/>
      <c r="I174" s="97"/>
      <c r="J174" s="85"/>
      <c r="K174" s="85"/>
      <c r="L174" s="85"/>
      <c r="M174" s="85"/>
      <c r="N174" s="85"/>
      <c r="O174" s="85"/>
    </row>
    <row r="175" spans="1:15" ht="12.75">
      <c r="A175" s="145"/>
      <c r="B175" s="85"/>
      <c r="C175" s="85"/>
      <c r="D175" s="85"/>
      <c r="E175" s="97"/>
      <c r="F175" s="98"/>
      <c r="G175" s="97"/>
      <c r="H175" s="99"/>
      <c r="I175" s="97"/>
      <c r="J175" s="85"/>
      <c r="K175" s="85"/>
      <c r="L175" s="85"/>
      <c r="M175" s="85"/>
      <c r="N175" s="85"/>
      <c r="O175" s="85"/>
    </row>
    <row r="176" spans="1:15" ht="12.75">
      <c r="A176" s="145"/>
      <c r="B176" s="145"/>
      <c r="C176" s="85"/>
      <c r="D176" s="85"/>
      <c r="E176" s="97"/>
      <c r="F176" s="98"/>
      <c r="G176" s="97"/>
      <c r="H176" s="99"/>
      <c r="I176" s="97"/>
      <c r="J176" s="85"/>
      <c r="K176" s="85"/>
      <c r="L176" s="85"/>
      <c r="M176" s="85"/>
      <c r="N176" s="85"/>
      <c r="O176" s="85"/>
    </row>
    <row r="177" spans="1:15" ht="12.75">
      <c r="A177" s="145"/>
      <c r="B177" s="145"/>
      <c r="C177" s="85"/>
      <c r="D177" s="85"/>
      <c r="E177" s="97"/>
      <c r="F177" s="98"/>
      <c r="G177" s="97"/>
      <c r="H177" s="99"/>
      <c r="I177" s="97"/>
      <c r="J177" s="85"/>
      <c r="K177" s="85"/>
      <c r="L177" s="85"/>
      <c r="M177" s="85"/>
      <c r="N177" s="85"/>
      <c r="O177" s="85"/>
    </row>
    <row r="178" spans="1:15" ht="12.75">
      <c r="A178" s="116"/>
      <c r="B178" s="145"/>
      <c r="C178" s="85"/>
      <c r="D178" s="85"/>
      <c r="E178" s="100"/>
      <c r="F178" s="98"/>
      <c r="G178" s="97"/>
      <c r="H178" s="99"/>
      <c r="I178" s="97"/>
      <c r="J178" s="85"/>
      <c r="K178" s="85"/>
      <c r="L178" s="85"/>
      <c r="M178" s="85"/>
      <c r="N178" s="85"/>
      <c r="O178" s="85"/>
    </row>
    <row r="179" spans="1:15" ht="12.75">
      <c r="A179" s="116"/>
      <c r="B179" s="145"/>
      <c r="C179" s="85"/>
      <c r="D179" s="85"/>
      <c r="E179" s="85"/>
      <c r="F179" s="267"/>
      <c r="G179" s="267"/>
      <c r="H179" s="99"/>
      <c r="I179" s="97"/>
      <c r="J179" s="85"/>
      <c r="K179" s="85"/>
      <c r="L179" s="85"/>
      <c r="M179" s="85"/>
      <c r="N179" s="85"/>
      <c r="O179" s="85"/>
    </row>
    <row r="180" spans="1:15" ht="12.75">
      <c r="A180" s="95"/>
      <c r="B180" s="145"/>
      <c r="C180" s="85"/>
      <c r="D180" s="85"/>
      <c r="E180" s="97"/>
      <c r="F180" s="98"/>
      <c r="G180" s="97"/>
      <c r="H180" s="99"/>
      <c r="I180" s="97"/>
      <c r="J180" s="85"/>
      <c r="K180" s="85"/>
      <c r="L180" s="85"/>
      <c r="M180" s="85"/>
      <c r="N180" s="85"/>
      <c r="O180" s="85"/>
    </row>
    <row r="181" spans="1:15" ht="12.75">
      <c r="A181" s="95"/>
      <c r="B181" s="112"/>
      <c r="C181" s="85"/>
      <c r="D181" s="85"/>
      <c r="E181" s="97"/>
      <c r="F181" s="98"/>
      <c r="G181" s="97"/>
      <c r="H181" s="99"/>
      <c r="I181" s="97"/>
      <c r="J181" s="85"/>
      <c r="K181" s="85"/>
      <c r="L181" s="85"/>
      <c r="M181" s="85"/>
      <c r="N181" s="85"/>
      <c r="O181" s="85"/>
    </row>
    <row r="182" spans="1:15" ht="12.75">
      <c r="A182" s="145"/>
      <c r="B182" s="85"/>
      <c r="C182" s="85"/>
      <c r="D182" s="85"/>
      <c r="E182" s="97"/>
      <c r="F182" s="98"/>
      <c r="G182" s="97"/>
      <c r="H182" s="99"/>
      <c r="I182" s="97"/>
      <c r="J182" s="85"/>
      <c r="K182" s="85"/>
      <c r="L182" s="85"/>
      <c r="M182" s="85"/>
      <c r="N182" s="85"/>
      <c r="O182" s="85"/>
    </row>
    <row r="183" spans="1:15" ht="12.75">
      <c r="A183" s="145"/>
      <c r="B183" s="145"/>
      <c r="C183" s="85"/>
      <c r="D183" s="85"/>
      <c r="E183" s="97"/>
      <c r="F183" s="98"/>
      <c r="G183" s="97"/>
      <c r="H183" s="99"/>
      <c r="I183" s="97"/>
      <c r="J183" s="85"/>
      <c r="K183" s="85"/>
      <c r="L183" s="85"/>
      <c r="M183" s="85"/>
      <c r="N183" s="85"/>
      <c r="O183" s="85"/>
    </row>
    <row r="184" spans="1:15" ht="12.75">
      <c r="A184" s="116"/>
      <c r="B184" s="145"/>
      <c r="C184" s="85"/>
      <c r="D184" s="85"/>
      <c r="E184" s="98"/>
      <c r="F184" s="98"/>
      <c r="G184" s="97"/>
      <c r="H184" s="99"/>
      <c r="I184" s="97"/>
      <c r="J184" s="85"/>
      <c r="K184" s="85"/>
      <c r="L184" s="85"/>
      <c r="M184" s="85"/>
      <c r="N184" s="85"/>
      <c r="O184" s="85"/>
    </row>
    <row r="185" spans="1:15" ht="12.75">
      <c r="A185" s="116"/>
      <c r="B185" s="145"/>
      <c r="C185" s="85"/>
      <c r="D185" s="85"/>
      <c r="E185" s="97"/>
      <c r="F185" s="98"/>
      <c r="G185" s="97"/>
      <c r="H185" s="99"/>
      <c r="I185" s="97"/>
      <c r="J185" s="85"/>
      <c r="K185" s="85"/>
      <c r="L185" s="85"/>
      <c r="M185" s="85"/>
      <c r="N185" s="85"/>
      <c r="O185" s="85"/>
    </row>
    <row r="186" spans="1:15" ht="12.75">
      <c r="A186" s="95"/>
      <c r="B186" s="145"/>
      <c r="C186" s="85"/>
      <c r="D186" s="85"/>
      <c r="E186" s="99"/>
      <c r="F186" s="269"/>
      <c r="G186" s="269"/>
      <c r="H186" s="266"/>
      <c r="I186" s="266"/>
      <c r="J186" s="85"/>
      <c r="K186" s="85"/>
      <c r="L186" s="85"/>
      <c r="M186" s="85"/>
      <c r="N186" s="85"/>
      <c r="O186" s="85"/>
    </row>
    <row r="187" spans="1:15" ht="12.75">
      <c r="A187" s="95"/>
      <c r="B187" s="112"/>
      <c r="C187" s="85"/>
      <c r="D187" s="85"/>
      <c r="E187" s="99"/>
      <c r="F187" s="269"/>
      <c r="G187" s="269"/>
      <c r="H187" s="266"/>
      <c r="I187" s="266"/>
      <c r="J187" s="85"/>
      <c r="K187" s="85"/>
      <c r="L187" s="85"/>
      <c r="M187" s="85"/>
      <c r="N187" s="85"/>
      <c r="O187" s="85"/>
    </row>
    <row r="188" spans="1:15" ht="12.75">
      <c r="A188" s="95"/>
      <c r="B188" s="112"/>
      <c r="C188" s="85"/>
      <c r="D188" s="99"/>
      <c r="E188" s="97"/>
      <c r="F188" s="98"/>
      <c r="G188" s="97"/>
      <c r="H188" s="99"/>
      <c r="I188" s="97"/>
      <c r="J188" s="85"/>
      <c r="K188" s="85"/>
      <c r="L188" s="85"/>
      <c r="M188" s="85"/>
      <c r="N188" s="85"/>
      <c r="O188" s="85"/>
    </row>
    <row r="189" spans="1:15" ht="12.75">
      <c r="A189" s="95"/>
      <c r="B189" s="95"/>
      <c r="C189" s="95"/>
      <c r="D189" s="95"/>
      <c r="E189" s="95"/>
      <c r="F189" s="95"/>
      <c r="G189" s="95"/>
      <c r="H189" s="269"/>
      <c r="I189" s="269"/>
      <c r="J189" s="85"/>
      <c r="K189" s="85"/>
      <c r="L189" s="85"/>
      <c r="M189" s="85"/>
      <c r="N189" s="85"/>
      <c r="O189" s="85"/>
    </row>
    <row r="190" spans="1:15" ht="12.75">
      <c r="A190" s="85"/>
      <c r="B190" s="85"/>
      <c r="C190" s="85"/>
      <c r="D190" s="85"/>
      <c r="E190" s="85"/>
      <c r="F190" s="85"/>
      <c r="G190" s="85"/>
      <c r="H190" s="85"/>
      <c r="I190" s="85"/>
      <c r="J190" s="101"/>
      <c r="K190" s="101"/>
      <c r="L190" s="85"/>
      <c r="M190" s="85"/>
      <c r="N190" s="85"/>
      <c r="O190" s="85"/>
    </row>
    <row r="191" spans="1:15" ht="12.75">
      <c r="A191" s="95"/>
      <c r="B191" s="112"/>
      <c r="C191" s="85"/>
      <c r="D191" s="99"/>
      <c r="E191" s="115"/>
      <c r="F191" s="98"/>
      <c r="G191" s="97"/>
      <c r="H191" s="99"/>
      <c r="I191" s="97"/>
      <c r="J191" s="101"/>
      <c r="K191" s="101"/>
      <c r="L191" s="101"/>
      <c r="M191" s="85"/>
      <c r="N191" s="85"/>
      <c r="O191" s="85"/>
    </row>
    <row r="192" spans="1:15" ht="12.75">
      <c r="A192" s="95"/>
      <c r="B192" s="112"/>
      <c r="C192" s="85"/>
      <c r="D192" s="96"/>
      <c r="E192" s="97"/>
      <c r="F192" s="98"/>
      <c r="G192" s="286"/>
      <c r="H192" s="286"/>
      <c r="I192" s="287"/>
      <c r="J192" s="287"/>
      <c r="K192" s="104"/>
      <c r="L192" s="85"/>
      <c r="M192" s="85"/>
      <c r="N192" s="85"/>
      <c r="O192" s="85"/>
    </row>
    <row r="193" spans="1:15" ht="12.75">
      <c r="A193" s="95"/>
      <c r="B193" s="112"/>
      <c r="C193" s="85"/>
      <c r="D193" s="96"/>
      <c r="E193" s="238"/>
      <c r="F193" s="238"/>
      <c r="G193" s="270"/>
      <c r="H193" s="270"/>
      <c r="I193" s="270"/>
      <c r="J193" s="270"/>
      <c r="K193" s="104"/>
      <c r="L193" s="85"/>
      <c r="M193" s="85"/>
      <c r="N193" s="85"/>
      <c r="O193" s="85"/>
    </row>
    <row r="194" spans="1:15" ht="12.75">
      <c r="A194" s="95"/>
      <c r="B194" s="112"/>
      <c r="C194" s="85"/>
      <c r="D194" s="96"/>
      <c r="E194" s="281"/>
      <c r="F194" s="281"/>
      <c r="G194" s="270"/>
      <c r="H194" s="270"/>
      <c r="I194" s="270"/>
      <c r="J194" s="270"/>
      <c r="K194" s="101"/>
      <c r="L194" s="85"/>
      <c r="M194" s="85"/>
      <c r="N194" s="85"/>
      <c r="O194" s="85"/>
    </row>
    <row r="195" spans="1:15" ht="12.75">
      <c r="A195" s="95"/>
      <c r="B195" s="112"/>
      <c r="C195" s="85"/>
      <c r="D195" s="96"/>
      <c r="E195" s="97"/>
      <c r="F195" s="98"/>
      <c r="G195" s="97"/>
      <c r="H195" s="99"/>
      <c r="I195" s="97"/>
      <c r="J195" s="101"/>
      <c r="K195" s="101"/>
      <c r="L195" s="85"/>
      <c r="M195" s="85"/>
      <c r="N195" s="85"/>
      <c r="O195" s="85"/>
    </row>
    <row r="196" spans="1:15" ht="12.75">
      <c r="A196" s="95"/>
      <c r="B196" s="112"/>
      <c r="C196" s="85"/>
      <c r="D196" s="96"/>
      <c r="E196" s="97"/>
      <c r="F196" s="97"/>
      <c r="G196" s="98"/>
      <c r="H196" s="97"/>
      <c r="I196" s="100"/>
      <c r="J196" s="97"/>
      <c r="K196" s="97"/>
      <c r="L196" s="85"/>
      <c r="M196" s="85"/>
      <c r="N196" s="85"/>
      <c r="O196" s="85"/>
    </row>
    <row r="197" spans="1:15" ht="12.75">
      <c r="A197" s="145"/>
      <c r="B197" s="85"/>
      <c r="C197" s="85"/>
      <c r="D197" s="96"/>
      <c r="E197" s="239"/>
      <c r="F197" s="239"/>
      <c r="G197" s="266"/>
      <c r="H197" s="266"/>
      <c r="I197" s="266"/>
      <c r="J197" s="266"/>
      <c r="K197" s="97"/>
      <c r="L197" s="85"/>
      <c r="M197" s="85"/>
      <c r="N197" s="85"/>
      <c r="O197" s="85"/>
    </row>
    <row r="198" spans="1:15" ht="12.75">
      <c r="A198" s="95"/>
      <c r="B198" s="112"/>
      <c r="C198" s="85"/>
      <c r="D198" s="96"/>
      <c r="E198" s="97"/>
      <c r="F198" s="97"/>
      <c r="G198" s="266"/>
      <c r="H198" s="266"/>
      <c r="I198" s="266"/>
      <c r="J198" s="266"/>
      <c r="K198" s="97"/>
      <c r="L198" s="85"/>
      <c r="M198" s="85"/>
      <c r="N198" s="85"/>
      <c r="O198" s="85"/>
    </row>
    <row r="199" spans="1:15" ht="12.75">
      <c r="A199" s="95"/>
      <c r="B199" s="91"/>
      <c r="C199" s="85"/>
      <c r="D199" s="96"/>
      <c r="E199" s="97"/>
      <c r="F199" s="97"/>
      <c r="G199" s="99"/>
      <c r="H199" s="97"/>
      <c r="I199" s="100"/>
      <c r="J199" s="97"/>
      <c r="K199" s="97"/>
      <c r="L199" s="85"/>
      <c r="M199" s="85"/>
      <c r="N199" s="85"/>
      <c r="O199" s="85"/>
    </row>
    <row r="200" spans="1:15" ht="12.75">
      <c r="A200" s="145"/>
      <c r="B200" s="85"/>
      <c r="C200" s="85"/>
      <c r="D200" s="96"/>
      <c r="E200" s="239"/>
      <c r="F200" s="239"/>
      <c r="G200" s="266"/>
      <c r="H200" s="266"/>
      <c r="I200" s="266"/>
      <c r="J200" s="266"/>
      <c r="K200" s="97"/>
      <c r="L200" s="85"/>
      <c r="M200" s="85"/>
      <c r="N200" s="85"/>
      <c r="O200" s="85"/>
    </row>
    <row r="201" spans="1:15" ht="12.75">
      <c r="A201" s="94"/>
      <c r="B201" s="85"/>
      <c r="C201" s="85"/>
      <c r="D201" s="96"/>
      <c r="E201" s="97"/>
      <c r="F201" s="97"/>
      <c r="G201" s="266"/>
      <c r="H201" s="266"/>
      <c r="I201" s="266"/>
      <c r="J201" s="266"/>
      <c r="K201" s="97"/>
      <c r="L201" s="85"/>
      <c r="M201" s="85"/>
      <c r="N201" s="85"/>
      <c r="O201" s="85"/>
    </row>
    <row r="202" spans="1:15" ht="12.75">
      <c r="A202" s="95"/>
      <c r="B202" s="116"/>
      <c r="C202" s="85"/>
      <c r="D202" s="96"/>
      <c r="E202" s="97"/>
      <c r="F202" s="97"/>
      <c r="G202" s="266"/>
      <c r="H202" s="266"/>
      <c r="I202" s="266"/>
      <c r="J202" s="266"/>
      <c r="K202" s="97"/>
      <c r="L202" s="85"/>
      <c r="M202" s="85"/>
      <c r="N202" s="85"/>
      <c r="O202" s="85"/>
    </row>
    <row r="203" spans="1:15" ht="12.75">
      <c r="A203" s="95"/>
      <c r="B203" s="91"/>
      <c r="C203" s="85"/>
      <c r="D203" s="96"/>
      <c r="E203" s="97"/>
      <c r="F203" s="97"/>
      <c r="G203" s="99"/>
      <c r="H203" s="97"/>
      <c r="I203" s="100"/>
      <c r="J203" s="97"/>
      <c r="K203" s="97"/>
      <c r="L203" s="85"/>
      <c r="M203" s="85"/>
      <c r="N203" s="85"/>
      <c r="O203" s="85"/>
    </row>
    <row r="204" spans="1:15" ht="12.75">
      <c r="A204" s="145"/>
      <c r="B204" s="85"/>
      <c r="C204" s="85"/>
      <c r="D204" s="96"/>
      <c r="E204" s="239"/>
      <c r="F204" s="239"/>
      <c r="G204" s="266"/>
      <c r="H204" s="266"/>
      <c r="I204" s="266"/>
      <c r="J204" s="266"/>
      <c r="K204" s="97"/>
      <c r="L204" s="85"/>
      <c r="M204" s="85"/>
      <c r="N204" s="85"/>
      <c r="O204" s="85"/>
    </row>
    <row r="205" spans="1:15" ht="12.75">
      <c r="A205" s="145"/>
      <c r="B205" s="85"/>
      <c r="C205" s="85"/>
      <c r="D205" s="96"/>
      <c r="E205" s="239"/>
      <c r="F205" s="239"/>
      <c r="G205" s="266"/>
      <c r="H205" s="266"/>
      <c r="I205" s="266"/>
      <c r="J205" s="266"/>
      <c r="K205" s="97"/>
      <c r="L205" s="85"/>
      <c r="M205" s="85"/>
      <c r="N205" s="85"/>
      <c r="O205" s="85"/>
    </row>
    <row r="206" spans="1:15" ht="12.75">
      <c r="A206" s="145"/>
      <c r="B206" s="85"/>
      <c r="C206" s="85"/>
      <c r="D206" s="96"/>
      <c r="E206" s="239"/>
      <c r="F206" s="239"/>
      <c r="G206" s="266"/>
      <c r="H206" s="266"/>
      <c r="I206" s="266"/>
      <c r="J206" s="266"/>
      <c r="K206" s="97"/>
      <c r="L206" s="85"/>
      <c r="M206" s="85"/>
      <c r="N206" s="85"/>
      <c r="O206" s="85"/>
    </row>
    <row r="207" spans="1:15" ht="12.75">
      <c r="A207" s="95"/>
      <c r="B207" s="145"/>
      <c r="C207" s="85"/>
      <c r="D207" s="96"/>
      <c r="E207" s="97"/>
      <c r="F207" s="97"/>
      <c r="G207" s="266"/>
      <c r="H207" s="266"/>
      <c r="I207" s="266"/>
      <c r="J207" s="266"/>
      <c r="K207" s="97"/>
      <c r="L207" s="85"/>
      <c r="M207" s="85"/>
      <c r="N207" s="85"/>
      <c r="O207" s="85"/>
    </row>
    <row r="208" spans="1:15" ht="12.75">
      <c r="A208" s="95"/>
      <c r="B208" s="112"/>
      <c r="C208" s="85"/>
      <c r="D208" s="96"/>
      <c r="E208" s="97"/>
      <c r="F208" s="97"/>
      <c r="G208" s="266"/>
      <c r="H208" s="266"/>
      <c r="I208" s="266"/>
      <c r="J208" s="266"/>
      <c r="K208" s="97"/>
      <c r="L208" s="85"/>
      <c r="M208" s="85"/>
      <c r="N208" s="85"/>
      <c r="O208" s="85"/>
    </row>
    <row r="209" spans="1:15" ht="12.75">
      <c r="A209" s="95"/>
      <c r="B209" s="91"/>
      <c r="C209" s="85"/>
      <c r="D209" s="96"/>
      <c r="E209" s="97"/>
      <c r="F209" s="97"/>
      <c r="G209" s="99"/>
      <c r="H209" s="97"/>
      <c r="I209" s="100"/>
      <c r="J209" s="97"/>
      <c r="K209" s="101"/>
      <c r="L209" s="85"/>
      <c r="M209" s="85"/>
      <c r="N209" s="85"/>
      <c r="O209" s="85"/>
    </row>
    <row r="210" spans="1:15" ht="12.75">
      <c r="A210" s="94"/>
      <c r="B210" s="85"/>
      <c r="C210" s="85"/>
      <c r="D210" s="96"/>
      <c r="E210" s="97"/>
      <c r="F210" s="97"/>
      <c r="G210" s="99"/>
      <c r="H210" s="97"/>
      <c r="I210" s="100"/>
      <c r="J210" s="97"/>
      <c r="K210" s="101"/>
      <c r="L210" s="85"/>
      <c r="M210" s="85"/>
      <c r="N210" s="85"/>
      <c r="O210" s="85"/>
    </row>
    <row r="211" spans="1:15" ht="12.75">
      <c r="A211" s="146"/>
      <c r="B211" s="85"/>
      <c r="C211" s="85"/>
      <c r="D211" s="96"/>
      <c r="E211" s="285"/>
      <c r="F211" s="285"/>
      <c r="G211" s="266"/>
      <c r="H211" s="266"/>
      <c r="I211" s="266"/>
      <c r="J211" s="266"/>
      <c r="K211" s="97"/>
      <c r="L211" s="85"/>
      <c r="M211" s="85"/>
      <c r="N211" s="85"/>
      <c r="O211" s="85"/>
    </row>
    <row r="212" spans="1:15" ht="12.75">
      <c r="A212" s="94"/>
      <c r="B212" s="85"/>
      <c r="C212" s="85"/>
      <c r="D212" s="96"/>
      <c r="E212" s="126"/>
      <c r="F212" s="126"/>
      <c r="G212" s="266"/>
      <c r="H212" s="266"/>
      <c r="I212" s="266"/>
      <c r="J212" s="266"/>
      <c r="K212" s="101"/>
      <c r="L212" s="85"/>
      <c r="M212" s="85"/>
      <c r="N212" s="85"/>
      <c r="O212" s="85"/>
    </row>
    <row r="213" spans="1:15" ht="12.75">
      <c r="A213" s="94"/>
      <c r="B213" s="85"/>
      <c r="C213" s="85"/>
      <c r="D213" s="96"/>
      <c r="E213" s="285"/>
      <c r="F213" s="285"/>
      <c r="G213" s="266"/>
      <c r="H213" s="266"/>
      <c r="I213" s="266"/>
      <c r="J213" s="266"/>
      <c r="K213" s="97"/>
      <c r="L213" s="85"/>
      <c r="M213" s="85"/>
      <c r="N213" s="85"/>
      <c r="O213" s="85"/>
    </row>
    <row r="214" spans="1:15" ht="12.75">
      <c r="A214" s="94"/>
      <c r="B214" s="85"/>
      <c r="C214" s="85"/>
      <c r="D214" s="96"/>
      <c r="E214" s="126"/>
      <c r="F214" s="126"/>
      <c r="G214" s="266"/>
      <c r="H214" s="266"/>
      <c r="I214" s="266"/>
      <c r="J214" s="266"/>
      <c r="K214" s="101"/>
      <c r="L214" s="85"/>
      <c r="M214" s="85"/>
      <c r="N214" s="85"/>
      <c r="O214" s="85"/>
    </row>
    <row r="215" spans="1:15" ht="12.75">
      <c r="A215" s="94"/>
      <c r="B215" s="85"/>
      <c r="C215" s="85"/>
      <c r="D215" s="96"/>
      <c r="E215" s="126"/>
      <c r="F215" s="126"/>
      <c r="G215" s="266"/>
      <c r="H215" s="266"/>
      <c r="I215" s="266"/>
      <c r="J215" s="266"/>
      <c r="K215" s="101"/>
      <c r="L215" s="85"/>
      <c r="M215" s="85"/>
      <c r="N215" s="85"/>
      <c r="O215" s="85"/>
    </row>
    <row r="216" spans="1:15" ht="12.75">
      <c r="A216" s="94"/>
      <c r="B216" s="85"/>
      <c r="C216" s="85"/>
      <c r="D216" s="96"/>
      <c r="E216" s="239"/>
      <c r="F216" s="239"/>
      <c r="G216" s="266"/>
      <c r="H216" s="266"/>
      <c r="I216" s="266"/>
      <c r="J216" s="266"/>
      <c r="K216" s="107"/>
      <c r="L216" s="85"/>
      <c r="M216" s="85"/>
      <c r="N216" s="85"/>
      <c r="O216" s="85"/>
    </row>
    <row r="217" spans="1:15" ht="12.75">
      <c r="A217" s="94"/>
      <c r="B217" s="85"/>
      <c r="C217" s="85"/>
      <c r="D217" s="96"/>
      <c r="E217" s="126"/>
      <c r="F217" s="126"/>
      <c r="G217" s="266"/>
      <c r="H217" s="266"/>
      <c r="I217" s="266"/>
      <c r="J217" s="266"/>
      <c r="K217" s="97"/>
      <c r="L217" s="85"/>
      <c r="M217" s="85"/>
      <c r="N217" s="85"/>
      <c r="O217" s="85"/>
    </row>
    <row r="218" spans="1:15" ht="12.75">
      <c r="A218" s="94"/>
      <c r="B218" s="85"/>
      <c r="C218" s="85"/>
      <c r="D218" s="96"/>
      <c r="E218" s="285"/>
      <c r="F218" s="285"/>
      <c r="G218" s="266"/>
      <c r="H218" s="266"/>
      <c r="I218" s="266"/>
      <c r="J218" s="266"/>
      <c r="K218" s="97"/>
      <c r="L218" s="85"/>
      <c r="M218" s="85"/>
      <c r="N218" s="85"/>
      <c r="O218" s="85"/>
    </row>
    <row r="219" spans="1:15" ht="12.75">
      <c r="A219" s="94"/>
      <c r="B219" s="85"/>
      <c r="C219" s="85"/>
      <c r="D219" s="96"/>
      <c r="E219" s="126"/>
      <c r="F219" s="126"/>
      <c r="G219" s="266"/>
      <c r="H219" s="266"/>
      <c r="I219" s="266"/>
      <c r="J219" s="266"/>
      <c r="K219" s="97"/>
      <c r="L219" s="85"/>
      <c r="M219" s="85"/>
      <c r="N219" s="85"/>
      <c r="O219" s="85"/>
    </row>
    <row r="220" spans="1:15" ht="12.75">
      <c r="A220" s="94"/>
      <c r="B220" s="85"/>
      <c r="C220" s="85"/>
      <c r="D220" s="96"/>
      <c r="E220" s="239"/>
      <c r="F220" s="239"/>
      <c r="G220" s="266"/>
      <c r="H220" s="266"/>
      <c r="I220" s="266"/>
      <c r="J220" s="266"/>
      <c r="K220" s="107"/>
      <c r="L220" s="85"/>
      <c r="M220" s="85"/>
      <c r="N220" s="85"/>
      <c r="O220" s="85"/>
    </row>
    <row r="221" spans="1:15" ht="12.75">
      <c r="A221" s="94"/>
      <c r="B221" s="85"/>
      <c r="C221" s="85"/>
      <c r="D221" s="96"/>
      <c r="E221" s="126"/>
      <c r="F221" s="126"/>
      <c r="G221" s="266"/>
      <c r="H221" s="266"/>
      <c r="I221" s="266"/>
      <c r="J221" s="266"/>
      <c r="K221" s="101"/>
      <c r="L221" s="85"/>
      <c r="M221" s="85"/>
      <c r="N221" s="85"/>
      <c r="O221" s="85"/>
    </row>
    <row r="222" spans="1:15" ht="12.75">
      <c r="A222" s="94"/>
      <c r="B222" s="85"/>
      <c r="C222" s="85"/>
      <c r="D222" s="96"/>
      <c r="E222" s="239"/>
      <c r="F222" s="239"/>
      <c r="G222" s="266"/>
      <c r="H222" s="266"/>
      <c r="I222" s="266"/>
      <c r="J222" s="266"/>
      <c r="K222" s="107"/>
      <c r="L222" s="85"/>
      <c r="M222" s="85"/>
      <c r="N222" s="85"/>
      <c r="O222" s="85"/>
    </row>
    <row r="223" spans="1:15" ht="12.75">
      <c r="A223" s="94"/>
      <c r="B223" s="85"/>
      <c r="C223" s="85"/>
      <c r="D223" s="96"/>
      <c r="E223" s="127"/>
      <c r="F223" s="126"/>
      <c r="G223" s="266"/>
      <c r="H223" s="266"/>
      <c r="I223" s="266"/>
      <c r="J223" s="266"/>
      <c r="K223" s="97"/>
      <c r="L223" s="85"/>
      <c r="M223" s="85"/>
      <c r="N223" s="85"/>
      <c r="O223" s="85"/>
    </row>
    <row r="224" spans="1:15" ht="12.75">
      <c r="A224" s="94"/>
      <c r="B224" s="85"/>
      <c r="C224" s="85"/>
      <c r="D224" s="96"/>
      <c r="E224" s="239"/>
      <c r="F224" s="239"/>
      <c r="G224" s="266"/>
      <c r="H224" s="266"/>
      <c r="I224" s="266"/>
      <c r="J224" s="266"/>
      <c r="K224" s="107"/>
      <c r="L224" s="85"/>
      <c r="M224" s="85"/>
      <c r="N224" s="85"/>
      <c r="O224" s="85"/>
    </row>
    <row r="225" spans="1:15" ht="12.75">
      <c r="A225" s="94"/>
      <c r="B225" s="85"/>
      <c r="C225" s="85"/>
      <c r="D225" s="96"/>
      <c r="E225" s="126"/>
      <c r="F225" s="126"/>
      <c r="G225" s="266"/>
      <c r="H225" s="266"/>
      <c r="I225" s="266"/>
      <c r="J225" s="266"/>
      <c r="K225" s="97"/>
      <c r="L225" s="85"/>
      <c r="M225" s="85"/>
      <c r="N225" s="85"/>
      <c r="O225" s="85"/>
    </row>
    <row r="226" spans="1:15" ht="12.75">
      <c r="A226" s="94"/>
      <c r="B226" s="85"/>
      <c r="C226" s="85"/>
      <c r="D226" s="96"/>
      <c r="E226" s="239"/>
      <c r="F226" s="239"/>
      <c r="G226" s="266"/>
      <c r="H226" s="266"/>
      <c r="I226" s="266"/>
      <c r="J226" s="266"/>
      <c r="K226" s="107"/>
      <c r="L226" s="85"/>
      <c r="M226" s="85"/>
      <c r="N226" s="85"/>
      <c r="O226" s="85"/>
    </row>
    <row r="227" spans="1:15" ht="12.75">
      <c r="A227" s="95"/>
      <c r="B227" s="116"/>
      <c r="C227" s="85"/>
      <c r="D227" s="96"/>
      <c r="E227" s="97"/>
      <c r="F227" s="97"/>
      <c r="G227" s="266"/>
      <c r="H227" s="266"/>
      <c r="I227" s="266"/>
      <c r="J227" s="266"/>
      <c r="K227" s="97"/>
      <c r="L227" s="85"/>
      <c r="M227" s="85"/>
      <c r="N227" s="85"/>
      <c r="O227" s="85"/>
    </row>
    <row r="228" spans="1:15" ht="12.75">
      <c r="A228" s="95"/>
      <c r="B228" s="112"/>
      <c r="C228" s="85"/>
      <c r="D228" s="96"/>
      <c r="E228" s="97"/>
      <c r="F228" s="97"/>
      <c r="G228" s="99"/>
      <c r="H228" s="97"/>
      <c r="I228" s="100"/>
      <c r="J228" s="97"/>
      <c r="K228" s="97"/>
      <c r="L228" s="85"/>
      <c r="M228" s="85"/>
      <c r="N228" s="85"/>
      <c r="O228" s="85"/>
    </row>
    <row r="229" spans="1:15" ht="12.75">
      <c r="A229" s="147"/>
      <c r="B229" s="85"/>
      <c r="C229" s="85"/>
      <c r="D229" s="96"/>
      <c r="E229" s="239"/>
      <c r="F229" s="239"/>
      <c r="G229" s="266"/>
      <c r="H229" s="266"/>
      <c r="I229" s="266"/>
      <c r="J229" s="266"/>
      <c r="K229" s="97"/>
      <c r="L229" s="85"/>
      <c r="M229" s="85"/>
      <c r="N229" s="85"/>
      <c r="O229" s="85"/>
    </row>
    <row r="230" spans="1:15" ht="12.75">
      <c r="A230" s="85"/>
      <c r="B230" s="112"/>
      <c r="C230" s="85"/>
      <c r="D230" s="96"/>
      <c r="E230" s="97"/>
      <c r="F230" s="97"/>
      <c r="G230" s="266"/>
      <c r="H230" s="266"/>
      <c r="I230" s="266"/>
      <c r="J230" s="266"/>
      <c r="K230" s="97"/>
      <c r="L230" s="85"/>
      <c r="M230" s="85"/>
      <c r="N230" s="85"/>
      <c r="O230" s="85"/>
    </row>
    <row r="231" spans="1:15" ht="12.75">
      <c r="A231" s="95"/>
      <c r="B231" s="112"/>
      <c r="C231" s="85"/>
      <c r="D231" s="96"/>
      <c r="E231" s="97"/>
      <c r="F231" s="97"/>
      <c r="G231" s="99"/>
      <c r="H231" s="97"/>
      <c r="I231" s="100"/>
      <c r="J231" s="97"/>
      <c r="K231" s="97"/>
      <c r="L231" s="85"/>
      <c r="M231" s="85"/>
      <c r="N231" s="85"/>
      <c r="O231" s="85"/>
    </row>
    <row r="232" spans="1:15" ht="12.75">
      <c r="A232" s="94"/>
      <c r="B232" s="85"/>
      <c r="C232" s="85"/>
      <c r="D232" s="96"/>
      <c r="E232" s="239"/>
      <c r="F232" s="239"/>
      <c r="G232" s="266"/>
      <c r="H232" s="266"/>
      <c r="I232" s="266"/>
      <c r="J232" s="266"/>
      <c r="K232" s="97"/>
      <c r="L232" s="85"/>
      <c r="M232" s="85"/>
      <c r="N232" s="85"/>
      <c r="O232" s="85"/>
    </row>
    <row r="233" spans="1:15" ht="12.75">
      <c r="A233" s="94"/>
      <c r="B233" s="85"/>
      <c r="C233" s="85"/>
      <c r="D233" s="96"/>
      <c r="E233" s="97"/>
      <c r="F233" s="97"/>
      <c r="G233" s="266"/>
      <c r="H233" s="266"/>
      <c r="I233" s="266"/>
      <c r="J233" s="266"/>
      <c r="K233" s="97"/>
      <c r="L233" s="85"/>
      <c r="M233" s="85"/>
      <c r="N233" s="85"/>
      <c r="O233" s="85"/>
    </row>
    <row r="234" spans="1:15" ht="12.75">
      <c r="A234" s="95"/>
      <c r="B234" s="112"/>
      <c r="C234" s="85"/>
      <c r="D234" s="96"/>
      <c r="E234" s="148"/>
      <c r="F234" s="97"/>
      <c r="G234" s="99"/>
      <c r="H234" s="97"/>
      <c r="I234" s="100"/>
      <c r="J234" s="97"/>
      <c r="K234" s="97"/>
      <c r="L234" s="85"/>
      <c r="M234" s="85"/>
      <c r="N234" s="85"/>
      <c r="O234" s="85"/>
    </row>
    <row r="235" spans="1:15" ht="12.75">
      <c r="A235" s="95"/>
      <c r="B235" s="112"/>
      <c r="C235" s="85"/>
      <c r="D235" s="96"/>
      <c r="E235" s="148"/>
      <c r="F235" s="97"/>
      <c r="G235" s="99"/>
      <c r="H235" s="97"/>
      <c r="I235" s="100"/>
      <c r="J235" s="97"/>
      <c r="K235" s="97"/>
      <c r="L235" s="85"/>
      <c r="M235" s="85"/>
      <c r="N235" s="85"/>
      <c r="O235" s="85"/>
    </row>
    <row r="236" spans="1:15" ht="12.75">
      <c r="A236" s="94"/>
      <c r="B236" s="85"/>
      <c r="C236" s="85"/>
      <c r="D236" s="96"/>
      <c r="E236" s="239"/>
      <c r="F236" s="239"/>
      <c r="G236" s="266"/>
      <c r="H236" s="266"/>
      <c r="I236" s="100"/>
      <c r="J236" s="97"/>
      <c r="K236" s="97"/>
      <c r="L236" s="85"/>
      <c r="M236" s="85"/>
      <c r="N236" s="85"/>
      <c r="O236" s="85"/>
    </row>
    <row r="237" spans="1:15" ht="12.75">
      <c r="A237" s="94"/>
      <c r="B237" s="85"/>
      <c r="C237" s="85"/>
      <c r="D237" s="96"/>
      <c r="E237" s="97"/>
      <c r="F237" s="97"/>
      <c r="G237" s="266"/>
      <c r="H237" s="266"/>
      <c r="I237" s="100"/>
      <c r="J237" s="97"/>
      <c r="K237" s="97"/>
      <c r="L237" s="85"/>
      <c r="M237" s="85"/>
      <c r="N237" s="85"/>
      <c r="O237" s="85"/>
    </row>
    <row r="238" spans="1:15" ht="12.75">
      <c r="A238" s="94"/>
      <c r="B238" s="85"/>
      <c r="C238" s="85"/>
      <c r="D238" s="96"/>
      <c r="E238" s="239"/>
      <c r="F238" s="239"/>
      <c r="G238" s="266"/>
      <c r="H238" s="266"/>
      <c r="I238" s="100"/>
      <c r="J238" s="97"/>
      <c r="K238" s="97"/>
      <c r="L238" s="85"/>
      <c r="M238" s="85"/>
      <c r="N238" s="85"/>
      <c r="O238" s="85"/>
    </row>
    <row r="239" spans="1:15" ht="12.75">
      <c r="A239" s="94"/>
      <c r="B239" s="85"/>
      <c r="C239" s="85"/>
      <c r="D239" s="96"/>
      <c r="E239" s="97"/>
      <c r="F239" s="97"/>
      <c r="G239" s="266"/>
      <c r="H239" s="266"/>
      <c r="I239" s="100"/>
      <c r="J239" s="97"/>
      <c r="K239" s="97"/>
      <c r="L239" s="85"/>
      <c r="M239" s="85"/>
      <c r="N239" s="85"/>
      <c r="O239" s="85"/>
    </row>
    <row r="240" spans="1:15" ht="12.75">
      <c r="A240" s="94"/>
      <c r="B240" s="85"/>
      <c r="C240" s="85"/>
      <c r="D240" s="96"/>
      <c r="E240" s="97"/>
      <c r="F240" s="97"/>
      <c r="G240" s="266"/>
      <c r="H240" s="266"/>
      <c r="I240" s="100"/>
      <c r="J240" s="97"/>
      <c r="K240" s="97"/>
      <c r="L240" s="85"/>
      <c r="M240" s="85"/>
      <c r="N240" s="85"/>
      <c r="O240" s="85"/>
    </row>
    <row r="241" spans="1:15" ht="12.75">
      <c r="A241" s="94"/>
      <c r="B241" s="85"/>
      <c r="C241" s="85"/>
      <c r="D241" s="96"/>
      <c r="E241" s="239"/>
      <c r="F241" s="239"/>
      <c r="G241" s="266"/>
      <c r="H241" s="266"/>
      <c r="I241" s="100"/>
      <c r="J241" s="97"/>
      <c r="K241" s="97"/>
      <c r="L241" s="85"/>
      <c r="M241" s="85"/>
      <c r="N241" s="85"/>
      <c r="O241" s="85"/>
    </row>
    <row r="242" spans="1:15" ht="12.75">
      <c r="A242" s="116"/>
      <c r="B242" s="85"/>
      <c r="C242" s="85"/>
      <c r="D242" s="96"/>
      <c r="E242" s="97"/>
      <c r="F242" s="97"/>
      <c r="G242" s="266"/>
      <c r="H242" s="266"/>
      <c r="I242" s="100"/>
      <c r="J242" s="97"/>
      <c r="K242" s="97"/>
      <c r="L242" s="85"/>
      <c r="M242" s="85"/>
      <c r="N242" s="85"/>
      <c r="O242" s="85"/>
    </row>
    <row r="243" spans="1:15" ht="12.75">
      <c r="A243" s="95"/>
      <c r="B243" s="116"/>
      <c r="C243" s="85"/>
      <c r="D243" s="96"/>
      <c r="E243" s="97"/>
      <c r="F243" s="97"/>
      <c r="G243" s="266"/>
      <c r="H243" s="266"/>
      <c r="I243" s="267"/>
      <c r="J243" s="267"/>
      <c r="K243" s="97"/>
      <c r="L243" s="85"/>
      <c r="M243" s="85"/>
      <c r="N243" s="85"/>
      <c r="O243" s="85"/>
    </row>
    <row r="244" spans="1:15" ht="12.75">
      <c r="A244" s="95"/>
      <c r="B244" s="112"/>
      <c r="C244" s="85"/>
      <c r="D244" s="96"/>
      <c r="E244" s="97"/>
      <c r="F244" s="97"/>
      <c r="G244" s="266"/>
      <c r="H244" s="266"/>
      <c r="I244" s="267"/>
      <c r="J244" s="267"/>
      <c r="K244" s="97"/>
      <c r="L244" s="85"/>
      <c r="M244" s="85"/>
      <c r="N244" s="85"/>
      <c r="O244" s="85"/>
    </row>
    <row r="245" spans="1:15" ht="12.75">
      <c r="A245" s="95"/>
      <c r="B245" s="112"/>
      <c r="C245" s="95"/>
      <c r="D245" s="95"/>
      <c r="E245" s="95"/>
      <c r="F245" s="95"/>
      <c r="G245" s="97"/>
      <c r="H245" s="97"/>
      <c r="I245" s="97"/>
      <c r="J245" s="97"/>
      <c r="K245" s="110"/>
      <c r="L245" s="85"/>
      <c r="M245" s="85"/>
      <c r="N245" s="85"/>
      <c r="O245" s="85"/>
    </row>
    <row r="246" spans="1:15" ht="12.75">
      <c r="A246" s="95"/>
      <c r="B246" s="112"/>
      <c r="C246" s="85"/>
      <c r="D246" s="96"/>
      <c r="E246" s="239"/>
      <c r="F246" s="239"/>
      <c r="G246" s="283"/>
      <c r="H246" s="283"/>
      <c r="I246" s="283"/>
      <c r="J246" s="283"/>
      <c r="K246" s="101"/>
      <c r="L246" s="85"/>
      <c r="M246" s="85"/>
      <c r="N246" s="85"/>
      <c r="O246" s="85"/>
    </row>
    <row r="247" spans="1:15" ht="12.75">
      <c r="A247" s="95"/>
      <c r="B247" s="112"/>
      <c r="C247" s="85"/>
      <c r="D247" s="238"/>
      <c r="E247" s="238"/>
      <c r="F247" s="238"/>
      <c r="G247" s="238"/>
      <c r="H247" s="97"/>
      <c r="I247" s="100"/>
      <c r="J247" s="97"/>
      <c r="K247" s="101"/>
      <c r="L247" s="85"/>
      <c r="M247" s="85"/>
      <c r="N247" s="85"/>
      <c r="O247" s="85"/>
    </row>
    <row r="248" spans="1:15" ht="12.75">
      <c r="A248" s="95"/>
      <c r="B248" s="112"/>
      <c r="C248" s="85"/>
      <c r="D248" s="96"/>
      <c r="E248" s="97"/>
      <c r="F248" s="97"/>
      <c r="G248" s="99"/>
      <c r="H248" s="97"/>
      <c r="I248" s="100"/>
      <c r="J248" s="101"/>
      <c r="K248" s="101"/>
      <c r="L248" s="85"/>
      <c r="M248" s="85"/>
      <c r="N248" s="85"/>
      <c r="O248" s="85"/>
    </row>
    <row r="249" spans="1:15" ht="12.75">
      <c r="A249" s="95"/>
      <c r="B249" s="112"/>
      <c r="C249" s="85"/>
      <c r="D249" s="96"/>
      <c r="E249" s="97"/>
      <c r="F249" s="97"/>
      <c r="G249" s="99"/>
      <c r="H249" s="97"/>
      <c r="I249" s="100"/>
      <c r="J249" s="101"/>
      <c r="K249" s="101"/>
      <c r="L249" s="85"/>
      <c r="M249" s="85"/>
      <c r="N249" s="85"/>
      <c r="O249" s="85"/>
    </row>
    <row r="250" spans="1:15" ht="12.75">
      <c r="A250" s="95"/>
      <c r="B250" s="112"/>
      <c r="C250" s="85"/>
      <c r="D250" s="96"/>
      <c r="E250" s="270"/>
      <c r="F250" s="270"/>
      <c r="G250" s="270"/>
      <c r="H250" s="270"/>
      <c r="I250" s="104"/>
      <c r="J250" s="118"/>
      <c r="K250" s="101"/>
      <c r="L250" s="85"/>
      <c r="M250" s="85"/>
      <c r="N250" s="85"/>
      <c r="O250" s="85"/>
    </row>
    <row r="251" spans="1:15" ht="12.75">
      <c r="A251" s="95"/>
      <c r="B251" s="112"/>
      <c r="C251" s="85"/>
      <c r="D251" s="96"/>
      <c r="E251" s="270"/>
      <c r="F251" s="270"/>
      <c r="G251" s="270"/>
      <c r="H251" s="270"/>
      <c r="I251" s="104"/>
      <c r="J251" s="115"/>
      <c r="K251" s="101"/>
      <c r="L251" s="85"/>
      <c r="M251" s="85"/>
      <c r="N251" s="85"/>
      <c r="O251" s="85"/>
    </row>
    <row r="252" spans="1:15" ht="12.75">
      <c r="A252" s="95"/>
      <c r="B252" s="112"/>
      <c r="C252" s="85"/>
      <c r="D252" s="96"/>
      <c r="E252" s="97"/>
      <c r="F252" s="98"/>
      <c r="G252" s="281"/>
      <c r="H252" s="281"/>
      <c r="I252" s="99"/>
      <c r="J252" s="101"/>
      <c r="K252" s="97"/>
      <c r="L252" s="85"/>
      <c r="M252" s="85"/>
      <c r="N252" s="85"/>
      <c r="O252" s="85"/>
    </row>
    <row r="253" spans="1:15" ht="12.75">
      <c r="A253" s="95"/>
      <c r="B253" s="112"/>
      <c r="C253" s="85"/>
      <c r="D253" s="96"/>
      <c r="E253" s="97"/>
      <c r="F253" s="97"/>
      <c r="G253" s="281"/>
      <c r="H253" s="281"/>
      <c r="I253" s="97"/>
      <c r="J253" s="101"/>
      <c r="K253" s="97"/>
      <c r="L253" s="85"/>
      <c r="M253" s="85"/>
      <c r="N253" s="85"/>
      <c r="O253" s="85"/>
    </row>
    <row r="254" spans="1:15" ht="12.75">
      <c r="A254" s="94"/>
      <c r="B254" s="85"/>
      <c r="C254" s="85"/>
      <c r="D254" s="96"/>
      <c r="E254" s="285"/>
      <c r="F254" s="285"/>
      <c r="G254" s="281"/>
      <c r="H254" s="281"/>
      <c r="I254" s="97"/>
      <c r="J254" s="101"/>
      <c r="K254" s="97"/>
      <c r="L254" s="85"/>
      <c r="M254" s="85"/>
      <c r="N254" s="85"/>
      <c r="O254" s="85"/>
    </row>
    <row r="255" spans="1:15" ht="12.75">
      <c r="A255" s="95"/>
      <c r="B255" s="112"/>
      <c r="C255" s="85"/>
      <c r="D255" s="96"/>
      <c r="E255" s="281"/>
      <c r="F255" s="281"/>
      <c r="G255" s="281"/>
      <c r="H255" s="281"/>
      <c r="I255" s="97"/>
      <c r="J255" s="101"/>
      <c r="K255" s="97"/>
      <c r="L255" s="85"/>
      <c r="M255" s="85"/>
      <c r="N255" s="85"/>
      <c r="O255" s="85"/>
    </row>
    <row r="256" spans="1:15" ht="12.75">
      <c r="A256" s="94"/>
      <c r="B256" s="85"/>
      <c r="C256" s="85"/>
      <c r="D256" s="96"/>
      <c r="E256" s="285"/>
      <c r="F256" s="285"/>
      <c r="G256" s="281"/>
      <c r="H256" s="281"/>
      <c r="I256" s="97"/>
      <c r="J256" s="101"/>
      <c r="K256" s="97"/>
      <c r="L256" s="85"/>
      <c r="M256" s="85"/>
      <c r="N256" s="85"/>
      <c r="O256" s="85"/>
    </row>
    <row r="257" spans="1:15" ht="12.75">
      <c r="A257" s="95"/>
      <c r="B257" s="112"/>
      <c r="C257" s="85"/>
      <c r="D257" s="96"/>
      <c r="E257" s="281"/>
      <c r="F257" s="281"/>
      <c r="G257" s="281"/>
      <c r="H257" s="281"/>
      <c r="I257" s="97"/>
      <c r="J257" s="101"/>
      <c r="K257" s="97"/>
      <c r="L257" s="85"/>
      <c r="M257" s="85"/>
      <c r="N257" s="85"/>
      <c r="O257" s="85"/>
    </row>
    <row r="258" spans="1:15" ht="12.75">
      <c r="A258" s="94"/>
      <c r="B258" s="85"/>
      <c r="C258" s="85"/>
      <c r="D258" s="96"/>
      <c r="E258" s="285"/>
      <c r="F258" s="285"/>
      <c r="G258" s="281"/>
      <c r="H258" s="281"/>
      <c r="I258" s="97"/>
      <c r="J258" s="101"/>
      <c r="K258" s="97"/>
      <c r="L258" s="85"/>
      <c r="M258" s="85"/>
      <c r="N258" s="85"/>
      <c r="O258" s="85"/>
    </row>
    <row r="259" spans="1:15" ht="12.75">
      <c r="A259" s="95"/>
      <c r="B259" s="112"/>
      <c r="C259" s="85"/>
      <c r="D259" s="96"/>
      <c r="E259" s="281"/>
      <c r="F259" s="281"/>
      <c r="G259" s="281"/>
      <c r="H259" s="281"/>
      <c r="I259" s="97"/>
      <c r="J259" s="101"/>
      <c r="K259" s="97"/>
      <c r="L259" s="85"/>
      <c r="M259" s="85"/>
      <c r="N259" s="85"/>
      <c r="O259" s="85"/>
    </row>
    <row r="260" spans="1:15" ht="12.75">
      <c r="A260" s="94"/>
      <c r="B260" s="85"/>
      <c r="C260" s="85"/>
      <c r="D260" s="96"/>
      <c r="E260" s="285"/>
      <c r="F260" s="285"/>
      <c r="G260" s="281"/>
      <c r="H260" s="281"/>
      <c r="I260" s="97"/>
      <c r="J260" s="101"/>
      <c r="K260" s="97"/>
      <c r="L260" s="85"/>
      <c r="M260" s="85"/>
      <c r="N260" s="85"/>
      <c r="O260" s="85"/>
    </row>
    <row r="261" spans="1:15" ht="12.75">
      <c r="A261" s="95"/>
      <c r="B261" s="112"/>
      <c r="C261" s="85"/>
      <c r="D261" s="96"/>
      <c r="E261" s="281"/>
      <c r="F261" s="281"/>
      <c r="G261" s="281"/>
      <c r="H261" s="281"/>
      <c r="I261" s="97"/>
      <c r="J261" s="101"/>
      <c r="K261" s="101"/>
      <c r="L261" s="85"/>
      <c r="M261" s="85"/>
      <c r="N261" s="85"/>
      <c r="O261" s="85"/>
    </row>
    <row r="262" spans="1:15" ht="12.75">
      <c r="A262" s="94"/>
      <c r="B262" s="85"/>
      <c r="C262" s="85"/>
      <c r="D262" s="96"/>
      <c r="E262" s="285"/>
      <c r="F262" s="285"/>
      <c r="G262" s="281"/>
      <c r="H262" s="281"/>
      <c r="I262" s="97"/>
      <c r="J262" s="101"/>
      <c r="K262" s="101"/>
      <c r="L262" s="85"/>
      <c r="M262" s="85"/>
      <c r="N262" s="85"/>
      <c r="O262" s="85"/>
    </row>
    <row r="263" spans="1:15" ht="12.75">
      <c r="A263" s="95"/>
      <c r="B263" s="85"/>
      <c r="C263" s="85"/>
      <c r="D263" s="96"/>
      <c r="E263" s="281"/>
      <c r="F263" s="281"/>
      <c r="G263" s="281"/>
      <c r="H263" s="281"/>
      <c r="I263" s="97"/>
      <c r="J263" s="101"/>
      <c r="K263" s="101"/>
      <c r="L263" s="85"/>
      <c r="M263" s="85"/>
      <c r="N263" s="85"/>
      <c r="O263" s="85"/>
    </row>
    <row r="264" spans="1:15" ht="12.75">
      <c r="A264" s="94"/>
      <c r="B264" s="85"/>
      <c r="C264" s="85"/>
      <c r="D264" s="96"/>
      <c r="E264" s="285"/>
      <c r="F264" s="285"/>
      <c r="G264" s="269"/>
      <c r="H264" s="269"/>
      <c r="I264" s="97"/>
      <c r="J264" s="101"/>
      <c r="K264" s="97"/>
      <c r="L264" s="85"/>
      <c r="M264" s="85"/>
      <c r="N264" s="85"/>
      <c r="O264" s="85"/>
    </row>
    <row r="265" spans="1:15" ht="12.75">
      <c r="A265" s="94"/>
      <c r="B265" s="85"/>
      <c r="C265" s="85"/>
      <c r="D265" s="96"/>
      <c r="E265" s="281"/>
      <c r="F265" s="281"/>
      <c r="G265" s="281"/>
      <c r="H265" s="281"/>
      <c r="I265" s="97"/>
      <c r="J265" s="101"/>
      <c r="K265" s="97"/>
      <c r="L265" s="85"/>
      <c r="M265" s="85"/>
      <c r="N265" s="85"/>
      <c r="O265" s="85"/>
    </row>
    <row r="266" spans="1:15" ht="12.75">
      <c r="A266" s="95"/>
      <c r="B266" s="112"/>
      <c r="C266" s="85"/>
      <c r="D266" s="96"/>
      <c r="E266" s="97"/>
      <c r="F266" s="97"/>
      <c r="G266" s="281"/>
      <c r="H266" s="281"/>
      <c r="I266" s="97"/>
      <c r="J266" s="101"/>
      <c r="K266" s="97"/>
      <c r="L266" s="85"/>
      <c r="M266" s="85"/>
      <c r="N266" s="85"/>
      <c r="O266" s="85"/>
    </row>
    <row r="267" spans="1:15" ht="12.75">
      <c r="A267" s="94"/>
      <c r="B267" s="85"/>
      <c r="C267" s="85"/>
      <c r="D267" s="96"/>
      <c r="E267" s="285"/>
      <c r="F267" s="285"/>
      <c r="G267" s="269"/>
      <c r="H267" s="269"/>
      <c r="I267" s="97"/>
      <c r="J267" s="101"/>
      <c r="K267" s="97"/>
      <c r="L267" s="85"/>
      <c r="M267" s="85"/>
      <c r="N267" s="85"/>
      <c r="O267" s="85"/>
    </row>
    <row r="268" spans="1:15" ht="12.75">
      <c r="A268" s="95"/>
      <c r="B268" s="94"/>
      <c r="C268" s="85"/>
      <c r="D268" s="96"/>
      <c r="E268" s="281"/>
      <c r="F268" s="281"/>
      <c r="G268" s="85"/>
      <c r="H268" s="95"/>
      <c r="I268" s="97"/>
      <c r="J268" s="101"/>
      <c r="K268" s="97"/>
      <c r="L268" s="85"/>
      <c r="M268" s="85"/>
      <c r="N268" s="85"/>
      <c r="O268" s="85"/>
    </row>
    <row r="269" spans="1:15" ht="12.75">
      <c r="A269" s="95"/>
      <c r="B269" s="95"/>
      <c r="C269" s="95"/>
      <c r="D269" s="95"/>
      <c r="E269" s="85"/>
      <c r="F269" s="95"/>
      <c r="G269" s="270"/>
      <c r="H269" s="270"/>
      <c r="I269" s="97"/>
      <c r="J269" s="101"/>
      <c r="K269" s="93"/>
      <c r="L269" s="85"/>
      <c r="M269" s="85"/>
      <c r="N269" s="85"/>
      <c r="O269" s="85"/>
    </row>
    <row r="270" spans="1:15" ht="12.75">
      <c r="A270" s="95"/>
      <c r="B270" s="94"/>
      <c r="C270" s="85"/>
      <c r="D270" s="96"/>
      <c r="E270" s="284"/>
      <c r="F270" s="284"/>
      <c r="G270" s="282"/>
      <c r="H270" s="282"/>
      <c r="I270" s="97"/>
      <c r="J270" s="101"/>
      <c r="K270" s="99"/>
      <c r="L270" s="85"/>
      <c r="M270" s="85"/>
      <c r="N270" s="85"/>
      <c r="O270" s="85"/>
    </row>
    <row r="271" spans="1:15" ht="12.75">
      <c r="A271" s="95"/>
      <c r="B271" s="94"/>
      <c r="C271" s="85"/>
      <c r="D271" s="96"/>
      <c r="E271" s="97"/>
      <c r="F271" s="97"/>
      <c r="G271" s="97"/>
      <c r="H271" s="95"/>
      <c r="I271" s="97"/>
      <c r="J271" s="101"/>
      <c r="K271" s="99"/>
      <c r="L271" s="85"/>
      <c r="M271" s="85"/>
      <c r="N271" s="85"/>
      <c r="O271" s="85"/>
    </row>
    <row r="272" spans="1:15" ht="12.75">
      <c r="A272" s="95"/>
      <c r="B272" s="94"/>
      <c r="C272" s="85"/>
      <c r="D272" s="96"/>
      <c r="E272" s="97"/>
      <c r="F272" s="97"/>
      <c r="G272" s="97"/>
      <c r="H272" s="95"/>
      <c r="I272" s="97"/>
      <c r="J272" s="101"/>
      <c r="K272" s="99"/>
      <c r="L272" s="85"/>
      <c r="M272" s="85"/>
      <c r="N272" s="85"/>
      <c r="O272" s="85"/>
    </row>
    <row r="273" spans="1:15" ht="12.75">
      <c r="A273" s="95"/>
      <c r="B273" s="94"/>
      <c r="C273" s="85"/>
      <c r="D273" s="96"/>
      <c r="E273" s="97"/>
      <c r="F273" s="97"/>
      <c r="G273" s="97"/>
      <c r="H273" s="95"/>
      <c r="I273" s="97"/>
      <c r="J273" s="101"/>
      <c r="K273" s="99"/>
      <c r="L273" s="85"/>
      <c r="M273" s="85"/>
      <c r="N273" s="85"/>
      <c r="O273" s="85"/>
    </row>
    <row r="274" spans="1:15" ht="12.75">
      <c r="A274" s="95"/>
      <c r="B274" s="112"/>
      <c r="C274" s="85"/>
      <c r="D274" s="96"/>
      <c r="E274" s="115"/>
      <c r="F274" s="160"/>
      <c r="G274" s="274"/>
      <c r="H274" s="274"/>
      <c r="I274" s="274"/>
      <c r="J274" s="274"/>
      <c r="K274" s="104"/>
      <c r="L274" s="85"/>
      <c r="M274" s="85"/>
      <c r="N274" s="85"/>
      <c r="O274" s="85"/>
    </row>
    <row r="275" spans="1:15" ht="12.75">
      <c r="A275" s="95"/>
      <c r="B275" s="112"/>
      <c r="C275" s="85"/>
      <c r="D275" s="96"/>
      <c r="E275" s="97"/>
      <c r="F275" s="164"/>
      <c r="G275" s="274"/>
      <c r="H275" s="274"/>
      <c r="I275" s="274"/>
      <c r="J275" s="274"/>
      <c r="K275" s="104"/>
      <c r="L275" s="85"/>
      <c r="M275" s="85"/>
      <c r="N275" s="85"/>
      <c r="O275" s="85"/>
    </row>
    <row r="276" spans="1:15" ht="12.75">
      <c r="A276" s="95"/>
      <c r="B276" s="112"/>
      <c r="C276" s="85"/>
      <c r="D276" s="96"/>
      <c r="E276" s="97"/>
      <c r="F276" s="98"/>
      <c r="G276" s="99"/>
      <c r="H276" s="99"/>
      <c r="I276" s="100"/>
      <c r="J276" s="101"/>
      <c r="K276" s="101"/>
      <c r="L276" s="85"/>
      <c r="M276" s="85"/>
      <c r="N276" s="85"/>
      <c r="O276" s="85"/>
    </row>
    <row r="277" spans="1:15" ht="12.75">
      <c r="A277" s="95"/>
      <c r="B277" s="112"/>
      <c r="C277" s="85"/>
      <c r="D277" s="96"/>
      <c r="E277" s="97"/>
      <c r="F277" s="98"/>
      <c r="G277" s="99"/>
      <c r="H277" s="97"/>
      <c r="I277" s="100"/>
      <c r="J277" s="97"/>
      <c r="K277" s="97"/>
      <c r="L277" s="85"/>
      <c r="M277" s="85"/>
      <c r="N277" s="85"/>
      <c r="O277" s="85"/>
    </row>
    <row r="278" spans="1:15" ht="12.75">
      <c r="A278" s="94"/>
      <c r="B278" s="85"/>
      <c r="C278" s="85"/>
      <c r="D278" s="85"/>
      <c r="E278" s="187"/>
      <c r="F278" s="98"/>
      <c r="G278" s="265"/>
      <c r="H278" s="265"/>
      <c r="I278" s="265"/>
      <c r="J278" s="265"/>
      <c r="K278" s="107"/>
      <c r="L278" s="85"/>
      <c r="M278" s="85"/>
      <c r="N278" s="85"/>
      <c r="O278" s="85"/>
    </row>
    <row r="279" spans="1:15" ht="12.75">
      <c r="A279" s="95"/>
      <c r="B279" s="94"/>
      <c r="C279" s="85"/>
      <c r="D279" s="96"/>
      <c r="E279" s="97"/>
      <c r="F279" s="98"/>
      <c r="G279" s="99"/>
      <c r="H279" s="97"/>
      <c r="I279" s="100"/>
      <c r="J279" s="97"/>
      <c r="K279" s="101"/>
      <c r="L279" s="85"/>
      <c r="M279" s="85"/>
      <c r="N279" s="85"/>
      <c r="O279" s="85"/>
    </row>
    <row r="280" spans="1:15" ht="12.75">
      <c r="A280" s="95"/>
      <c r="B280" s="112"/>
      <c r="C280" s="97"/>
      <c r="D280" s="96"/>
      <c r="E280" s="96"/>
      <c r="F280" s="98"/>
      <c r="G280" s="100"/>
      <c r="H280" s="97"/>
      <c r="I280" s="97"/>
      <c r="J280" s="97"/>
      <c r="K280" s="97"/>
      <c r="L280" s="85"/>
      <c r="M280" s="85"/>
      <c r="N280" s="85"/>
      <c r="O280" s="85"/>
    </row>
    <row r="281" spans="1:15" ht="12.75">
      <c r="A281" s="94"/>
      <c r="B281" s="85"/>
      <c r="C281" s="85"/>
      <c r="D281" s="96"/>
      <c r="E281" s="97"/>
      <c r="F281" s="98"/>
      <c r="G281" s="97"/>
      <c r="H281" s="97"/>
      <c r="I281" s="97"/>
      <c r="J281" s="97"/>
      <c r="K281" s="97"/>
      <c r="L281" s="85"/>
      <c r="M281" s="85"/>
      <c r="N281" s="85"/>
      <c r="O281" s="85"/>
    </row>
    <row r="282" spans="1:15" ht="12.75">
      <c r="A282" s="94"/>
      <c r="B282" s="85"/>
      <c r="C282" s="85"/>
      <c r="D282" s="96"/>
      <c r="E282" s="97"/>
      <c r="F282" s="98"/>
      <c r="G282" s="97"/>
      <c r="H282" s="97"/>
      <c r="I282" s="97"/>
      <c r="J282" s="97"/>
      <c r="K282" s="101"/>
      <c r="L282" s="85"/>
      <c r="M282" s="85"/>
      <c r="N282" s="85"/>
      <c r="O282" s="85"/>
    </row>
    <row r="283" spans="1:15" ht="12.75">
      <c r="A283" s="95"/>
      <c r="B283" s="112"/>
      <c r="C283" s="85"/>
      <c r="D283" s="96"/>
      <c r="E283" s="97"/>
      <c r="F283" s="98"/>
      <c r="G283" s="97"/>
      <c r="H283" s="97"/>
      <c r="I283" s="100"/>
      <c r="J283" s="97"/>
      <c r="K283" s="101"/>
      <c r="L283" s="85"/>
      <c r="M283" s="85"/>
      <c r="N283" s="85"/>
      <c r="O283" s="85"/>
    </row>
    <row r="284" spans="1:15" ht="12.75">
      <c r="A284" s="95"/>
      <c r="B284" s="95"/>
      <c r="C284" s="85"/>
      <c r="D284" s="96"/>
      <c r="E284" s="97"/>
      <c r="F284" s="98"/>
      <c r="G284" s="281"/>
      <c r="H284" s="281"/>
      <c r="I284" s="281"/>
      <c r="J284" s="281"/>
      <c r="K284" s="110"/>
      <c r="L284" s="85"/>
      <c r="M284" s="85"/>
      <c r="N284" s="85"/>
      <c r="O284" s="85"/>
    </row>
    <row r="285" spans="1:15" ht="12.75">
      <c r="A285" s="95"/>
      <c r="B285" s="112"/>
      <c r="C285" s="85"/>
      <c r="D285" s="96"/>
      <c r="E285" s="97"/>
      <c r="F285" s="98"/>
      <c r="G285" s="265"/>
      <c r="H285" s="265"/>
      <c r="I285" s="265"/>
      <c r="J285" s="265"/>
      <c r="K285" s="101"/>
      <c r="L285" s="85"/>
      <c r="M285" s="85"/>
      <c r="N285" s="85"/>
      <c r="O285" s="85"/>
    </row>
    <row r="286" spans="1:15" ht="12.75">
      <c r="A286" s="95"/>
      <c r="B286" s="112"/>
      <c r="C286" s="85"/>
      <c r="D286" s="96"/>
      <c r="E286" s="97"/>
      <c r="F286" s="98"/>
      <c r="G286" s="97"/>
      <c r="H286" s="97"/>
      <c r="I286" s="100"/>
      <c r="J286" s="97"/>
      <c r="K286" s="101"/>
      <c r="L286" s="85"/>
      <c r="M286" s="85"/>
      <c r="N286" s="85"/>
      <c r="O286" s="85"/>
    </row>
    <row r="287" spans="1:15" ht="12.75">
      <c r="A287" s="95"/>
      <c r="B287" s="116"/>
      <c r="C287" s="85"/>
      <c r="D287" s="96"/>
      <c r="E287" s="97"/>
      <c r="F287" s="98"/>
      <c r="G287" s="97"/>
      <c r="H287" s="99"/>
      <c r="I287" s="100"/>
      <c r="J287" s="101"/>
      <c r="K287" s="101"/>
      <c r="L287" s="85"/>
      <c r="M287" s="85"/>
      <c r="N287" s="85"/>
      <c r="O287" s="85"/>
    </row>
    <row r="288" spans="1:15" ht="12.75">
      <c r="A288" s="95"/>
      <c r="B288" s="116"/>
      <c r="C288" s="85"/>
      <c r="D288" s="96"/>
      <c r="E288" s="97"/>
      <c r="F288" s="98"/>
      <c r="G288" s="95"/>
      <c r="H288" s="101"/>
      <c r="I288" s="117"/>
      <c r="J288" s="101"/>
      <c r="K288" s="123"/>
      <c r="L288" s="85"/>
      <c r="M288" s="85"/>
      <c r="N288" s="85"/>
      <c r="O288" s="85"/>
    </row>
    <row r="289" spans="1:15" ht="12.75">
      <c r="A289" s="95"/>
      <c r="B289" s="116"/>
      <c r="C289" s="85"/>
      <c r="D289" s="96"/>
      <c r="E289" s="97"/>
      <c r="F289" s="98"/>
      <c r="G289" s="95"/>
      <c r="H289" s="99"/>
      <c r="I289" s="97"/>
      <c r="J289" s="101"/>
      <c r="K289" s="93"/>
      <c r="L289" s="85"/>
      <c r="M289" s="85"/>
      <c r="N289" s="85"/>
      <c r="O289" s="85"/>
    </row>
    <row r="290" spans="1:15" ht="12.75">
      <c r="A290" s="95"/>
      <c r="B290" s="116"/>
      <c r="C290" s="85"/>
      <c r="D290" s="96"/>
      <c r="E290" s="97"/>
      <c r="F290" s="98"/>
      <c r="G290" s="95"/>
      <c r="H290" s="97"/>
      <c r="I290" s="97"/>
      <c r="J290" s="101"/>
      <c r="K290" s="110"/>
      <c r="L290" s="85"/>
      <c r="M290" s="85"/>
      <c r="N290" s="85"/>
      <c r="O290" s="85"/>
    </row>
    <row r="291" spans="1:15" ht="12.75">
      <c r="A291" s="95"/>
      <c r="B291" s="116"/>
      <c r="C291" s="85"/>
      <c r="D291" s="96"/>
      <c r="E291" s="97"/>
      <c r="F291" s="98"/>
      <c r="G291" s="95"/>
      <c r="H291" s="97"/>
      <c r="I291" s="101"/>
      <c r="J291" s="101"/>
      <c r="K291" s="93"/>
      <c r="L291" s="85"/>
      <c r="M291" s="85"/>
      <c r="N291" s="85"/>
      <c r="O291" s="85"/>
    </row>
    <row r="292" spans="1:15" ht="12.75">
      <c r="A292" s="95"/>
      <c r="B292" s="116"/>
      <c r="C292" s="85"/>
      <c r="D292" s="96"/>
      <c r="E292" s="97"/>
      <c r="F292" s="98"/>
      <c r="G292" s="95"/>
      <c r="H292" s="97"/>
      <c r="I292" s="97"/>
      <c r="J292" s="101"/>
      <c r="K292" s="124"/>
      <c r="L292" s="85"/>
      <c r="M292" s="85"/>
      <c r="N292" s="85"/>
      <c r="O292" s="85"/>
    </row>
    <row r="293" spans="1:15" ht="12.75">
      <c r="A293" s="95"/>
      <c r="B293" s="116"/>
      <c r="C293" s="85"/>
      <c r="D293" s="96"/>
      <c r="E293" s="97"/>
      <c r="F293" s="98"/>
      <c r="G293" s="97"/>
      <c r="H293" s="99"/>
      <c r="I293" s="100"/>
      <c r="J293" s="101"/>
      <c r="K293" s="101"/>
      <c r="L293" s="85"/>
      <c r="M293" s="85"/>
      <c r="N293" s="85"/>
      <c r="O293" s="85"/>
    </row>
    <row r="294" spans="1:15" ht="12.75">
      <c r="A294" s="95"/>
      <c r="B294" s="116"/>
      <c r="C294" s="85"/>
      <c r="D294" s="96"/>
      <c r="E294" s="97"/>
      <c r="F294" s="98"/>
      <c r="G294" s="125"/>
      <c r="H294" s="99"/>
      <c r="I294" s="100"/>
      <c r="J294" s="101"/>
      <c r="K294" s="124"/>
      <c r="L294" s="85"/>
      <c r="M294" s="85"/>
      <c r="N294" s="85"/>
      <c r="O294" s="85"/>
    </row>
    <row r="295" spans="1:15" ht="12.75">
      <c r="A295" s="95"/>
      <c r="B295" s="116"/>
      <c r="C295" s="85"/>
      <c r="D295" s="96"/>
      <c r="E295" s="97"/>
      <c r="F295" s="98"/>
      <c r="G295" s="97"/>
      <c r="H295" s="99"/>
      <c r="I295" s="100"/>
      <c r="J295" s="101"/>
      <c r="K295" s="101"/>
      <c r="L295" s="85"/>
      <c r="M295" s="85"/>
      <c r="N295" s="85"/>
      <c r="O295" s="85"/>
    </row>
    <row r="296" spans="1:15" ht="12.75">
      <c r="A296" s="95"/>
      <c r="B296" s="116"/>
      <c r="C296" s="85"/>
      <c r="D296" s="96"/>
      <c r="E296" s="97"/>
      <c r="F296" s="98"/>
      <c r="G296" s="97"/>
      <c r="H296" s="99"/>
      <c r="I296" s="100"/>
      <c r="J296" s="101"/>
      <c r="K296" s="101"/>
      <c r="L296" s="85"/>
      <c r="M296" s="85"/>
      <c r="N296" s="85"/>
      <c r="O296" s="85"/>
    </row>
    <row r="297" spans="1:15" ht="12.75">
      <c r="A297" s="95"/>
      <c r="B297" s="116"/>
      <c r="C297" s="85"/>
      <c r="D297" s="96"/>
      <c r="E297" s="97"/>
      <c r="F297" s="98"/>
      <c r="G297" s="97"/>
      <c r="H297" s="99"/>
      <c r="I297" s="100"/>
      <c r="J297" s="101"/>
      <c r="K297" s="101"/>
      <c r="L297" s="85"/>
      <c r="M297" s="85"/>
      <c r="N297" s="85"/>
      <c r="O297" s="85"/>
    </row>
    <row r="298" spans="1:15" ht="12.75">
      <c r="A298" s="95"/>
      <c r="B298" s="116"/>
      <c r="C298" s="85"/>
      <c r="D298" s="96"/>
      <c r="E298" s="97"/>
      <c r="F298" s="98"/>
      <c r="G298" s="97"/>
      <c r="H298" s="99"/>
      <c r="I298" s="100"/>
      <c r="J298" s="101"/>
      <c r="K298" s="101"/>
      <c r="L298" s="85"/>
      <c r="M298" s="85"/>
      <c r="N298" s="85"/>
      <c r="O298" s="85"/>
    </row>
    <row r="299" spans="1:15" ht="12.75">
      <c r="A299" s="95"/>
      <c r="B299" s="116"/>
      <c r="C299" s="85"/>
      <c r="D299" s="96"/>
      <c r="E299" s="97"/>
      <c r="F299" s="98"/>
      <c r="G299" s="97"/>
      <c r="H299" s="99"/>
      <c r="I299" s="100"/>
      <c r="J299" s="101"/>
      <c r="K299" s="101"/>
      <c r="L299" s="85"/>
      <c r="M299" s="85"/>
      <c r="N299" s="85"/>
      <c r="O299" s="85"/>
    </row>
    <row r="300" spans="1:15" ht="12.75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</row>
    <row r="301" spans="1:15" ht="12.75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</row>
    <row r="302" spans="1:15" ht="12.75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</row>
    <row r="303" spans="1:15" ht="12.75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</row>
    <row r="304" spans="1:15" ht="12.75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</row>
    <row r="305" spans="1:15" ht="12.75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</row>
    <row r="306" spans="1:15" ht="12.75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</row>
    <row r="307" spans="1:15" ht="12.75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</row>
    <row r="308" spans="1:15" ht="12.75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</row>
    <row r="309" spans="1:15" ht="12.75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</row>
    <row r="310" spans="1:15" ht="12.75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</row>
    <row r="311" spans="1:15" ht="12.75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</row>
  </sheetData>
  <mergeCells count="196">
    <mergeCell ref="E261:F261"/>
    <mergeCell ref="E263:F263"/>
    <mergeCell ref="E265:F265"/>
    <mergeCell ref="E268:F268"/>
    <mergeCell ref="E262:F262"/>
    <mergeCell ref="E264:F264"/>
    <mergeCell ref="E267:F267"/>
    <mergeCell ref="H16:I16"/>
    <mergeCell ref="G6:O6"/>
    <mergeCell ref="N16:O16"/>
    <mergeCell ref="K27:L27"/>
    <mergeCell ref="M27:N27"/>
    <mergeCell ref="L16:M16"/>
    <mergeCell ref="J16:K16"/>
    <mergeCell ref="L7:M7"/>
    <mergeCell ref="N7:O7"/>
    <mergeCell ref="E8:F8"/>
    <mergeCell ref="A6:F7"/>
    <mergeCell ref="H7:I7"/>
    <mergeCell ref="J7:K7"/>
    <mergeCell ref="D56:E56"/>
    <mergeCell ref="D57:E57"/>
    <mergeCell ref="F166:G166"/>
    <mergeCell ref="H166:I166"/>
    <mergeCell ref="H163:I163"/>
    <mergeCell ref="F163:G163"/>
    <mergeCell ref="F56:G56"/>
    <mergeCell ref="F57:G57"/>
    <mergeCell ref="H56:I56"/>
    <mergeCell ref="H57:I57"/>
    <mergeCell ref="F164:G164"/>
    <mergeCell ref="H164:I164"/>
    <mergeCell ref="H165:I165"/>
    <mergeCell ref="H189:I189"/>
    <mergeCell ref="F179:G179"/>
    <mergeCell ref="F187:G187"/>
    <mergeCell ref="H187:I187"/>
    <mergeCell ref="F186:G186"/>
    <mergeCell ref="H186:I186"/>
    <mergeCell ref="F170:G170"/>
    <mergeCell ref="F171:G171"/>
    <mergeCell ref="H170:I170"/>
    <mergeCell ref="H171:I171"/>
    <mergeCell ref="E193:F193"/>
    <mergeCell ref="G192:H192"/>
    <mergeCell ref="I192:J192"/>
    <mergeCell ref="E194:F194"/>
    <mergeCell ref="G193:H193"/>
    <mergeCell ref="G194:H194"/>
    <mergeCell ref="I193:J193"/>
    <mergeCell ref="I194:J194"/>
    <mergeCell ref="E213:F213"/>
    <mergeCell ref="E216:F216"/>
    <mergeCell ref="E220:F220"/>
    <mergeCell ref="E211:F211"/>
    <mergeCell ref="E222:F222"/>
    <mergeCell ref="E218:F218"/>
    <mergeCell ref="E224:F224"/>
    <mergeCell ref="E226:F226"/>
    <mergeCell ref="E229:F229"/>
    <mergeCell ref="E232:F232"/>
    <mergeCell ref="E236:F236"/>
    <mergeCell ref="E238:F238"/>
    <mergeCell ref="E241:F241"/>
    <mergeCell ref="G250:H250"/>
    <mergeCell ref="G251:H251"/>
    <mergeCell ref="E250:F250"/>
    <mergeCell ref="E251:F251"/>
    <mergeCell ref="E246:F246"/>
    <mergeCell ref="G246:H246"/>
    <mergeCell ref="G244:H244"/>
    <mergeCell ref="D247:G247"/>
    <mergeCell ref="E254:F254"/>
    <mergeCell ref="E256:F256"/>
    <mergeCell ref="E258:F258"/>
    <mergeCell ref="E260:F260"/>
    <mergeCell ref="E255:F255"/>
    <mergeCell ref="E257:F257"/>
    <mergeCell ref="E259:F259"/>
    <mergeCell ref="I274:J274"/>
    <mergeCell ref="E270:F270"/>
    <mergeCell ref="G253:H253"/>
    <mergeCell ref="G254:H254"/>
    <mergeCell ref="G261:H261"/>
    <mergeCell ref="G263:H263"/>
    <mergeCell ref="G266:H266"/>
    <mergeCell ref="G260:H260"/>
    <mergeCell ref="G262:H262"/>
    <mergeCell ref="G264:H264"/>
    <mergeCell ref="G265:H265"/>
    <mergeCell ref="G267:H267"/>
    <mergeCell ref="G270:H270"/>
    <mergeCell ref="I246:J246"/>
    <mergeCell ref="G252:H252"/>
    <mergeCell ref="G255:H255"/>
    <mergeCell ref="G257:H257"/>
    <mergeCell ref="G259:H259"/>
    <mergeCell ref="G256:H256"/>
    <mergeCell ref="G258:H258"/>
    <mergeCell ref="I244:J244"/>
    <mergeCell ref="G243:H243"/>
    <mergeCell ref="I243:J243"/>
    <mergeCell ref="G241:H241"/>
    <mergeCell ref="G242:H242"/>
    <mergeCell ref="G218:H218"/>
    <mergeCell ref="G219:H219"/>
    <mergeCell ref="G220:H220"/>
    <mergeCell ref="G221:H221"/>
    <mergeCell ref="G222:H222"/>
    <mergeCell ref="G223:H223"/>
    <mergeCell ref="G224:H224"/>
    <mergeCell ref="G236:H236"/>
    <mergeCell ref="G233:H233"/>
    <mergeCell ref="I219:J219"/>
    <mergeCell ref="I220:J220"/>
    <mergeCell ref="I221:J221"/>
    <mergeCell ref="G240:H240"/>
    <mergeCell ref="G237:H237"/>
    <mergeCell ref="G238:H238"/>
    <mergeCell ref="G239:H239"/>
    <mergeCell ref="G226:H226"/>
    <mergeCell ref="G227:H227"/>
    <mergeCell ref="I225:J225"/>
    <mergeCell ref="I226:J226"/>
    <mergeCell ref="I227:J227"/>
    <mergeCell ref="G225:H225"/>
    <mergeCell ref="G232:H232"/>
    <mergeCell ref="G229:H229"/>
    <mergeCell ref="G230:H230"/>
    <mergeCell ref="I213:J213"/>
    <mergeCell ref="I214:J214"/>
    <mergeCell ref="I232:J232"/>
    <mergeCell ref="I233:J233"/>
    <mergeCell ref="I229:J229"/>
    <mergeCell ref="I230:J230"/>
    <mergeCell ref="I222:J222"/>
    <mergeCell ref="I223:J223"/>
    <mergeCell ref="I224:J224"/>
    <mergeCell ref="I218:J218"/>
    <mergeCell ref="I217:J217"/>
    <mergeCell ref="G211:H211"/>
    <mergeCell ref="G212:H212"/>
    <mergeCell ref="G213:H213"/>
    <mergeCell ref="G214:H214"/>
    <mergeCell ref="G215:H215"/>
    <mergeCell ref="G216:H216"/>
    <mergeCell ref="G217:H217"/>
    <mergeCell ref="I211:J211"/>
    <mergeCell ref="I212:J212"/>
    <mergeCell ref="G204:H204"/>
    <mergeCell ref="G205:H205"/>
    <mergeCell ref="G206:H206"/>
    <mergeCell ref="G207:H207"/>
    <mergeCell ref="I204:J204"/>
    <mergeCell ref="I205:J205"/>
    <mergeCell ref="I206:J206"/>
    <mergeCell ref="I207:J207"/>
    <mergeCell ref="G201:H201"/>
    <mergeCell ref="G202:H202"/>
    <mergeCell ref="I200:J200"/>
    <mergeCell ref="I201:J201"/>
    <mergeCell ref="I202:J202"/>
    <mergeCell ref="E197:F197"/>
    <mergeCell ref="E200:F200"/>
    <mergeCell ref="E204:F204"/>
    <mergeCell ref="E205:F205"/>
    <mergeCell ref="G284:H284"/>
    <mergeCell ref="I284:J284"/>
    <mergeCell ref="E206:F206"/>
    <mergeCell ref="G269:H269"/>
    <mergeCell ref="G274:H274"/>
    <mergeCell ref="G275:H275"/>
    <mergeCell ref="G208:H208"/>
    <mergeCell ref="I208:J208"/>
    <mergeCell ref="I215:J215"/>
    <mergeCell ref="I216:J216"/>
    <mergeCell ref="K166:L166"/>
    <mergeCell ref="M166:N166"/>
    <mergeCell ref="I275:J275"/>
    <mergeCell ref="G278:H278"/>
    <mergeCell ref="I278:J278"/>
    <mergeCell ref="I197:J197"/>
    <mergeCell ref="I198:J198"/>
    <mergeCell ref="G197:H197"/>
    <mergeCell ref="G198:H198"/>
    <mergeCell ref="G200:H200"/>
    <mergeCell ref="K55:L55"/>
    <mergeCell ref="M55:N55"/>
    <mergeCell ref="G285:H285"/>
    <mergeCell ref="I285:J285"/>
    <mergeCell ref="K56:L56"/>
    <mergeCell ref="M56:N56"/>
    <mergeCell ref="K57:L57"/>
    <mergeCell ref="M57:N57"/>
    <mergeCell ref="K163:L163"/>
    <mergeCell ref="M163:N163"/>
  </mergeCells>
  <printOptions/>
  <pageMargins left="0.75" right="0.75" top="1" bottom="1" header="0.5" footer="0.5"/>
  <pageSetup horizontalDpi="600" verticalDpi="600" orientation="landscape" scale="90" r:id="rId1"/>
  <headerFooter alignWithMargins="0">
    <oddHeader>&amp;C&amp;"Arial,Bold"&amp;14NCSX Fabrication Project Cost and Schedule</oddHeader>
    <oddFooter>&amp;C&amp;"Arial,Bold"&amp;P</oddFooter>
  </headerFooter>
  <rowBreaks count="9" manualBreakCount="9">
    <brk id="24" max="14" man="1"/>
    <brk id="53" max="14" man="1"/>
    <brk id="82" max="14" man="1"/>
    <brk id="111" max="14" man="1"/>
    <brk id="141" max="14" man="1"/>
    <brk id="168" max="14" man="1"/>
    <brk id="190" max="14" man="1"/>
    <brk id="248" max="14" man="1"/>
    <brk id="27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5"/>
  <sheetViews>
    <sheetView tabSelected="1" workbookViewId="0" topLeftCell="A1">
      <selection activeCell="D16" sqref="D16"/>
    </sheetView>
  </sheetViews>
  <sheetFormatPr defaultColWidth="9.140625" defaultRowHeight="12.75"/>
  <sheetData>
    <row r="1" spans="1:8" ht="20.25">
      <c r="A1" s="63" t="str">
        <f>'Fab Project'!A1:E1</f>
        <v>WBS 131 TF Coils</v>
      </c>
      <c r="B1" s="63"/>
      <c r="C1" s="63"/>
      <c r="D1" s="63"/>
      <c r="E1" s="63"/>
      <c r="F1" s="63"/>
      <c r="G1" s="63"/>
      <c r="H1" s="63"/>
    </row>
    <row r="3" spans="1:13" ht="18.75" thickBot="1">
      <c r="A3" s="72" t="s">
        <v>122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5" ht="12.75">
      <c r="A5" t="s">
        <v>123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&amp;C&amp;"Arial,Bold"&amp;14NCSX Fabrication Project Cost Estimate</oddHeader>
    <oddFooter>&amp;C&amp;"Arial,Bold"&amp;P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Robert Simmons</cp:lastModifiedBy>
  <cp:lastPrinted>2003-11-11T23:29:07Z</cp:lastPrinted>
  <dcterms:created xsi:type="dcterms:W3CDTF">2001-10-24T18:11:20Z</dcterms:created>
  <dcterms:modified xsi:type="dcterms:W3CDTF">2004-01-20T17:38:13Z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-1155045456</vt:i4>
  </property>
  <property fmtid="{D5CDD505-2E9C-101B-9397-08002B2CF9AE}" pid="3" name="_EmailSubject">
    <vt:lpwstr>Revised backup for WBS 131</vt:lpwstr>
  </property>
  <property fmtid="{D5CDD505-2E9C-101B-9397-08002B2CF9AE}" pid="4" name="_AuthorEmail">
    <vt:lpwstr>nelsonbe@ornl.gov</vt:lpwstr>
  </property>
  <property fmtid="{D5CDD505-2E9C-101B-9397-08002B2CF9AE}" pid="5" name="_AuthorEmailDisplayName">
    <vt:lpwstr>Nelson, Brad E.</vt:lpwstr>
  </property>
  <property fmtid="{D5CDD505-2E9C-101B-9397-08002B2CF9AE}" pid="6" name="_ReviewingToolsShownOnce">
    <vt:lpwstr/>
  </property>
</Properties>
</file>