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645" windowWidth="14670" windowHeight="8625" activeTab="6"/>
  </bookViews>
  <sheets>
    <sheet name="Fab Project" sheetId="1" r:id="rId1"/>
    <sheet name="Other Costs" sheetId="2" r:id="rId2"/>
    <sheet name="Engr" sheetId="3" r:id="rId3"/>
    <sheet name="R&amp;D" sheetId="4" r:id="rId4"/>
    <sheet name="M&amp;S" sheetId="5" r:id="rId5"/>
    <sheet name="Fab_assy" sheetId="6" r:id="rId6"/>
    <sheet name="Installation" sheetId="7" r:id="rId7"/>
  </sheets>
  <definedNames>
    <definedName name="_xlnm.Print_Area" localSheetId="2">'Engr'!$A$1:$Q$67</definedName>
    <definedName name="_xlnm.Print_Area" localSheetId="0">'Fab Project'!$A$1:$K$117</definedName>
    <definedName name="_xlnm.Print_Area" localSheetId="5">'Fab_assy'!$A$1:$O$47</definedName>
    <definedName name="_xlnm.Print_Area" localSheetId="6">'Installation'!$A$1:$M$33</definedName>
    <definedName name="_xlnm.Print_Area" localSheetId="4">'M&amp;S'!$A$1:$J$94</definedName>
    <definedName name="_xlnm.Print_Area" localSheetId="1">'Other Costs'!$A$4:$I$85</definedName>
    <definedName name="_xlnm.Print_Area" localSheetId="3">'R&amp;D'!$A$1:$Q$72</definedName>
    <definedName name="_xlnm.Print_Titles" localSheetId="2">'Engr'!$1:$3</definedName>
    <definedName name="_xlnm.Print_Titles" localSheetId="0">'Fab Project'!$1:$1</definedName>
    <definedName name="_xlnm.Print_Titles" localSheetId="5">'Fab_assy'!$1:$3</definedName>
    <definedName name="_xlnm.Print_Titles" localSheetId="6">'Installation'!$1:$3</definedName>
    <definedName name="_xlnm.Print_Titles" localSheetId="4">'M&amp;S'!$1:$3</definedName>
    <definedName name="_xlnm.Print_Titles" localSheetId="1">'Other Costs'!$1:$3</definedName>
    <definedName name="_xlnm.Print_Titles" localSheetId="3">'R&amp;D'!$1:$3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<sst xmlns="http://schemas.openxmlformats.org/spreadsheetml/2006/main" count="475" uniqueCount="192">
  <si>
    <t>Activity Title</t>
  </si>
  <si>
    <t>Manhours</t>
  </si>
  <si>
    <t>FY2002 $$</t>
  </si>
  <si>
    <t>Labor Type</t>
  </si>
  <si>
    <t>Comments</t>
  </si>
  <si>
    <t>Start Date  Month/Year</t>
  </si>
  <si>
    <t>End Date  Month/Year</t>
  </si>
  <si>
    <t>Preliminary Design (Title I)</t>
  </si>
  <si>
    <t>Final Design (Title II)</t>
  </si>
  <si>
    <t>EAEM</t>
  </si>
  <si>
    <t>EASM</t>
  </si>
  <si>
    <t>EADM</t>
  </si>
  <si>
    <t>ORNL Eng</t>
  </si>
  <si>
    <t>SAMPLE - Put in specific labor type</t>
  </si>
  <si>
    <t>M&amp;S Costs</t>
  </si>
  <si>
    <t>Procured Hardware/Material</t>
  </si>
  <si>
    <t>Purchased Design Services</t>
  </si>
  <si>
    <t>Procured Installation/Assembly Costs</t>
  </si>
  <si>
    <t>RMRM3</t>
  </si>
  <si>
    <t>Research Planning/Preparations</t>
  </si>
  <si>
    <t>Operational Spares</t>
  </si>
  <si>
    <t>Instructions for Completing Form</t>
  </si>
  <si>
    <t>(1) One form for each 3 digit WBS element (e.g., 111, 121, 452, etc.) =&gt; if no 3 digit WBS, use 2 digit WBS (e.g., 81, 82, 84)</t>
  </si>
  <si>
    <t>(3) For M&amp;S, provide estimate in FY2002 direct dollars if procured by PPPL, or in fully loaded dollars if procured by ORNL</t>
  </si>
  <si>
    <t>(4) Start and end date provided in month/year format =&gt; March/2003</t>
  </si>
  <si>
    <t>(2) For Lab labor, provide estimate in manhours =&gt; provide estimate by specific labor type.</t>
  </si>
  <si>
    <t>Other Costs</t>
  </si>
  <si>
    <t>Travel</t>
  </si>
  <si>
    <t>Allocations (WBS 81 only)</t>
  </si>
  <si>
    <t>Lab Fab/Assembly/Installation (Title III)</t>
  </si>
  <si>
    <t>Labor</t>
  </si>
  <si>
    <t>Manufacturing Development</t>
  </si>
  <si>
    <t xml:space="preserve"> </t>
  </si>
  <si>
    <t xml:space="preserve">Level of Effort </t>
  </si>
  <si>
    <t>FCEM</t>
  </si>
  <si>
    <t>FY2003</t>
  </si>
  <si>
    <t>FY2004</t>
  </si>
  <si>
    <t>FY2005</t>
  </si>
  <si>
    <t>FY2006</t>
  </si>
  <si>
    <t>FY2007</t>
  </si>
  <si>
    <t>Research Prep Activities</t>
  </si>
  <si>
    <t>Identify each procurement over $100K individually</t>
  </si>
  <si>
    <t>ORNL Physics</t>
  </si>
  <si>
    <t>Include any M&amp;S carried over from FY2002</t>
  </si>
  <si>
    <t>XX represents the 2 digit WBS code</t>
  </si>
  <si>
    <t>PPPL Designer</t>
  </si>
  <si>
    <t>PPPL Engineer</t>
  </si>
  <si>
    <t>PPPL monthly support</t>
  </si>
  <si>
    <t>Composite of ORNL Engineer / Designer</t>
  </si>
  <si>
    <t>Composite of ORNL Physicist</t>
  </si>
  <si>
    <t>Pro-E models</t>
  </si>
  <si>
    <t>assy dwgs</t>
  </si>
  <si>
    <t>Detail drawings</t>
  </si>
  <si>
    <t>installation dwg</t>
  </si>
  <si>
    <t>multiplier</t>
  </si>
  <si>
    <t>unit</t>
  </si>
  <si>
    <t>no.</t>
  </si>
  <si>
    <t>hrs/model</t>
  </si>
  <si>
    <t>hrs/dwg</t>
  </si>
  <si>
    <t>hrs/calc</t>
  </si>
  <si>
    <t>hrs/spec</t>
  </si>
  <si>
    <t>hrs/wk</t>
  </si>
  <si>
    <t>Engineering, Title I, II and III</t>
  </si>
  <si>
    <t>hrs</t>
  </si>
  <si>
    <t>Title I, II design</t>
  </si>
  <si>
    <t xml:space="preserve">Title III </t>
  </si>
  <si>
    <t>in-house fab/assy oversight and inspection</t>
  </si>
  <si>
    <t>As-built drawings</t>
  </si>
  <si>
    <t>vendor oversight, inspection</t>
  </si>
  <si>
    <t>Disposition of deviation requests and non-conformances</t>
  </si>
  <si>
    <t>PPPL Physics</t>
  </si>
  <si>
    <t>subtotal</t>
  </si>
  <si>
    <t>Description:</t>
  </si>
  <si>
    <t>Schedule assumptions</t>
  </si>
  <si>
    <t>Title II Design</t>
  </si>
  <si>
    <t>Procurement</t>
  </si>
  <si>
    <t>Installation / final assembly</t>
  </si>
  <si>
    <t>In-house fab / sub-assy</t>
  </si>
  <si>
    <t>start</t>
  </si>
  <si>
    <t>end</t>
  </si>
  <si>
    <t>duration (weeks)</t>
  </si>
  <si>
    <t>Installation oversight and inspection</t>
  </si>
  <si>
    <t>cooling schematic</t>
  </si>
  <si>
    <t>electrical schematic</t>
  </si>
  <si>
    <t>I&amp;C schematic</t>
  </si>
  <si>
    <t>special analysis</t>
  </si>
  <si>
    <t>stress analysis</t>
  </si>
  <si>
    <t>thermal analysis</t>
  </si>
  <si>
    <t>preliminary and final design reviews</t>
  </si>
  <si>
    <t>hrs/rev</t>
  </si>
  <si>
    <t>meetings/reporting/presentations</t>
  </si>
  <si>
    <t>% of tot</t>
  </si>
  <si>
    <t>procurement specifications</t>
  </si>
  <si>
    <t>fract.</t>
  </si>
  <si>
    <t>total fraction</t>
  </si>
  <si>
    <t>hours</t>
  </si>
  <si>
    <t>Notes and worksheets</t>
  </si>
  <si>
    <t>PPPL Physics/scientific</t>
  </si>
  <si>
    <t>Composite of ORNL Physics / scientific</t>
  </si>
  <si>
    <t>Labor category</t>
  </si>
  <si>
    <t>R&amp;D</t>
  </si>
  <si>
    <t>Task</t>
  </si>
  <si>
    <t>R&amp;D planning</t>
  </si>
  <si>
    <t>Bid and award</t>
  </si>
  <si>
    <t>Title I Design, R&amp;D</t>
  </si>
  <si>
    <t>Vendor</t>
  </si>
  <si>
    <t>Summary</t>
  </si>
  <si>
    <t>R&amp;D design</t>
  </si>
  <si>
    <t>Testing and experiments</t>
  </si>
  <si>
    <t>R&amp;D testing</t>
  </si>
  <si>
    <t>R&amp;D procurement / in-house fab.</t>
  </si>
  <si>
    <t>duration
(weeks)</t>
  </si>
  <si>
    <t>FY2008</t>
  </si>
  <si>
    <t>EMTB</t>
  </si>
  <si>
    <t>PPPL Technician</t>
  </si>
  <si>
    <t>Duration of activity per fiscal year (weeks)</t>
  </si>
  <si>
    <t>Lab R&amp;D labor</t>
  </si>
  <si>
    <t>Manufacturing Development (R&amp;D)</t>
  </si>
  <si>
    <t>per hour</t>
  </si>
  <si>
    <t>Materials and Subcontracts (M&amp;S)</t>
  </si>
  <si>
    <t>Assumptions:</t>
  </si>
  <si>
    <t>outside engr rate =</t>
  </si>
  <si>
    <t>$ per hour</t>
  </si>
  <si>
    <t>outside fab rate =</t>
  </si>
  <si>
    <t>outside inspection/technician rate =</t>
  </si>
  <si>
    <t xml:space="preserve">R&amp;D Title III </t>
  </si>
  <si>
    <t>hrs/tile</t>
  </si>
  <si>
    <t xml:space="preserve">    fab rate</t>
  </si>
  <si>
    <t xml:space="preserve">   inspection/technician rate</t>
  </si>
  <si>
    <t xml:space="preserve">   design rate</t>
  </si>
  <si>
    <t>w/o G&amp;A</t>
  </si>
  <si>
    <t>Purchased parts:</t>
  </si>
  <si>
    <t>subtotal, purchased parts</t>
  </si>
  <si>
    <t>Profit at 10%</t>
  </si>
  <si>
    <t>vendor shop drawings</t>
  </si>
  <si>
    <t>vendor part programming</t>
  </si>
  <si>
    <t>vendor misc engineering</t>
  </si>
  <si>
    <t>In-house Fabrication and Assembly</t>
  </si>
  <si>
    <t>total, procured hdwe/matl.</t>
  </si>
  <si>
    <t>total, manf/dev (R&amp;D)</t>
  </si>
  <si>
    <t>Manhours per fiscal year by labor category</t>
  </si>
  <si>
    <t>Fab operations</t>
  </si>
  <si>
    <t>Assembly operations</t>
  </si>
  <si>
    <t>subtotal purchased materials</t>
  </si>
  <si>
    <t>materials for in-house fab</t>
  </si>
  <si>
    <t>Purchased materials for in-house fabrication and sub-assembly</t>
  </si>
  <si>
    <t>man/shift</t>
  </si>
  <si>
    <t>in-house fab/assy, oversight, and inspection</t>
  </si>
  <si>
    <t>Installation</t>
  </si>
  <si>
    <t>This element is not part of the WBS 1 scope of work</t>
  </si>
  <si>
    <t>TOTAL</t>
  </si>
  <si>
    <t>Comment</t>
  </si>
  <si>
    <t>no purchased services anticipated</t>
  </si>
  <si>
    <t>All installation and assembly costs are included in WBS 7</t>
  </si>
  <si>
    <t>No travel is anticipated for this WBS</t>
  </si>
  <si>
    <t>Summary Costs</t>
  </si>
  <si>
    <t>M&amp;S, Other</t>
  </si>
  <si>
    <t>subtotal, labor</t>
  </si>
  <si>
    <t>subtotal, M&amp;S</t>
  </si>
  <si>
    <t>G&amp;A</t>
  </si>
  <si>
    <t>on all purchased materials, subcontracts, travel</t>
  </si>
  <si>
    <t>Subtotal without contingency</t>
  </si>
  <si>
    <t>Contingency</t>
  </si>
  <si>
    <t>Total cost</t>
  </si>
  <si>
    <t>Overall on this WBS</t>
  </si>
  <si>
    <t>PPPL</t>
  </si>
  <si>
    <t>ORNL</t>
  </si>
  <si>
    <t>PPPL Effort</t>
  </si>
  <si>
    <t>ORNL effort</t>
  </si>
  <si>
    <t>ORNL Phys</t>
  </si>
  <si>
    <t>PPPL Phys</t>
  </si>
  <si>
    <t>Assumed rates:</t>
  </si>
  <si>
    <t>Start Date  Month/Yr</t>
  </si>
  <si>
    <t>End Date  Month/Yr</t>
  </si>
  <si>
    <t>ORNL Phys.</t>
  </si>
  <si>
    <t>PPPL Phys.</t>
  </si>
  <si>
    <t>ORNL Phy</t>
  </si>
  <si>
    <t>PPPL Phy</t>
  </si>
  <si>
    <t xml:space="preserve"> of design is preliminary design</t>
  </si>
  <si>
    <t>of design schedule is final design</t>
  </si>
  <si>
    <t>None required</t>
  </si>
  <si>
    <t>none anticipated</t>
  </si>
  <si>
    <t>hrs/lot</t>
  </si>
  <si>
    <t>No local fab or assembly is anticipated for the Coil leads.  Installation is part of WBS 7.</t>
  </si>
  <si>
    <t>WBS 163 Coil Protection System</t>
  </si>
  <si>
    <t>This effort covers all Title I, II, and III engineering  for the  Coil Protection System.  No hardware is anticipated for this job, only design interface with WBS 4 and 5.</t>
  </si>
  <si>
    <t>analysis of potential fault conditions based on reaction times of various systems</t>
  </si>
  <si>
    <t>specification of correct current, voltage, strain, and temperature waveforms to be compared with actual</t>
  </si>
  <si>
    <t>minimum of one schematic for each signal type</t>
  </si>
  <si>
    <t>No R&amp;D is anticipated for this WBS element</t>
  </si>
  <si>
    <t>No materials or subcontracts are anticipated for this WBS element</t>
  </si>
  <si>
    <t>FY2003 $$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</si>
</sst>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</numFmts>
  <fonts count="1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i/>
      <u val="single"/>
      <sz val="12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Continuous" wrapText="1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14" fontId="1" fillId="0" borderId="0" xfId="0" applyNumberFormat="1" applyFont="1" applyAlignment="1">
      <alignment/>
    </xf>
    <xf numFmtId="14" fontId="2" fillId="0" borderId="0" xfId="0" applyNumberFormat="1" applyFont="1" applyAlignment="1">
      <alignment horizontal="center" wrapText="1"/>
    </xf>
    <xf numFmtId="14" fontId="2" fillId="2" borderId="0" xfId="0" applyNumberFormat="1" applyFont="1" applyFill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9" fontId="7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17" fontId="0" fillId="0" borderId="0" xfId="0" applyNumberFormat="1" applyAlignment="1">
      <alignment horizontal="center"/>
    </xf>
    <xf numFmtId="17" fontId="7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1" fontId="4" fillId="0" borderId="0" xfId="0" applyNumberFormat="1" applyFont="1" applyAlignment="1">
      <alignment horizontal="right"/>
    </xf>
    <xf numFmtId="0" fontId="0" fillId="0" borderId="0" xfId="0" applyFont="1" applyAlignment="1">
      <alignment horizontal="center" textRotation="90"/>
    </xf>
    <xf numFmtId="0" fontId="0" fillId="0" borderId="0" xfId="0" applyFont="1" applyAlignment="1">
      <alignment horizontal="center" wrapText="1"/>
    </xf>
    <xf numFmtId="165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166" fontId="7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 vertical="top" wrapText="1"/>
    </xf>
    <xf numFmtId="166" fontId="0" fillId="0" borderId="0" xfId="0" applyNumberFormat="1" applyFont="1" applyAlignment="1">
      <alignment horizontal="right" vertical="top" wrapText="1"/>
    </xf>
    <xf numFmtId="166" fontId="0" fillId="0" borderId="0" xfId="0" applyNumberFormat="1" applyAlignment="1">
      <alignment horizontal="right"/>
    </xf>
    <xf numFmtId="1" fontId="7" fillId="0" borderId="0" xfId="0" applyNumberFormat="1" applyFont="1" applyAlignment="1">
      <alignment horizontal="center"/>
    </xf>
    <xf numFmtId="16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2" fillId="2" borderId="0" xfId="0" applyFont="1" applyFill="1" applyAlignment="1">
      <alignment/>
    </xf>
    <xf numFmtId="14" fontId="0" fillId="2" borderId="0" xfId="0" applyNumberFormat="1" applyFill="1" applyAlignment="1">
      <alignment/>
    </xf>
    <xf numFmtId="0" fontId="4" fillId="2" borderId="0" xfId="0" applyFont="1" applyFill="1" applyAlignment="1">
      <alignment/>
    </xf>
    <xf numFmtId="1" fontId="0" fillId="2" borderId="0" xfId="0" applyNumberFormat="1" applyFill="1" applyAlignment="1">
      <alignment horizontal="center"/>
    </xf>
    <xf numFmtId="0" fontId="9" fillId="0" borderId="0" xfId="0" applyFont="1" applyAlignment="1">
      <alignment horizontal="left"/>
    </xf>
    <xf numFmtId="1" fontId="4" fillId="0" borderId="0" xfId="0" applyNumberFormat="1" applyFont="1" applyAlignment="1">
      <alignment/>
    </xf>
    <xf numFmtId="14" fontId="2" fillId="0" borderId="0" xfId="0" applyNumberFormat="1" applyFont="1" applyAlignment="1">
      <alignment horizontal="left"/>
    </xf>
    <xf numFmtId="14" fontId="0" fillId="0" borderId="0" xfId="0" applyNumberFormat="1" applyFill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166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  <xf numFmtId="0" fontId="4" fillId="0" borderId="0" xfId="0" applyFont="1" applyFill="1" applyAlignment="1">
      <alignment/>
    </xf>
    <xf numFmtId="1" fontId="0" fillId="0" borderId="0" xfId="0" applyNumberFormat="1" applyFill="1" applyAlignment="1">
      <alignment horizontal="center"/>
    </xf>
    <xf numFmtId="14" fontId="2" fillId="0" borderId="0" xfId="0" applyNumberFormat="1" applyFont="1" applyAlignment="1">
      <alignment/>
    </xf>
    <xf numFmtId="14" fontId="2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8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14" fontId="1" fillId="0" borderId="1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14" fontId="2" fillId="0" borderId="1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4" fillId="0" borderId="1" xfId="0" applyFont="1" applyBorder="1" applyAlignment="1">
      <alignment/>
    </xf>
    <xf numFmtId="17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17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left"/>
    </xf>
    <xf numFmtId="1" fontId="0" fillId="0" borderId="0" xfId="0" applyNumberFormat="1" applyFont="1" applyAlignment="1">
      <alignment/>
    </xf>
    <xf numFmtId="0" fontId="0" fillId="0" borderId="0" xfId="0" applyAlignment="1">
      <alignment textRotation="90" wrapText="1"/>
    </xf>
    <xf numFmtId="1" fontId="0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0" fillId="0" borderId="0" xfId="0" applyAlignment="1">
      <alignment horizontal="center" textRotation="90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14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74</xdr:row>
      <xdr:rowOff>9525</xdr:rowOff>
    </xdr:from>
    <xdr:to>
      <xdr:col>11</xdr:col>
      <xdr:colOff>466725</xdr:colOff>
      <xdr:row>90</xdr:row>
      <xdr:rowOff>47625</xdr:rowOff>
    </xdr:to>
    <xdr:grpSp>
      <xdr:nvGrpSpPr>
        <xdr:cNvPr id="1" name="Group 57"/>
        <xdr:cNvGrpSpPr>
          <a:grpSpLocks/>
        </xdr:cNvGrpSpPr>
      </xdr:nvGrpSpPr>
      <xdr:grpSpPr>
        <a:xfrm>
          <a:off x="5000625" y="12858750"/>
          <a:ext cx="3981450" cy="2628900"/>
          <a:chOff x="442" y="872"/>
          <a:chExt cx="418" cy="310"/>
        </a:xfrm>
        <a:solidFill>
          <a:srgbClr val="FFFFFF"/>
        </a:solidFill>
      </xdr:grpSpPr>
      <xdr:grpSp>
        <xdr:nvGrpSpPr>
          <xdr:cNvPr id="2" name="Group 25"/>
          <xdr:cNvGrpSpPr>
            <a:grpSpLocks/>
          </xdr:cNvGrpSpPr>
        </xdr:nvGrpSpPr>
        <xdr:grpSpPr>
          <a:xfrm>
            <a:off x="572" y="908"/>
            <a:ext cx="147" cy="212"/>
            <a:chOff x="534" y="647"/>
            <a:chExt cx="178" cy="223"/>
          </a:xfrm>
          <a:solidFill>
            <a:srgbClr val="FFFFFF"/>
          </a:solidFill>
        </xdr:grpSpPr>
        <xdr:grpSp>
          <xdr:nvGrpSpPr>
            <xdr:cNvPr id="3" name="Group 7"/>
            <xdr:cNvGrpSpPr>
              <a:grpSpLocks/>
            </xdr:cNvGrpSpPr>
          </xdr:nvGrpSpPr>
          <xdr:grpSpPr>
            <a:xfrm>
              <a:off x="534" y="647"/>
              <a:ext cx="178" cy="109"/>
              <a:chOff x="534" y="647"/>
              <a:chExt cx="233" cy="180"/>
            </a:xfrm>
            <a:solidFill>
              <a:srgbClr val="FFFFFF"/>
            </a:solidFill>
          </xdr:grpSpPr>
          <xdr:sp>
            <xdr:nvSpPr>
              <xdr:cNvPr id="4" name="Rectangle 1"/>
              <xdr:cNvSpPr>
                <a:spLocks/>
              </xdr:cNvSpPr>
            </xdr:nvSpPr>
            <xdr:spPr>
              <a:xfrm>
                <a:off x="563" y="662"/>
                <a:ext cx="27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" name="Rectangle 2"/>
              <xdr:cNvSpPr>
                <a:spLocks/>
              </xdr:cNvSpPr>
            </xdr:nvSpPr>
            <xdr:spPr>
              <a:xfrm>
                <a:off x="534" y="704"/>
                <a:ext cx="27" cy="2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" name="Rectangle 3"/>
              <xdr:cNvSpPr>
                <a:spLocks/>
              </xdr:cNvSpPr>
            </xdr:nvSpPr>
            <xdr:spPr>
              <a:xfrm>
                <a:off x="535" y="738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" name="Rectangle 4"/>
              <xdr:cNvSpPr>
                <a:spLocks/>
              </xdr:cNvSpPr>
            </xdr:nvSpPr>
            <xdr:spPr>
              <a:xfrm>
                <a:off x="679" y="647"/>
                <a:ext cx="20" cy="2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Rectangle 5"/>
              <xdr:cNvSpPr>
                <a:spLocks/>
              </xdr:cNvSpPr>
            </xdr:nvSpPr>
            <xdr:spPr>
              <a:xfrm>
                <a:off x="756" y="697"/>
                <a:ext cx="11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Rectangle 6"/>
              <xdr:cNvSpPr>
                <a:spLocks/>
              </xdr:cNvSpPr>
            </xdr:nvSpPr>
            <xdr:spPr>
              <a:xfrm>
                <a:off x="535" y="785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0" name="Group 8"/>
            <xdr:cNvGrpSpPr>
              <a:grpSpLocks/>
            </xdr:cNvGrpSpPr>
          </xdr:nvGrpSpPr>
          <xdr:grpSpPr>
            <a:xfrm flipV="1">
              <a:off x="534" y="761"/>
              <a:ext cx="178" cy="109"/>
              <a:chOff x="534" y="647"/>
              <a:chExt cx="233" cy="180"/>
            </a:xfrm>
            <a:solidFill>
              <a:srgbClr val="FFFFFF"/>
            </a:solidFill>
          </xdr:grpSpPr>
          <xdr:sp>
            <xdr:nvSpPr>
              <xdr:cNvPr id="11" name="Rectangle 9"/>
              <xdr:cNvSpPr>
                <a:spLocks/>
              </xdr:cNvSpPr>
            </xdr:nvSpPr>
            <xdr:spPr>
              <a:xfrm>
                <a:off x="563" y="662"/>
                <a:ext cx="27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" name="Rectangle 10"/>
              <xdr:cNvSpPr>
                <a:spLocks/>
              </xdr:cNvSpPr>
            </xdr:nvSpPr>
            <xdr:spPr>
              <a:xfrm>
                <a:off x="534" y="704"/>
                <a:ext cx="27" cy="2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" name="Rectangle 11"/>
              <xdr:cNvSpPr>
                <a:spLocks/>
              </xdr:cNvSpPr>
            </xdr:nvSpPr>
            <xdr:spPr>
              <a:xfrm>
                <a:off x="535" y="738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" name="Rectangle 12"/>
              <xdr:cNvSpPr>
                <a:spLocks/>
              </xdr:cNvSpPr>
            </xdr:nvSpPr>
            <xdr:spPr>
              <a:xfrm>
                <a:off x="679" y="647"/>
                <a:ext cx="20" cy="2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" name="Rectangle 13"/>
              <xdr:cNvSpPr>
                <a:spLocks/>
              </xdr:cNvSpPr>
            </xdr:nvSpPr>
            <xdr:spPr>
              <a:xfrm>
                <a:off x="756" y="697"/>
                <a:ext cx="11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" name="Rectangle 14"/>
              <xdr:cNvSpPr>
                <a:spLocks/>
              </xdr:cNvSpPr>
            </xdr:nvSpPr>
            <xdr:spPr>
              <a:xfrm>
                <a:off x="535" y="785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17" name="Line 16"/>
          <xdr:cNvSpPr>
            <a:spLocks/>
          </xdr:cNvSpPr>
        </xdr:nvSpPr>
        <xdr:spPr>
          <a:xfrm flipV="1">
            <a:off x="546" y="873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7"/>
          <xdr:cNvSpPr>
            <a:spLocks/>
          </xdr:cNvSpPr>
        </xdr:nvSpPr>
        <xdr:spPr>
          <a:xfrm>
            <a:off x="546" y="872"/>
            <a:ext cx="2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768" y="873"/>
            <a:ext cx="0" cy="3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2"/>
          <xdr:cNvSpPr>
            <a:spLocks/>
          </xdr:cNvSpPr>
        </xdr:nvSpPr>
        <xdr:spPr>
          <a:xfrm flipV="1">
            <a:off x="556" y="886"/>
            <a:ext cx="0" cy="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3"/>
          <xdr:cNvSpPr>
            <a:spLocks/>
          </xdr:cNvSpPr>
        </xdr:nvSpPr>
        <xdr:spPr>
          <a:xfrm>
            <a:off x="556" y="885"/>
            <a:ext cx="2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4"/>
          <xdr:cNvSpPr>
            <a:spLocks/>
          </xdr:cNvSpPr>
        </xdr:nvSpPr>
        <xdr:spPr>
          <a:xfrm>
            <a:off x="758" y="885"/>
            <a:ext cx="0" cy="29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6"/>
          <xdr:cNvSpPr>
            <a:spLocks/>
          </xdr:cNvSpPr>
        </xdr:nvSpPr>
        <xdr:spPr>
          <a:xfrm flipV="1">
            <a:off x="612" y="892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7"/>
          <xdr:cNvSpPr>
            <a:spLocks/>
          </xdr:cNvSpPr>
        </xdr:nvSpPr>
        <xdr:spPr>
          <a:xfrm>
            <a:off x="612" y="892"/>
            <a:ext cx="1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8"/>
          <xdr:cNvSpPr>
            <a:spLocks/>
          </xdr:cNvSpPr>
        </xdr:nvSpPr>
        <xdr:spPr>
          <a:xfrm>
            <a:off x="746" y="893"/>
            <a:ext cx="0" cy="28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31"/>
          <xdr:cNvSpPr>
            <a:spLocks/>
          </xdr:cNvSpPr>
        </xdr:nvSpPr>
        <xdr:spPr>
          <a:xfrm>
            <a:off x="681" y="911"/>
            <a:ext cx="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32"/>
          <xdr:cNvSpPr>
            <a:spLocks/>
          </xdr:cNvSpPr>
        </xdr:nvSpPr>
        <xdr:spPr>
          <a:xfrm>
            <a:off x="737" y="912"/>
            <a:ext cx="0" cy="2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33"/>
          <xdr:cNvSpPr>
            <a:spLocks/>
          </xdr:cNvSpPr>
        </xdr:nvSpPr>
        <xdr:spPr>
          <a:xfrm>
            <a:off x="730" y="938"/>
            <a:ext cx="0" cy="2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34"/>
          <xdr:cNvSpPr>
            <a:spLocks/>
          </xdr:cNvSpPr>
        </xdr:nvSpPr>
        <xdr:spPr>
          <a:xfrm>
            <a:off x="723" y="1093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5"/>
          <xdr:cNvSpPr>
            <a:spLocks/>
          </xdr:cNvSpPr>
        </xdr:nvSpPr>
        <xdr:spPr>
          <a:xfrm>
            <a:off x="681" y="1115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6"/>
          <xdr:cNvSpPr>
            <a:spLocks/>
          </xdr:cNvSpPr>
        </xdr:nvSpPr>
        <xdr:spPr>
          <a:xfrm>
            <a:off x="680" y="114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7"/>
          <xdr:cNvSpPr>
            <a:spLocks/>
          </xdr:cNvSpPr>
        </xdr:nvSpPr>
        <xdr:spPr>
          <a:xfrm>
            <a:off x="716" y="1144"/>
            <a:ext cx="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8"/>
          <xdr:cNvSpPr>
            <a:spLocks/>
          </xdr:cNvSpPr>
        </xdr:nvSpPr>
        <xdr:spPr>
          <a:xfrm>
            <a:off x="552" y="1066"/>
            <a:ext cx="0" cy="1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9"/>
          <xdr:cNvSpPr>
            <a:spLocks/>
          </xdr:cNvSpPr>
        </xdr:nvSpPr>
        <xdr:spPr>
          <a:xfrm>
            <a:off x="613" y="1107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40"/>
          <xdr:cNvSpPr>
            <a:spLocks/>
          </xdr:cNvSpPr>
        </xdr:nvSpPr>
        <xdr:spPr>
          <a:xfrm>
            <a:off x="612" y="1156"/>
            <a:ext cx="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41"/>
          <xdr:cNvSpPr>
            <a:spLocks/>
          </xdr:cNvSpPr>
        </xdr:nvSpPr>
        <xdr:spPr>
          <a:xfrm>
            <a:off x="707" y="1154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42"/>
          <xdr:cNvSpPr>
            <a:spLocks/>
          </xdr:cNvSpPr>
        </xdr:nvSpPr>
        <xdr:spPr>
          <a:xfrm>
            <a:off x="563" y="1081"/>
            <a:ext cx="0" cy="8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43"/>
          <xdr:cNvSpPr>
            <a:spLocks/>
          </xdr:cNvSpPr>
        </xdr:nvSpPr>
        <xdr:spPr>
          <a:xfrm flipV="1">
            <a:off x="564" y="116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44"/>
          <xdr:cNvSpPr>
            <a:spLocks/>
          </xdr:cNvSpPr>
        </xdr:nvSpPr>
        <xdr:spPr>
          <a:xfrm>
            <a:off x="552" y="1174"/>
            <a:ext cx="1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6"/>
          <xdr:cNvSpPr>
            <a:spLocks/>
          </xdr:cNvSpPr>
        </xdr:nvSpPr>
        <xdr:spPr>
          <a:xfrm>
            <a:off x="698" y="116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8"/>
          <xdr:cNvSpPr>
            <a:spLocks/>
          </xdr:cNvSpPr>
        </xdr:nvSpPr>
        <xdr:spPr>
          <a:xfrm>
            <a:off x="681" y="1174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9"/>
          <xdr:cNvSpPr>
            <a:spLocks/>
          </xdr:cNvSpPr>
        </xdr:nvSpPr>
        <xdr:spPr>
          <a:xfrm>
            <a:off x="723" y="938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51"/>
          <xdr:cNvSpPr>
            <a:spLocks/>
          </xdr:cNvSpPr>
        </xdr:nvSpPr>
        <xdr:spPr>
          <a:xfrm>
            <a:off x="442" y="1180"/>
            <a:ext cx="418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52"/>
          <xdr:cNvSpPr>
            <a:spLocks/>
          </xdr:cNvSpPr>
        </xdr:nvSpPr>
        <xdr:spPr>
          <a:xfrm flipH="1">
            <a:off x="549" y="962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53"/>
          <xdr:cNvSpPr>
            <a:spLocks/>
          </xdr:cNvSpPr>
        </xdr:nvSpPr>
        <xdr:spPr>
          <a:xfrm flipH="1">
            <a:off x="560" y="947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54"/>
          <xdr:cNvSpPr>
            <a:spLocks/>
          </xdr:cNvSpPr>
        </xdr:nvSpPr>
        <xdr:spPr>
          <a:xfrm flipH="1">
            <a:off x="552" y="1065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55"/>
          <xdr:cNvSpPr>
            <a:spLocks/>
          </xdr:cNvSpPr>
        </xdr:nvSpPr>
        <xdr:spPr>
          <a:xfrm flipH="1">
            <a:off x="564" y="1081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209550</xdr:colOff>
      <xdr:row>135</xdr:row>
      <xdr:rowOff>19050</xdr:rowOff>
    </xdr:from>
    <xdr:to>
      <xdr:col>9</xdr:col>
      <xdr:colOff>533400</xdr:colOff>
      <xdr:row>152</xdr:row>
      <xdr:rowOff>57150</xdr:rowOff>
    </xdr:to>
    <xdr:grpSp>
      <xdr:nvGrpSpPr>
        <xdr:cNvPr id="48" name="Group 173"/>
        <xdr:cNvGrpSpPr>
          <a:grpSpLocks/>
        </xdr:cNvGrpSpPr>
      </xdr:nvGrpSpPr>
      <xdr:grpSpPr>
        <a:xfrm>
          <a:off x="3848100" y="22745700"/>
          <a:ext cx="3981450" cy="2790825"/>
          <a:chOff x="442" y="872"/>
          <a:chExt cx="418" cy="310"/>
        </a:xfrm>
        <a:solidFill>
          <a:srgbClr val="FFFFFF"/>
        </a:solidFill>
      </xdr:grpSpPr>
      <xdr:grpSp>
        <xdr:nvGrpSpPr>
          <xdr:cNvPr id="49" name="Group 174"/>
          <xdr:cNvGrpSpPr>
            <a:grpSpLocks/>
          </xdr:cNvGrpSpPr>
        </xdr:nvGrpSpPr>
        <xdr:grpSpPr>
          <a:xfrm>
            <a:off x="572" y="908"/>
            <a:ext cx="147" cy="212"/>
            <a:chOff x="534" y="647"/>
            <a:chExt cx="178" cy="223"/>
          </a:xfrm>
          <a:solidFill>
            <a:srgbClr val="FFFFFF"/>
          </a:solidFill>
        </xdr:grpSpPr>
        <xdr:grpSp>
          <xdr:nvGrpSpPr>
            <xdr:cNvPr id="50" name="Group 175"/>
            <xdr:cNvGrpSpPr>
              <a:grpSpLocks/>
            </xdr:cNvGrpSpPr>
          </xdr:nvGrpSpPr>
          <xdr:grpSpPr>
            <a:xfrm>
              <a:off x="534" y="647"/>
              <a:ext cx="178" cy="109"/>
              <a:chOff x="534" y="647"/>
              <a:chExt cx="233" cy="180"/>
            </a:xfrm>
            <a:solidFill>
              <a:srgbClr val="FFFFFF"/>
            </a:solidFill>
          </xdr:grpSpPr>
          <xdr:sp>
            <xdr:nvSpPr>
              <xdr:cNvPr id="51" name="Rectangle 176"/>
              <xdr:cNvSpPr>
                <a:spLocks/>
              </xdr:cNvSpPr>
            </xdr:nvSpPr>
            <xdr:spPr>
              <a:xfrm>
                <a:off x="563" y="662"/>
                <a:ext cx="27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2" name="Rectangle 177"/>
              <xdr:cNvSpPr>
                <a:spLocks/>
              </xdr:cNvSpPr>
            </xdr:nvSpPr>
            <xdr:spPr>
              <a:xfrm>
                <a:off x="534" y="704"/>
                <a:ext cx="27" cy="2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3" name="Rectangle 178"/>
              <xdr:cNvSpPr>
                <a:spLocks/>
              </xdr:cNvSpPr>
            </xdr:nvSpPr>
            <xdr:spPr>
              <a:xfrm>
                <a:off x="535" y="738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4" name="Rectangle 179"/>
              <xdr:cNvSpPr>
                <a:spLocks/>
              </xdr:cNvSpPr>
            </xdr:nvSpPr>
            <xdr:spPr>
              <a:xfrm>
                <a:off x="679" y="647"/>
                <a:ext cx="20" cy="2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5" name="Rectangle 180"/>
              <xdr:cNvSpPr>
                <a:spLocks/>
              </xdr:cNvSpPr>
            </xdr:nvSpPr>
            <xdr:spPr>
              <a:xfrm>
                <a:off x="756" y="697"/>
                <a:ext cx="11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6" name="Rectangle 181"/>
              <xdr:cNvSpPr>
                <a:spLocks/>
              </xdr:cNvSpPr>
            </xdr:nvSpPr>
            <xdr:spPr>
              <a:xfrm>
                <a:off x="535" y="785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57" name="Group 182"/>
            <xdr:cNvGrpSpPr>
              <a:grpSpLocks/>
            </xdr:cNvGrpSpPr>
          </xdr:nvGrpSpPr>
          <xdr:grpSpPr>
            <a:xfrm flipV="1">
              <a:off x="534" y="761"/>
              <a:ext cx="178" cy="109"/>
              <a:chOff x="534" y="647"/>
              <a:chExt cx="233" cy="180"/>
            </a:xfrm>
            <a:solidFill>
              <a:srgbClr val="FFFFFF"/>
            </a:solidFill>
          </xdr:grpSpPr>
          <xdr:sp>
            <xdr:nvSpPr>
              <xdr:cNvPr id="58" name="Rectangle 183"/>
              <xdr:cNvSpPr>
                <a:spLocks/>
              </xdr:cNvSpPr>
            </xdr:nvSpPr>
            <xdr:spPr>
              <a:xfrm>
                <a:off x="563" y="662"/>
                <a:ext cx="27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9" name="Rectangle 184"/>
              <xdr:cNvSpPr>
                <a:spLocks/>
              </xdr:cNvSpPr>
            </xdr:nvSpPr>
            <xdr:spPr>
              <a:xfrm>
                <a:off x="534" y="704"/>
                <a:ext cx="27" cy="2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0" name="Rectangle 185"/>
              <xdr:cNvSpPr>
                <a:spLocks/>
              </xdr:cNvSpPr>
            </xdr:nvSpPr>
            <xdr:spPr>
              <a:xfrm>
                <a:off x="535" y="738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1" name="Rectangle 186"/>
              <xdr:cNvSpPr>
                <a:spLocks/>
              </xdr:cNvSpPr>
            </xdr:nvSpPr>
            <xdr:spPr>
              <a:xfrm>
                <a:off x="679" y="647"/>
                <a:ext cx="20" cy="2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2" name="Rectangle 187"/>
              <xdr:cNvSpPr>
                <a:spLocks/>
              </xdr:cNvSpPr>
            </xdr:nvSpPr>
            <xdr:spPr>
              <a:xfrm>
                <a:off x="756" y="697"/>
                <a:ext cx="11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3" name="Rectangle 188"/>
              <xdr:cNvSpPr>
                <a:spLocks/>
              </xdr:cNvSpPr>
            </xdr:nvSpPr>
            <xdr:spPr>
              <a:xfrm>
                <a:off x="535" y="785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64" name="Line 189"/>
          <xdr:cNvSpPr>
            <a:spLocks/>
          </xdr:cNvSpPr>
        </xdr:nvSpPr>
        <xdr:spPr>
          <a:xfrm flipV="1">
            <a:off x="546" y="873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190"/>
          <xdr:cNvSpPr>
            <a:spLocks/>
          </xdr:cNvSpPr>
        </xdr:nvSpPr>
        <xdr:spPr>
          <a:xfrm>
            <a:off x="546" y="872"/>
            <a:ext cx="2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191"/>
          <xdr:cNvSpPr>
            <a:spLocks/>
          </xdr:cNvSpPr>
        </xdr:nvSpPr>
        <xdr:spPr>
          <a:xfrm>
            <a:off x="768" y="873"/>
            <a:ext cx="0" cy="30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192"/>
          <xdr:cNvSpPr>
            <a:spLocks/>
          </xdr:cNvSpPr>
        </xdr:nvSpPr>
        <xdr:spPr>
          <a:xfrm flipV="1">
            <a:off x="556" y="886"/>
            <a:ext cx="0" cy="6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193"/>
          <xdr:cNvSpPr>
            <a:spLocks/>
          </xdr:cNvSpPr>
        </xdr:nvSpPr>
        <xdr:spPr>
          <a:xfrm>
            <a:off x="556" y="885"/>
            <a:ext cx="2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194"/>
          <xdr:cNvSpPr>
            <a:spLocks/>
          </xdr:cNvSpPr>
        </xdr:nvSpPr>
        <xdr:spPr>
          <a:xfrm>
            <a:off x="758" y="885"/>
            <a:ext cx="0" cy="29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195"/>
          <xdr:cNvSpPr>
            <a:spLocks/>
          </xdr:cNvSpPr>
        </xdr:nvSpPr>
        <xdr:spPr>
          <a:xfrm flipV="1">
            <a:off x="612" y="892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196"/>
          <xdr:cNvSpPr>
            <a:spLocks/>
          </xdr:cNvSpPr>
        </xdr:nvSpPr>
        <xdr:spPr>
          <a:xfrm>
            <a:off x="612" y="892"/>
            <a:ext cx="1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197"/>
          <xdr:cNvSpPr>
            <a:spLocks/>
          </xdr:cNvSpPr>
        </xdr:nvSpPr>
        <xdr:spPr>
          <a:xfrm>
            <a:off x="746" y="893"/>
            <a:ext cx="0" cy="28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198"/>
          <xdr:cNvSpPr>
            <a:spLocks/>
          </xdr:cNvSpPr>
        </xdr:nvSpPr>
        <xdr:spPr>
          <a:xfrm>
            <a:off x="681" y="911"/>
            <a:ext cx="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199"/>
          <xdr:cNvSpPr>
            <a:spLocks/>
          </xdr:cNvSpPr>
        </xdr:nvSpPr>
        <xdr:spPr>
          <a:xfrm>
            <a:off x="737" y="912"/>
            <a:ext cx="0" cy="26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200"/>
          <xdr:cNvSpPr>
            <a:spLocks/>
          </xdr:cNvSpPr>
        </xdr:nvSpPr>
        <xdr:spPr>
          <a:xfrm>
            <a:off x="730" y="938"/>
            <a:ext cx="0" cy="24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201"/>
          <xdr:cNvSpPr>
            <a:spLocks/>
          </xdr:cNvSpPr>
        </xdr:nvSpPr>
        <xdr:spPr>
          <a:xfrm>
            <a:off x="723" y="1093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202"/>
          <xdr:cNvSpPr>
            <a:spLocks/>
          </xdr:cNvSpPr>
        </xdr:nvSpPr>
        <xdr:spPr>
          <a:xfrm>
            <a:off x="681" y="1115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203"/>
          <xdr:cNvSpPr>
            <a:spLocks/>
          </xdr:cNvSpPr>
        </xdr:nvSpPr>
        <xdr:spPr>
          <a:xfrm>
            <a:off x="680" y="114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204"/>
          <xdr:cNvSpPr>
            <a:spLocks/>
          </xdr:cNvSpPr>
        </xdr:nvSpPr>
        <xdr:spPr>
          <a:xfrm>
            <a:off x="716" y="1144"/>
            <a:ext cx="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205"/>
          <xdr:cNvSpPr>
            <a:spLocks/>
          </xdr:cNvSpPr>
        </xdr:nvSpPr>
        <xdr:spPr>
          <a:xfrm>
            <a:off x="552" y="1066"/>
            <a:ext cx="0" cy="10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206"/>
          <xdr:cNvSpPr>
            <a:spLocks/>
          </xdr:cNvSpPr>
        </xdr:nvSpPr>
        <xdr:spPr>
          <a:xfrm>
            <a:off x="613" y="1107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207"/>
          <xdr:cNvSpPr>
            <a:spLocks/>
          </xdr:cNvSpPr>
        </xdr:nvSpPr>
        <xdr:spPr>
          <a:xfrm>
            <a:off x="612" y="1156"/>
            <a:ext cx="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208"/>
          <xdr:cNvSpPr>
            <a:spLocks/>
          </xdr:cNvSpPr>
        </xdr:nvSpPr>
        <xdr:spPr>
          <a:xfrm>
            <a:off x="707" y="1154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209"/>
          <xdr:cNvSpPr>
            <a:spLocks/>
          </xdr:cNvSpPr>
        </xdr:nvSpPr>
        <xdr:spPr>
          <a:xfrm>
            <a:off x="563" y="1081"/>
            <a:ext cx="0" cy="8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210"/>
          <xdr:cNvSpPr>
            <a:spLocks/>
          </xdr:cNvSpPr>
        </xdr:nvSpPr>
        <xdr:spPr>
          <a:xfrm flipV="1">
            <a:off x="564" y="116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211"/>
          <xdr:cNvSpPr>
            <a:spLocks/>
          </xdr:cNvSpPr>
        </xdr:nvSpPr>
        <xdr:spPr>
          <a:xfrm>
            <a:off x="552" y="1174"/>
            <a:ext cx="1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212"/>
          <xdr:cNvSpPr>
            <a:spLocks/>
          </xdr:cNvSpPr>
        </xdr:nvSpPr>
        <xdr:spPr>
          <a:xfrm>
            <a:off x="698" y="116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213"/>
          <xdr:cNvSpPr>
            <a:spLocks/>
          </xdr:cNvSpPr>
        </xdr:nvSpPr>
        <xdr:spPr>
          <a:xfrm>
            <a:off x="681" y="1174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214"/>
          <xdr:cNvSpPr>
            <a:spLocks/>
          </xdr:cNvSpPr>
        </xdr:nvSpPr>
        <xdr:spPr>
          <a:xfrm>
            <a:off x="723" y="938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215"/>
          <xdr:cNvSpPr>
            <a:spLocks/>
          </xdr:cNvSpPr>
        </xdr:nvSpPr>
        <xdr:spPr>
          <a:xfrm>
            <a:off x="442" y="1180"/>
            <a:ext cx="418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216"/>
          <xdr:cNvSpPr>
            <a:spLocks/>
          </xdr:cNvSpPr>
        </xdr:nvSpPr>
        <xdr:spPr>
          <a:xfrm flipH="1">
            <a:off x="549" y="962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217"/>
          <xdr:cNvSpPr>
            <a:spLocks/>
          </xdr:cNvSpPr>
        </xdr:nvSpPr>
        <xdr:spPr>
          <a:xfrm flipH="1">
            <a:off x="560" y="947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218"/>
          <xdr:cNvSpPr>
            <a:spLocks/>
          </xdr:cNvSpPr>
        </xdr:nvSpPr>
        <xdr:spPr>
          <a:xfrm flipH="1">
            <a:off x="552" y="1065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219"/>
          <xdr:cNvSpPr>
            <a:spLocks/>
          </xdr:cNvSpPr>
        </xdr:nvSpPr>
        <xdr:spPr>
          <a:xfrm flipH="1">
            <a:off x="564" y="1081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590550</xdr:colOff>
      <xdr:row>139</xdr:row>
      <xdr:rowOff>161925</xdr:rowOff>
    </xdr:from>
    <xdr:to>
      <xdr:col>7</xdr:col>
      <xdr:colOff>323850</xdr:colOff>
      <xdr:row>145</xdr:row>
      <xdr:rowOff>133350</xdr:rowOff>
    </xdr:to>
    <xdr:sp>
      <xdr:nvSpPr>
        <xdr:cNvPr id="95" name="Oval 220"/>
        <xdr:cNvSpPr>
          <a:spLocks/>
        </xdr:cNvSpPr>
      </xdr:nvSpPr>
      <xdr:spPr>
        <a:xfrm>
          <a:off x="5448300" y="23536275"/>
          <a:ext cx="952500" cy="942975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140</xdr:row>
      <xdr:rowOff>38100</xdr:rowOff>
    </xdr:from>
    <xdr:to>
      <xdr:col>7</xdr:col>
      <xdr:colOff>485775</xdr:colOff>
      <xdr:row>140</xdr:row>
      <xdr:rowOff>38100</xdr:rowOff>
    </xdr:to>
    <xdr:sp>
      <xdr:nvSpPr>
        <xdr:cNvPr id="96" name="Line 221"/>
        <xdr:cNvSpPr>
          <a:spLocks/>
        </xdr:cNvSpPr>
      </xdr:nvSpPr>
      <xdr:spPr>
        <a:xfrm>
          <a:off x="6257925" y="23574375"/>
          <a:ext cx="3048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140</xdr:row>
      <xdr:rowOff>38100</xdr:rowOff>
    </xdr:from>
    <xdr:to>
      <xdr:col>7</xdr:col>
      <xdr:colOff>485775</xdr:colOff>
      <xdr:row>152</xdr:row>
      <xdr:rowOff>47625</xdr:rowOff>
    </xdr:to>
    <xdr:sp>
      <xdr:nvSpPr>
        <xdr:cNvPr id="97" name="Line 222"/>
        <xdr:cNvSpPr>
          <a:spLocks/>
        </xdr:cNvSpPr>
      </xdr:nvSpPr>
      <xdr:spPr>
        <a:xfrm>
          <a:off x="6562725" y="23574375"/>
          <a:ext cx="0" cy="19526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145</xdr:row>
      <xdr:rowOff>85725</xdr:rowOff>
    </xdr:from>
    <xdr:to>
      <xdr:col>7</xdr:col>
      <xdr:colOff>457200</xdr:colOff>
      <xdr:row>145</xdr:row>
      <xdr:rowOff>85725</xdr:rowOff>
    </xdr:to>
    <xdr:sp>
      <xdr:nvSpPr>
        <xdr:cNvPr id="98" name="Line 223"/>
        <xdr:cNvSpPr>
          <a:spLocks/>
        </xdr:cNvSpPr>
      </xdr:nvSpPr>
      <xdr:spPr>
        <a:xfrm>
          <a:off x="6181725" y="24431625"/>
          <a:ext cx="3524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6"/>
  <sheetViews>
    <sheetView workbookViewId="0" topLeftCell="A1">
      <selection activeCell="C24" sqref="C24"/>
    </sheetView>
  </sheetViews>
  <sheetFormatPr defaultColWidth="9.140625" defaultRowHeight="12.75"/>
  <cols>
    <col min="1" max="1" width="1.28515625" style="0" customWidth="1"/>
    <col min="2" max="2" width="1.57421875" style="0" customWidth="1"/>
    <col min="3" max="3" width="32.28125" style="0" customWidth="1"/>
    <col min="4" max="6" width="10.7109375" style="0" customWidth="1"/>
    <col min="7" max="8" width="10.7109375" style="19" customWidth="1"/>
    <col min="9" max="10" width="10.7109375" style="0" customWidth="1"/>
    <col min="11" max="11" width="12.57421875" style="0" customWidth="1"/>
    <col min="12" max="12" width="12.28125" style="0" customWidth="1"/>
    <col min="13" max="13" width="11.00390625" style="0" customWidth="1"/>
    <col min="14" max="14" width="10.7109375" style="0" customWidth="1"/>
    <col min="15" max="15" width="10.28125" style="0" customWidth="1"/>
    <col min="16" max="17" width="10.140625" style="0" bestFit="1" customWidth="1"/>
    <col min="18" max="19" width="11.421875" style="0" bestFit="1" customWidth="1"/>
    <col min="20" max="20" width="9.8515625" style="0" bestFit="1" customWidth="1"/>
    <col min="21" max="21" width="10.140625" style="0" bestFit="1" customWidth="1"/>
  </cols>
  <sheetData>
    <row r="1" spans="1:20" s="2" customFormat="1" ht="20.25">
      <c r="A1" s="101" t="s">
        <v>184</v>
      </c>
      <c r="B1" s="101"/>
      <c r="C1" s="101"/>
      <c r="D1" s="101"/>
      <c r="E1" s="101"/>
      <c r="G1" s="16"/>
      <c r="H1" s="16"/>
      <c r="L1" s="2">
        <f>11</f>
        <v>11</v>
      </c>
      <c r="O1" s="100" t="s">
        <v>115</v>
      </c>
      <c r="P1" s="100"/>
      <c r="Q1" s="100"/>
      <c r="R1" s="100"/>
      <c r="S1" s="100"/>
      <c r="T1" s="100"/>
    </row>
    <row r="2" spans="1:20" s="2" customFormat="1" ht="15.75">
      <c r="A2" s="21"/>
      <c r="B2" s="21"/>
      <c r="C2" s="21"/>
      <c r="D2" s="21"/>
      <c r="E2" s="21"/>
      <c r="G2" s="16"/>
      <c r="H2" s="16"/>
      <c r="O2" s="25"/>
      <c r="P2" s="25"/>
      <c r="Q2" s="25"/>
      <c r="R2" s="25"/>
      <c r="S2" s="25"/>
      <c r="T2" s="25"/>
    </row>
    <row r="3" spans="1:20" s="2" customFormat="1" ht="18.75" thickBot="1">
      <c r="A3" s="102" t="s">
        <v>30</v>
      </c>
      <c r="B3" s="102"/>
      <c r="C3" s="102"/>
      <c r="D3" s="102"/>
      <c r="E3" s="77"/>
      <c r="F3" s="78"/>
      <c r="G3" s="79"/>
      <c r="H3" s="79"/>
      <c r="I3" s="78"/>
      <c r="J3" s="78"/>
      <c r="K3" s="78"/>
      <c r="O3" s="25"/>
      <c r="P3" s="25"/>
      <c r="Q3" s="25"/>
      <c r="R3" s="25"/>
      <c r="S3" s="25"/>
      <c r="T3" s="25"/>
    </row>
    <row r="4" spans="2:21" s="3" customFormat="1" ht="27.75" customHeight="1">
      <c r="B4" s="7" t="s">
        <v>0</v>
      </c>
      <c r="C4" s="7"/>
      <c r="D4" s="3" t="s">
        <v>1</v>
      </c>
      <c r="E4" s="3" t="s">
        <v>191</v>
      </c>
      <c r="F4" s="3" t="s">
        <v>3</v>
      </c>
      <c r="G4" s="17" t="s">
        <v>172</v>
      </c>
      <c r="H4" s="17" t="s">
        <v>173</v>
      </c>
      <c r="I4" s="1" t="s">
        <v>4</v>
      </c>
      <c r="J4" s="2"/>
      <c r="K4" s="2"/>
      <c r="L4" s="2"/>
      <c r="M4" s="2"/>
      <c r="N4" s="3" t="s">
        <v>111</v>
      </c>
      <c r="O4" s="17">
        <v>37530</v>
      </c>
      <c r="P4" s="17">
        <v>37895</v>
      </c>
      <c r="Q4" s="17">
        <v>38261</v>
      </c>
      <c r="R4" s="17">
        <v>38626</v>
      </c>
      <c r="S4" s="17">
        <v>38991</v>
      </c>
      <c r="T4" s="17">
        <v>39356</v>
      </c>
      <c r="U4" s="17">
        <v>39722</v>
      </c>
    </row>
    <row r="5" spans="7:13" s="4" customFormat="1" ht="12.75">
      <c r="G5" s="18"/>
      <c r="H5" s="18"/>
      <c r="L5" s="5"/>
      <c r="M5" s="5"/>
    </row>
    <row r="6" spans="1:21" ht="12.75">
      <c r="A6" s="99" t="s">
        <v>7</v>
      </c>
      <c r="B6" s="99"/>
      <c r="C6" s="99"/>
      <c r="D6" s="99"/>
      <c r="E6" s="8"/>
      <c r="I6" s="14"/>
      <c r="J6" s="14"/>
      <c r="K6" s="14"/>
      <c r="L6" s="14"/>
      <c r="M6" s="14"/>
      <c r="U6" s="30"/>
    </row>
    <row r="7" spans="3:25" ht="12.75">
      <c r="C7" t="str">
        <f>CONCATENATE("( ",ROUND(W7,0),"% of design schedule)")</f>
        <v>( 50% of design schedule)</v>
      </c>
      <c r="D7" s="31">
        <f>X7*Engr!$I$24</f>
        <v>0</v>
      </c>
      <c r="E7" s="8"/>
      <c r="F7" s="6" t="s">
        <v>9</v>
      </c>
      <c r="G7" s="34">
        <f>Engr!B$39</f>
        <v>38798</v>
      </c>
      <c r="H7" s="34">
        <f>Engr!D$39</f>
        <v>38840</v>
      </c>
      <c r="I7" s="14" t="s">
        <v>46</v>
      </c>
      <c r="J7" s="14"/>
      <c r="K7" s="14"/>
      <c r="L7" s="14"/>
      <c r="M7" s="14"/>
      <c r="N7" s="41">
        <f>(H7-G7)/7</f>
        <v>6</v>
      </c>
      <c r="O7" s="41">
        <f aca="true" t="shared" si="0" ref="O7:T11">(1/7)*IF((OR((O$4&gt;=$H7),(P$4&lt;=$G7))),0,IF(AND((O$4&lt;=$G7),(P$4&gt;=$H7)),($H7-$G7),IF(AND((O$4&gt;=$G7),(P$4&gt;=$H7)),($H7-O$4),IF(AND((O$4&gt;=$G7),($H7&gt;=P$4)),365,IF(AND((O$4&lt;=$G7),($H7&gt;=P$4)),(P$4-$G7))))))</f>
        <v>0</v>
      </c>
      <c r="P7" s="41">
        <f t="shared" si="0"/>
        <v>0</v>
      </c>
      <c r="Q7" s="41">
        <f t="shared" si="0"/>
        <v>0</v>
      </c>
      <c r="R7" s="41">
        <f t="shared" si="0"/>
        <v>6</v>
      </c>
      <c r="S7" s="41">
        <f t="shared" si="0"/>
        <v>0</v>
      </c>
      <c r="T7" s="41">
        <f t="shared" si="0"/>
        <v>0</v>
      </c>
      <c r="U7" s="41"/>
      <c r="W7">
        <f>100*X7</f>
        <v>50</v>
      </c>
      <c r="X7" s="67">
        <f>Engr!C39/(Engr!C39+Engr!C40)</f>
        <v>0.5</v>
      </c>
      <c r="Y7" t="s">
        <v>178</v>
      </c>
    </row>
    <row r="8" spans="4:21" ht="12.75">
      <c r="D8" s="31">
        <f>X7*Engr!$K$24</f>
        <v>0</v>
      </c>
      <c r="E8" s="8"/>
      <c r="F8" s="6" t="s">
        <v>11</v>
      </c>
      <c r="G8" s="34">
        <f>Engr!B$39</f>
        <v>38798</v>
      </c>
      <c r="H8" s="34">
        <f>Engr!D$39</f>
        <v>38840</v>
      </c>
      <c r="I8" s="14" t="s">
        <v>45</v>
      </c>
      <c r="J8" s="14"/>
      <c r="K8" s="14"/>
      <c r="L8" s="14"/>
      <c r="M8" s="14"/>
      <c r="N8" s="41">
        <f>(H8-G8)/7</f>
        <v>6</v>
      </c>
      <c r="O8" s="41">
        <f t="shared" si="0"/>
        <v>0</v>
      </c>
      <c r="P8" s="41">
        <f t="shared" si="0"/>
        <v>0</v>
      </c>
      <c r="Q8" s="41">
        <f t="shared" si="0"/>
        <v>0</v>
      </c>
      <c r="R8" s="41">
        <f t="shared" si="0"/>
        <v>6</v>
      </c>
      <c r="S8" s="41">
        <f t="shared" si="0"/>
        <v>0</v>
      </c>
      <c r="T8" s="41">
        <f t="shared" si="0"/>
        <v>0</v>
      </c>
      <c r="U8" s="41"/>
    </row>
    <row r="9" spans="4:21" ht="12.75">
      <c r="D9" s="31">
        <f>X7*Engr!$M$24</f>
        <v>82</v>
      </c>
      <c r="E9" s="8"/>
      <c r="F9" s="6" t="s">
        <v>12</v>
      </c>
      <c r="G9" s="34">
        <f>Engr!B$39</f>
        <v>38798</v>
      </c>
      <c r="H9" s="34">
        <f>Engr!D$39</f>
        <v>38840</v>
      </c>
      <c r="I9" s="14" t="s">
        <v>48</v>
      </c>
      <c r="J9" s="14"/>
      <c r="K9" s="14"/>
      <c r="L9" s="14"/>
      <c r="M9" s="14"/>
      <c r="N9" s="41">
        <f>(H9-G9)/7</f>
        <v>6</v>
      </c>
      <c r="O9" s="41">
        <f t="shared" si="0"/>
        <v>0</v>
      </c>
      <c r="P9" s="41">
        <f t="shared" si="0"/>
        <v>0</v>
      </c>
      <c r="Q9" s="41">
        <f t="shared" si="0"/>
        <v>0</v>
      </c>
      <c r="R9" s="41">
        <f t="shared" si="0"/>
        <v>6</v>
      </c>
      <c r="S9" s="41">
        <f t="shared" si="0"/>
        <v>0</v>
      </c>
      <c r="T9" s="41">
        <f t="shared" si="0"/>
        <v>0</v>
      </c>
      <c r="U9" s="41"/>
    </row>
    <row r="10" spans="4:21" ht="12.75">
      <c r="D10" s="31">
        <f>X7*Engr!$O$24</f>
        <v>80</v>
      </c>
      <c r="E10" s="8"/>
      <c r="F10" s="6" t="s">
        <v>174</v>
      </c>
      <c r="G10" s="34">
        <f>Engr!B$39</f>
        <v>38798</v>
      </c>
      <c r="H10" s="34">
        <f>Engr!D$39</f>
        <v>38840</v>
      </c>
      <c r="I10" s="14" t="s">
        <v>98</v>
      </c>
      <c r="J10" s="14"/>
      <c r="K10" s="14"/>
      <c r="L10" s="14"/>
      <c r="M10" s="14"/>
      <c r="N10" s="41">
        <f>(H10-G10)/7</f>
        <v>6</v>
      </c>
      <c r="O10" s="41">
        <f t="shared" si="0"/>
        <v>0</v>
      </c>
      <c r="P10" s="41">
        <f t="shared" si="0"/>
        <v>0</v>
      </c>
      <c r="Q10" s="41">
        <f t="shared" si="0"/>
        <v>0</v>
      </c>
      <c r="R10" s="41">
        <f t="shared" si="0"/>
        <v>6</v>
      </c>
      <c r="S10" s="41">
        <f t="shared" si="0"/>
        <v>0</v>
      </c>
      <c r="T10" s="41">
        <f t="shared" si="0"/>
        <v>0</v>
      </c>
      <c r="U10" s="41"/>
    </row>
    <row r="11" spans="4:21" ht="12.75">
      <c r="D11" s="31">
        <f>X7*Engr!$Q$24</f>
        <v>80</v>
      </c>
      <c r="E11" s="8"/>
      <c r="F11" s="6" t="s">
        <v>175</v>
      </c>
      <c r="G11" s="34">
        <f>Engr!B$39</f>
        <v>38798</v>
      </c>
      <c r="H11" s="34">
        <f>Engr!D$39</f>
        <v>38840</v>
      </c>
      <c r="I11" s="14" t="s">
        <v>97</v>
      </c>
      <c r="J11" s="14"/>
      <c r="K11" s="14"/>
      <c r="L11" s="14"/>
      <c r="M11" s="14"/>
      <c r="N11" s="41">
        <f>(H11-G11)/7</f>
        <v>6</v>
      </c>
      <c r="O11" s="41">
        <f t="shared" si="0"/>
        <v>0</v>
      </c>
      <c r="P11" s="41">
        <f t="shared" si="0"/>
        <v>0</v>
      </c>
      <c r="Q11" s="41">
        <f t="shared" si="0"/>
        <v>0</v>
      </c>
      <c r="R11" s="41">
        <f t="shared" si="0"/>
        <v>6</v>
      </c>
      <c r="S11" s="41">
        <f t="shared" si="0"/>
        <v>0</v>
      </c>
      <c r="T11" s="41">
        <f t="shared" si="0"/>
        <v>0</v>
      </c>
      <c r="U11" s="41"/>
    </row>
    <row r="12" spans="5:21" ht="12.75">
      <c r="E12" s="8"/>
      <c r="F12" s="6"/>
      <c r="G12" s="34"/>
      <c r="H12" s="34"/>
      <c r="I12" s="14"/>
      <c r="J12" s="14"/>
      <c r="K12" s="14"/>
      <c r="L12" s="14"/>
      <c r="M12" s="14"/>
      <c r="N12" s="41" t="s">
        <v>32</v>
      </c>
      <c r="O12" s="41"/>
      <c r="P12" s="41"/>
      <c r="Q12" s="41"/>
      <c r="R12" s="41"/>
      <c r="S12" s="41"/>
      <c r="T12" s="41"/>
      <c r="U12" s="41"/>
    </row>
    <row r="13" spans="1:20" ht="12.75">
      <c r="A13" s="99" t="s">
        <v>8</v>
      </c>
      <c r="B13" s="99"/>
      <c r="C13" s="99"/>
      <c r="D13" s="99"/>
      <c r="E13" s="8"/>
      <c r="G13" s="34"/>
      <c r="H13" s="34"/>
      <c r="I13" s="14"/>
      <c r="J13" s="14"/>
      <c r="K13" s="14"/>
      <c r="L13" s="14"/>
      <c r="M13" s="14"/>
      <c r="N13" s="41"/>
      <c r="O13" s="41"/>
      <c r="P13" s="41"/>
      <c r="Q13" s="41"/>
      <c r="R13" s="41"/>
      <c r="S13" s="41"/>
      <c r="T13" s="41"/>
    </row>
    <row r="14" spans="3:25" ht="12.75">
      <c r="C14" t="str">
        <f>CONCATENATE("( ",ROUND(W14,0),"% of design schedule)")</f>
        <v>( 50% of design schedule)</v>
      </c>
      <c r="D14" s="31">
        <f>X14*Engr!$I$24</f>
        <v>0</v>
      </c>
      <c r="E14" s="8"/>
      <c r="F14" s="6" t="s">
        <v>9</v>
      </c>
      <c r="G14" s="34">
        <f>Engr!B$40</f>
        <v>38840</v>
      </c>
      <c r="H14" s="34">
        <f>Engr!D$40</f>
        <v>38882</v>
      </c>
      <c r="I14" s="14" t="s">
        <v>46</v>
      </c>
      <c r="J14" s="14"/>
      <c r="K14" s="14"/>
      <c r="L14" s="14"/>
      <c r="M14" s="14"/>
      <c r="N14" s="41">
        <f>(H14-G14)/7</f>
        <v>6</v>
      </c>
      <c r="O14" s="41">
        <f aca="true" t="shared" si="1" ref="O14:T18">(1/7)*IF((OR((O$4&gt;=$H14),(P$4&lt;=$G14))),0,IF(AND((O$4&lt;=$G14),(P$4&gt;=$H14)),($H14-$G14),IF(AND((O$4&gt;=$G14),(P$4&gt;=$H14)),($H14-O$4),IF(AND((O$4&gt;=$G14),($H14&gt;=P$4)),365,IF(AND((O$4&lt;=$G14),($H14&gt;=P$4)),(P$4-$G14))))))</f>
        <v>0</v>
      </c>
      <c r="P14" s="41">
        <f t="shared" si="1"/>
        <v>0</v>
      </c>
      <c r="Q14" s="41">
        <f t="shared" si="1"/>
        <v>0</v>
      </c>
      <c r="R14" s="41">
        <f t="shared" si="1"/>
        <v>6</v>
      </c>
      <c r="S14" s="41">
        <f t="shared" si="1"/>
        <v>0</v>
      </c>
      <c r="T14" s="41">
        <f t="shared" si="1"/>
        <v>0</v>
      </c>
      <c r="U14" s="41"/>
      <c r="W14">
        <f>100*X14</f>
        <v>50</v>
      </c>
      <c r="X14" s="67">
        <f>1-X7</f>
        <v>0.5</v>
      </c>
      <c r="Y14" t="s">
        <v>179</v>
      </c>
    </row>
    <row r="15" spans="4:21" ht="12.75">
      <c r="D15" s="31">
        <f>X14*Engr!$K$24</f>
        <v>0</v>
      </c>
      <c r="E15" s="8"/>
      <c r="F15" s="6" t="s">
        <v>11</v>
      </c>
      <c r="G15" s="34">
        <f>Engr!B$40</f>
        <v>38840</v>
      </c>
      <c r="H15" s="34">
        <f>Engr!D$40</f>
        <v>38882</v>
      </c>
      <c r="I15" s="14" t="s">
        <v>45</v>
      </c>
      <c r="J15" s="14"/>
      <c r="K15" s="14"/>
      <c r="L15" s="14"/>
      <c r="M15" s="14"/>
      <c r="N15" s="41">
        <f>(H15-G15)/7</f>
        <v>6</v>
      </c>
      <c r="O15" s="41">
        <f t="shared" si="1"/>
        <v>0</v>
      </c>
      <c r="P15" s="41">
        <f t="shared" si="1"/>
        <v>0</v>
      </c>
      <c r="Q15" s="41">
        <f t="shared" si="1"/>
        <v>0</v>
      </c>
      <c r="R15" s="41">
        <f t="shared" si="1"/>
        <v>6</v>
      </c>
      <c r="S15" s="41">
        <f t="shared" si="1"/>
        <v>0</v>
      </c>
      <c r="T15" s="41">
        <f t="shared" si="1"/>
        <v>0</v>
      </c>
      <c r="U15" s="41"/>
    </row>
    <row r="16" spans="4:21" ht="12.75">
      <c r="D16" s="31">
        <f>X14*Engr!$M$24</f>
        <v>82</v>
      </c>
      <c r="E16" s="8"/>
      <c r="F16" s="6" t="s">
        <v>12</v>
      </c>
      <c r="G16" s="34">
        <f>Engr!B$40</f>
        <v>38840</v>
      </c>
      <c r="H16" s="34">
        <f>Engr!D$40</f>
        <v>38882</v>
      </c>
      <c r="I16" s="14" t="s">
        <v>48</v>
      </c>
      <c r="J16" s="14"/>
      <c r="K16" s="14"/>
      <c r="L16" s="14"/>
      <c r="M16" s="14"/>
      <c r="N16" s="41">
        <f>(H16-G16)/7</f>
        <v>6</v>
      </c>
      <c r="O16" s="41">
        <f t="shared" si="1"/>
        <v>0</v>
      </c>
      <c r="P16" s="41">
        <f t="shared" si="1"/>
        <v>0</v>
      </c>
      <c r="Q16" s="41">
        <f t="shared" si="1"/>
        <v>0</v>
      </c>
      <c r="R16" s="41">
        <f t="shared" si="1"/>
        <v>6</v>
      </c>
      <c r="S16" s="41">
        <f t="shared" si="1"/>
        <v>0</v>
      </c>
      <c r="T16" s="41">
        <f t="shared" si="1"/>
        <v>0</v>
      </c>
      <c r="U16" s="41"/>
    </row>
    <row r="17" spans="4:21" ht="12.75">
      <c r="D17" s="31">
        <f>X14*Engr!$O$24</f>
        <v>80</v>
      </c>
      <c r="E17" s="8"/>
      <c r="F17" s="6" t="s">
        <v>174</v>
      </c>
      <c r="G17" s="34">
        <f>Engr!B$40</f>
        <v>38840</v>
      </c>
      <c r="H17" s="34">
        <f>Engr!D$40</f>
        <v>38882</v>
      </c>
      <c r="I17" s="14" t="s">
        <v>49</v>
      </c>
      <c r="J17" s="14"/>
      <c r="K17" s="14"/>
      <c r="L17" s="14"/>
      <c r="M17" s="14"/>
      <c r="N17" s="41">
        <f>(H17-G17)/7</f>
        <v>6</v>
      </c>
      <c r="O17" s="41">
        <f t="shared" si="1"/>
        <v>0</v>
      </c>
      <c r="P17" s="41">
        <f t="shared" si="1"/>
        <v>0</v>
      </c>
      <c r="Q17" s="41">
        <f t="shared" si="1"/>
        <v>0</v>
      </c>
      <c r="R17" s="41">
        <f t="shared" si="1"/>
        <v>6</v>
      </c>
      <c r="S17" s="41">
        <f t="shared" si="1"/>
        <v>0</v>
      </c>
      <c r="T17" s="41">
        <f t="shared" si="1"/>
        <v>0</v>
      </c>
      <c r="U17" s="41"/>
    </row>
    <row r="18" spans="4:21" ht="12.75">
      <c r="D18" s="31">
        <f>X14*Engr!$Q$24</f>
        <v>80</v>
      </c>
      <c r="E18" s="8"/>
      <c r="F18" s="6" t="s">
        <v>175</v>
      </c>
      <c r="G18" s="34">
        <f>Engr!B$40</f>
        <v>38840</v>
      </c>
      <c r="H18" s="34">
        <f>Engr!D$40</f>
        <v>38882</v>
      </c>
      <c r="I18" s="14" t="s">
        <v>97</v>
      </c>
      <c r="J18" s="14"/>
      <c r="K18" s="14"/>
      <c r="L18" s="14"/>
      <c r="M18" s="14"/>
      <c r="N18" s="41">
        <f>(H18-G18)/7</f>
        <v>6</v>
      </c>
      <c r="O18" s="41">
        <f t="shared" si="1"/>
        <v>0</v>
      </c>
      <c r="P18" s="41">
        <f t="shared" si="1"/>
        <v>0</v>
      </c>
      <c r="Q18" s="41">
        <f t="shared" si="1"/>
        <v>0</v>
      </c>
      <c r="R18" s="41">
        <f t="shared" si="1"/>
        <v>6</v>
      </c>
      <c r="S18" s="41">
        <f t="shared" si="1"/>
        <v>0</v>
      </c>
      <c r="T18" s="41">
        <f t="shared" si="1"/>
        <v>0</v>
      </c>
      <c r="U18" s="41"/>
    </row>
    <row r="19" spans="5:21" ht="12.75">
      <c r="E19" s="8"/>
      <c r="G19" s="34"/>
      <c r="H19" s="34"/>
      <c r="I19" s="14"/>
      <c r="J19" s="14"/>
      <c r="K19" s="14"/>
      <c r="L19" s="14"/>
      <c r="M19" s="14"/>
      <c r="N19" s="41"/>
      <c r="O19" s="41"/>
      <c r="P19" s="41"/>
      <c r="Q19" s="41"/>
      <c r="R19" s="41"/>
      <c r="S19" s="41"/>
      <c r="T19" s="41"/>
      <c r="U19" s="41"/>
    </row>
    <row r="20" spans="1:21" ht="12.75">
      <c r="A20" s="99" t="s">
        <v>116</v>
      </c>
      <c r="B20" s="99"/>
      <c r="C20" s="99"/>
      <c r="D20" s="99"/>
      <c r="E20" s="8"/>
      <c r="G20" s="34"/>
      <c r="H20" s="34"/>
      <c r="I20" s="14"/>
      <c r="J20" s="14"/>
      <c r="K20" s="14"/>
      <c r="L20" s="14"/>
      <c r="M20" s="14"/>
      <c r="N20" s="41"/>
      <c r="O20" s="41"/>
      <c r="P20" s="41"/>
      <c r="Q20" s="41"/>
      <c r="R20" s="41"/>
      <c r="S20" s="41"/>
      <c r="T20" s="41"/>
      <c r="U20" s="41"/>
    </row>
    <row r="21" spans="4:21" ht="12.75">
      <c r="D21" s="31">
        <f>'R&amp;D'!I32+'R&amp;D'!I41</f>
        <v>0</v>
      </c>
      <c r="E21" s="8"/>
      <c r="F21" s="6" t="s">
        <v>9</v>
      </c>
      <c r="G21" s="34">
        <f>Engr!B$39</f>
        <v>38798</v>
      </c>
      <c r="H21" s="34">
        <f>Engr!D$39</f>
        <v>38840</v>
      </c>
      <c r="I21" s="14" t="s">
        <v>46</v>
      </c>
      <c r="J21" s="14"/>
      <c r="K21" s="14"/>
      <c r="L21" s="14"/>
      <c r="M21" s="14"/>
      <c r="N21" s="41">
        <f>(H21-G21)/7</f>
        <v>6</v>
      </c>
      <c r="O21" s="41">
        <f aca="true" t="shared" si="2" ref="O21:T25">(1/7)*IF((OR((O$4&gt;=$H21),(P$4&lt;=$G21))),0,IF(AND((O$4&lt;=$G21),(P$4&gt;=$H21)),($H21-$G21),IF(AND((O$4&gt;=$G21),(P$4&gt;=$H21)),($H21-O$4),IF(AND((O$4&gt;=$G21),($H21&gt;=P$4)),365,IF(AND((O$4&lt;=$G21),($H21&gt;=P$4)),(P$4-$G21))))))</f>
        <v>0</v>
      </c>
      <c r="P21" s="41">
        <f t="shared" si="2"/>
        <v>0</v>
      </c>
      <c r="Q21" s="41">
        <f t="shared" si="2"/>
        <v>0</v>
      </c>
      <c r="R21" s="41">
        <f t="shared" si="2"/>
        <v>6</v>
      </c>
      <c r="S21" s="41">
        <f t="shared" si="2"/>
        <v>0</v>
      </c>
      <c r="T21" s="41">
        <f t="shared" si="2"/>
        <v>0</v>
      </c>
      <c r="U21" s="41"/>
    </row>
    <row r="22" spans="4:21" ht="12.75">
      <c r="D22" s="31">
        <f>'R&amp;D'!K32+'R&amp;D'!K41</f>
        <v>0</v>
      </c>
      <c r="E22" s="8"/>
      <c r="F22" s="6" t="s">
        <v>11</v>
      </c>
      <c r="G22" s="34">
        <f>Engr!B$39</f>
        <v>38798</v>
      </c>
      <c r="H22" s="34">
        <f>Engr!D$39</f>
        <v>38840</v>
      </c>
      <c r="I22" s="14" t="s">
        <v>45</v>
      </c>
      <c r="J22" s="14"/>
      <c r="K22" s="14"/>
      <c r="L22" s="14"/>
      <c r="M22" s="14"/>
      <c r="N22" s="41">
        <f>(H22-G22)/7</f>
        <v>6</v>
      </c>
      <c r="O22" s="41">
        <f t="shared" si="2"/>
        <v>0</v>
      </c>
      <c r="P22" s="41">
        <f t="shared" si="2"/>
        <v>0</v>
      </c>
      <c r="Q22" s="41">
        <f t="shared" si="2"/>
        <v>0</v>
      </c>
      <c r="R22" s="41">
        <f t="shared" si="2"/>
        <v>6</v>
      </c>
      <c r="S22" s="41">
        <f t="shared" si="2"/>
        <v>0</v>
      </c>
      <c r="T22" s="41">
        <f t="shared" si="2"/>
        <v>0</v>
      </c>
      <c r="U22" s="41"/>
    </row>
    <row r="23" spans="4:21" ht="12.75">
      <c r="D23" s="31">
        <f>'R&amp;D'!M32+'R&amp;D'!M41</f>
        <v>0</v>
      </c>
      <c r="E23" s="8"/>
      <c r="F23" s="6" t="s">
        <v>12</v>
      </c>
      <c r="G23" s="34">
        <f>Engr!B$39</f>
        <v>38798</v>
      </c>
      <c r="H23" s="34">
        <f>Engr!D$39</f>
        <v>38840</v>
      </c>
      <c r="I23" s="14" t="s">
        <v>48</v>
      </c>
      <c r="J23" s="14"/>
      <c r="K23" s="14"/>
      <c r="L23" s="14"/>
      <c r="M23" s="14"/>
      <c r="N23" s="41">
        <f>(H23-G23)/7</f>
        <v>6</v>
      </c>
      <c r="O23" s="41">
        <f t="shared" si="2"/>
        <v>0</v>
      </c>
      <c r="P23" s="41">
        <f t="shared" si="2"/>
        <v>0</v>
      </c>
      <c r="Q23" s="41">
        <f t="shared" si="2"/>
        <v>0</v>
      </c>
      <c r="R23" s="41">
        <f t="shared" si="2"/>
        <v>6</v>
      </c>
      <c r="S23" s="41">
        <f t="shared" si="2"/>
        <v>0</v>
      </c>
      <c r="T23" s="41">
        <f t="shared" si="2"/>
        <v>0</v>
      </c>
      <c r="U23" s="41"/>
    </row>
    <row r="24" spans="4:21" ht="12.75">
      <c r="D24" s="31">
        <f>'R&amp;D'!O32+'R&amp;D'!O41</f>
        <v>0</v>
      </c>
      <c r="E24" s="8"/>
      <c r="F24" s="6" t="s">
        <v>10</v>
      </c>
      <c r="G24" s="34">
        <f>Engr!B$39</f>
        <v>38798</v>
      </c>
      <c r="H24" s="34">
        <f>Engr!D$39</f>
        <v>38840</v>
      </c>
      <c r="I24" s="14" t="s">
        <v>47</v>
      </c>
      <c r="J24" s="14"/>
      <c r="K24" s="14"/>
      <c r="L24" s="14"/>
      <c r="M24" s="14"/>
      <c r="N24" s="41">
        <f>(H24-G24)/7</f>
        <v>6</v>
      </c>
      <c r="O24" s="41">
        <f t="shared" si="2"/>
        <v>0</v>
      </c>
      <c r="P24" s="41">
        <f t="shared" si="2"/>
        <v>0</v>
      </c>
      <c r="Q24" s="41">
        <f t="shared" si="2"/>
        <v>0</v>
      </c>
      <c r="R24" s="41">
        <f t="shared" si="2"/>
        <v>6</v>
      </c>
      <c r="S24" s="41">
        <f t="shared" si="2"/>
        <v>0</v>
      </c>
      <c r="T24" s="41">
        <f t="shared" si="2"/>
        <v>0</v>
      </c>
      <c r="U24" s="41"/>
    </row>
    <row r="25" spans="4:21" ht="12.75">
      <c r="D25" s="31">
        <f>'R&amp;D'!Q41</f>
        <v>0</v>
      </c>
      <c r="E25" s="8"/>
      <c r="F25" s="6" t="s">
        <v>113</v>
      </c>
      <c r="G25" s="34">
        <f>Engr!B$39</f>
        <v>38798</v>
      </c>
      <c r="H25" s="34">
        <f>Engr!D$39</f>
        <v>38840</v>
      </c>
      <c r="I25" s="14" t="s">
        <v>114</v>
      </c>
      <c r="J25" s="14"/>
      <c r="K25" s="14"/>
      <c r="L25" s="14"/>
      <c r="M25" s="91"/>
      <c r="N25" s="41">
        <f>(H25-G25)/7</f>
        <v>6</v>
      </c>
      <c r="O25" s="41">
        <f t="shared" si="2"/>
        <v>0</v>
      </c>
      <c r="P25" s="41">
        <f t="shared" si="2"/>
        <v>0</v>
      </c>
      <c r="Q25" s="41">
        <f t="shared" si="2"/>
        <v>0</v>
      </c>
      <c r="R25" s="41">
        <f t="shared" si="2"/>
        <v>6</v>
      </c>
      <c r="S25" s="41">
        <f t="shared" si="2"/>
        <v>0</v>
      </c>
      <c r="T25" s="41">
        <f t="shared" si="2"/>
        <v>0</v>
      </c>
      <c r="U25" s="41"/>
    </row>
    <row r="26" spans="5:21" ht="12.75">
      <c r="E26" s="8"/>
      <c r="F26" s="6"/>
      <c r="G26" s="34"/>
      <c r="H26" s="34"/>
      <c r="I26" s="14"/>
      <c r="J26" s="14"/>
      <c r="K26" s="14"/>
      <c r="L26" s="14"/>
      <c r="M26" s="14"/>
      <c r="N26" s="41"/>
      <c r="O26" s="41"/>
      <c r="P26" s="41"/>
      <c r="Q26" s="41"/>
      <c r="R26" s="41"/>
      <c r="S26" s="41"/>
      <c r="T26" s="41"/>
      <c r="U26" s="41"/>
    </row>
    <row r="27" spans="1:20" ht="12.75">
      <c r="A27" s="99" t="s">
        <v>29</v>
      </c>
      <c r="B27" s="99"/>
      <c r="C27" s="99"/>
      <c r="D27" s="99"/>
      <c r="E27" s="8"/>
      <c r="G27" s="34"/>
      <c r="H27" s="34"/>
      <c r="I27" s="14"/>
      <c r="J27" s="14"/>
      <c r="K27" s="14"/>
      <c r="L27" s="14"/>
      <c r="M27" s="14"/>
      <c r="N27" s="41"/>
      <c r="O27" s="41"/>
      <c r="P27" s="41"/>
      <c r="Q27" s="41"/>
      <c r="R27" s="41"/>
      <c r="S27" s="41"/>
      <c r="T27" s="41"/>
    </row>
    <row r="28" spans="4:20" ht="12.75">
      <c r="D28" s="31">
        <f>Engr!I35+Fab_assy!I16+Fab_assy!I27</f>
        <v>0</v>
      </c>
      <c r="E28" s="8"/>
      <c r="F28" s="6" t="s">
        <v>9</v>
      </c>
      <c r="G28" s="34">
        <f>Engr!B$41</f>
        <v>38882</v>
      </c>
      <c r="H28" s="34">
        <f>Engr!D$43</f>
        <v>39022</v>
      </c>
      <c r="I28" s="14" t="s">
        <v>46</v>
      </c>
      <c r="J28" s="14"/>
      <c r="K28" s="14"/>
      <c r="L28" s="14"/>
      <c r="M28" s="14"/>
      <c r="N28" s="41">
        <f>(H28-G28)/7</f>
        <v>20</v>
      </c>
      <c r="O28" s="41">
        <f aca="true" t="shared" si="3" ref="O28:T28">(1/7)*IF((OR((O$4&gt;=$H28),(P$4&lt;=$G28))),0,IF(AND((O$4&lt;=$G28),(P$4&gt;=$H28)),($H28-$G28),IF(AND((O$4&gt;=$G28),(P$4&gt;=$H28)),($H28-O$4),IF(AND((O$4&gt;=$G28),($H28&gt;=P$4)),365,IF(AND((O$4&lt;=$G28),($H28&gt;=P$4)),(P$4-$G28))))))</f>
        <v>0</v>
      </c>
      <c r="P28" s="41">
        <f t="shared" si="3"/>
        <v>0</v>
      </c>
      <c r="Q28" s="41">
        <f t="shared" si="3"/>
        <v>0</v>
      </c>
      <c r="R28" s="41">
        <f t="shared" si="3"/>
        <v>15.571428571428571</v>
      </c>
      <c r="S28" s="41">
        <f t="shared" si="3"/>
        <v>4.428571428571428</v>
      </c>
      <c r="T28" s="41">
        <f t="shared" si="3"/>
        <v>0</v>
      </c>
    </row>
    <row r="29" spans="4:20" ht="12.75">
      <c r="D29" s="31">
        <f>Engr!K35</f>
        <v>0</v>
      </c>
      <c r="E29" s="8"/>
      <c r="F29" s="6" t="s">
        <v>11</v>
      </c>
      <c r="G29" s="34">
        <f>Engr!B$41</f>
        <v>38882</v>
      </c>
      <c r="H29" s="34">
        <f>Engr!D$43</f>
        <v>39022</v>
      </c>
      <c r="I29" s="14" t="s">
        <v>45</v>
      </c>
      <c r="J29" s="14"/>
      <c r="K29" s="14"/>
      <c r="L29" s="14"/>
      <c r="M29" s="14"/>
      <c r="N29" s="41">
        <f>(H29-G29)/7</f>
        <v>20</v>
      </c>
      <c r="O29" s="41">
        <f aca="true" t="shared" si="4" ref="O29:T32">(1/7)*IF((OR((O$4&gt;=$H29),(P$4&lt;=$G29))),0,IF(AND((O$4&lt;=$G29),(P$4&gt;=$H29)),($H29-$G29),IF(AND((O$4&gt;=$G29),(P$4&gt;=$H29)),($H29-O$4),IF(AND((O$4&gt;=$G29),($H29&gt;=P$4)),365,IF(AND((O$4&lt;=$G29),($H29&gt;=P$4)),(P$4-$G29))))))</f>
        <v>0</v>
      </c>
      <c r="P29" s="41">
        <f t="shared" si="4"/>
        <v>0</v>
      </c>
      <c r="Q29" s="41">
        <f t="shared" si="4"/>
        <v>0</v>
      </c>
      <c r="R29" s="41">
        <f t="shared" si="4"/>
        <v>15.571428571428571</v>
      </c>
      <c r="S29" s="41">
        <f t="shared" si="4"/>
        <v>4.428571428571428</v>
      </c>
      <c r="T29" s="41">
        <f t="shared" si="4"/>
        <v>0</v>
      </c>
    </row>
    <row r="30" spans="4:20" ht="12.75">
      <c r="D30" s="31">
        <f>Engr!O35+Fab_assy!O16+Fab_assy!O27</f>
        <v>0</v>
      </c>
      <c r="E30" s="8"/>
      <c r="F30" s="6" t="s">
        <v>12</v>
      </c>
      <c r="G30" s="34">
        <f>Engr!B$41</f>
        <v>38882</v>
      </c>
      <c r="H30" s="34">
        <f>Engr!D$43</f>
        <v>39022</v>
      </c>
      <c r="I30" s="14" t="s">
        <v>48</v>
      </c>
      <c r="J30" s="14"/>
      <c r="K30" s="14"/>
      <c r="L30" s="14"/>
      <c r="M30" s="14"/>
      <c r="N30" s="41">
        <f>(H30-G30)/7</f>
        <v>20</v>
      </c>
      <c r="O30" s="41">
        <f t="shared" si="4"/>
        <v>0</v>
      </c>
      <c r="P30" s="41">
        <f t="shared" si="4"/>
        <v>0</v>
      </c>
      <c r="Q30" s="41">
        <f t="shared" si="4"/>
        <v>0</v>
      </c>
      <c r="R30" s="41">
        <f t="shared" si="4"/>
        <v>15.571428571428571</v>
      </c>
      <c r="S30" s="41">
        <f t="shared" si="4"/>
        <v>4.428571428571428</v>
      </c>
      <c r="T30" s="41">
        <f t="shared" si="4"/>
        <v>0</v>
      </c>
    </row>
    <row r="31" spans="4:20" ht="12.75">
      <c r="D31" s="31">
        <f>Engr!K35+Fab_assy!K16+Fab_assy!K27</f>
        <v>0</v>
      </c>
      <c r="E31" s="8"/>
      <c r="F31" s="6" t="s">
        <v>10</v>
      </c>
      <c r="G31" s="34">
        <f>Engr!B$41</f>
        <v>38882</v>
      </c>
      <c r="H31" s="34">
        <f>Engr!D$43</f>
        <v>39022</v>
      </c>
      <c r="I31" s="14" t="s">
        <v>47</v>
      </c>
      <c r="J31" s="14"/>
      <c r="K31" s="14"/>
      <c r="L31" s="14"/>
      <c r="M31" s="14"/>
      <c r="N31" s="41">
        <f>(H31-G31)/7</f>
        <v>20</v>
      </c>
      <c r="O31" s="41">
        <f t="shared" si="4"/>
        <v>0</v>
      </c>
      <c r="P31" s="41">
        <f t="shared" si="4"/>
        <v>0</v>
      </c>
      <c r="Q31" s="41">
        <f t="shared" si="4"/>
        <v>0</v>
      </c>
      <c r="R31" s="41">
        <f t="shared" si="4"/>
        <v>15.571428571428571</v>
      </c>
      <c r="S31" s="41">
        <f t="shared" si="4"/>
        <v>4.428571428571428</v>
      </c>
      <c r="T31" s="41">
        <f t="shared" si="4"/>
        <v>0</v>
      </c>
    </row>
    <row r="32" spans="4:20" ht="12.75">
      <c r="D32" s="31">
        <f>Fab_assy!M16+Fab_assy!M27</f>
        <v>0</v>
      </c>
      <c r="E32" s="8"/>
      <c r="F32" s="6" t="s">
        <v>113</v>
      </c>
      <c r="G32" s="34">
        <f>Engr!B$41</f>
        <v>38882</v>
      </c>
      <c r="H32" s="34">
        <f>Engr!D$43</f>
        <v>39022</v>
      </c>
      <c r="I32" s="14" t="s">
        <v>114</v>
      </c>
      <c r="J32" s="14"/>
      <c r="K32" s="14"/>
      <c r="L32" s="14"/>
      <c r="M32" s="14"/>
      <c r="N32" s="41">
        <f>(H32-G32)/7</f>
        <v>20</v>
      </c>
      <c r="O32" s="41">
        <f t="shared" si="4"/>
        <v>0</v>
      </c>
      <c r="P32" s="41">
        <f t="shared" si="4"/>
        <v>0</v>
      </c>
      <c r="Q32" s="41">
        <f t="shared" si="4"/>
        <v>0</v>
      </c>
      <c r="R32" s="41">
        <f t="shared" si="4"/>
        <v>15.571428571428571</v>
      </c>
      <c r="S32" s="41">
        <f t="shared" si="4"/>
        <v>4.428571428571428</v>
      </c>
      <c r="T32" s="41">
        <f t="shared" si="4"/>
        <v>0</v>
      </c>
    </row>
    <row r="33" spans="4:19" ht="12.75">
      <c r="D33" s="31"/>
      <c r="E33" s="54"/>
      <c r="F33" s="6"/>
      <c r="G33" s="34"/>
      <c r="H33" s="34"/>
      <c r="I33" s="14"/>
      <c r="J33" s="14"/>
      <c r="K33" s="14"/>
      <c r="L33" s="14"/>
      <c r="M33" s="14"/>
      <c r="N33" s="31"/>
      <c r="O33" s="41"/>
      <c r="P33" s="41"/>
      <c r="Q33" s="41"/>
      <c r="R33" s="41"/>
      <c r="S33" s="41"/>
    </row>
    <row r="34" spans="4:19" ht="12.75">
      <c r="D34" s="31"/>
      <c r="E34" s="54"/>
      <c r="F34" s="6"/>
      <c r="G34" s="34"/>
      <c r="H34" s="34"/>
      <c r="I34" s="42"/>
      <c r="J34" s="42"/>
      <c r="K34" s="42"/>
      <c r="L34" s="42"/>
      <c r="M34" s="42"/>
      <c r="N34" s="31"/>
      <c r="O34" s="41"/>
      <c r="P34" s="41"/>
      <c r="Q34" s="41"/>
      <c r="R34" s="41"/>
      <c r="S34" s="41"/>
    </row>
    <row r="35" spans="1:19" ht="18.75" thickBot="1">
      <c r="A35" s="102" t="s">
        <v>30</v>
      </c>
      <c r="B35" s="102"/>
      <c r="C35" s="102"/>
      <c r="D35" s="102"/>
      <c r="E35" s="83"/>
      <c r="F35" s="84"/>
      <c r="G35" s="85"/>
      <c r="H35" s="85"/>
      <c r="I35" s="86"/>
      <c r="J35" s="86"/>
      <c r="K35" s="86"/>
      <c r="L35" s="42"/>
      <c r="M35" s="42"/>
      <c r="N35" s="31"/>
      <c r="O35" s="41"/>
      <c r="P35" s="41"/>
      <c r="Q35" s="41"/>
      <c r="R35" s="41"/>
      <c r="S35" s="41"/>
    </row>
    <row r="36" spans="1:19" ht="18">
      <c r="A36" s="82"/>
      <c r="B36" s="82"/>
      <c r="C36" s="82"/>
      <c r="D36" s="82"/>
      <c r="E36" s="87"/>
      <c r="F36" s="88"/>
      <c r="G36" s="89"/>
      <c r="H36" s="89"/>
      <c r="I36" s="90"/>
      <c r="J36" s="90"/>
      <c r="K36" s="90"/>
      <c r="L36" s="42"/>
      <c r="M36" s="42"/>
      <c r="N36" s="31"/>
      <c r="O36" s="41"/>
      <c r="P36" s="41"/>
      <c r="Q36" s="41"/>
      <c r="R36" s="41"/>
      <c r="S36" s="41"/>
    </row>
    <row r="37" spans="5:12" ht="12.75">
      <c r="E37" s="104" t="s">
        <v>140</v>
      </c>
      <c r="F37" s="104"/>
      <c r="G37" s="104"/>
      <c r="H37" s="104"/>
      <c r="I37" s="104"/>
      <c r="J37" s="104"/>
      <c r="K37" s="104"/>
      <c r="L37" s="6"/>
    </row>
    <row r="38" spans="1:12" ht="15">
      <c r="A38" s="59"/>
      <c r="B38" s="59"/>
      <c r="C38" s="59"/>
      <c r="D38" s="59"/>
      <c r="E38" s="72"/>
      <c r="F38" s="72"/>
      <c r="G38" s="72"/>
      <c r="H38" s="72"/>
      <c r="I38" s="72"/>
      <c r="J38" s="72"/>
      <c r="K38" s="72"/>
      <c r="L38" s="6"/>
    </row>
    <row r="39" spans="1:19" ht="12.75">
      <c r="A39" s="1" t="s">
        <v>33</v>
      </c>
      <c r="E39" s="1" t="s">
        <v>35</v>
      </c>
      <c r="F39" s="1" t="s">
        <v>36</v>
      </c>
      <c r="G39" s="1" t="s">
        <v>37</v>
      </c>
      <c r="H39" s="1" t="s">
        <v>38</v>
      </c>
      <c r="I39" s="1" t="s">
        <v>39</v>
      </c>
      <c r="J39" s="1" t="s">
        <v>112</v>
      </c>
      <c r="K39" s="25" t="s">
        <v>150</v>
      </c>
      <c r="S39" s="31"/>
    </row>
    <row r="40" spans="1:19" ht="12.75">
      <c r="A40" s="55"/>
      <c r="B40" s="8"/>
      <c r="C40" s="8"/>
      <c r="D40" s="8"/>
      <c r="E40" s="8"/>
      <c r="F40" s="8"/>
      <c r="G40" s="56"/>
      <c r="H40" s="56"/>
      <c r="I40" s="8"/>
      <c r="J40" s="8"/>
      <c r="K40" s="8"/>
      <c r="L40" s="68"/>
      <c r="S40" s="31"/>
    </row>
    <row r="41" spans="2:19" ht="12.75">
      <c r="B41" t="s">
        <v>46</v>
      </c>
      <c r="D41" s="6" t="s">
        <v>9</v>
      </c>
      <c r="E41" s="41">
        <f aca="true" t="shared" si="5" ref="E41:J41">O7*$D7/$N7+O14*$D14/$N14+O21*$D21/$N21+O28*$D28/$N28</f>
        <v>0</v>
      </c>
      <c r="F41" s="41">
        <f t="shared" si="5"/>
        <v>0</v>
      </c>
      <c r="G41" s="41">
        <f t="shared" si="5"/>
        <v>0</v>
      </c>
      <c r="H41" s="41">
        <f t="shared" si="5"/>
        <v>0</v>
      </c>
      <c r="I41" s="41">
        <f t="shared" si="5"/>
        <v>0</v>
      </c>
      <c r="J41" s="41">
        <f t="shared" si="5"/>
        <v>0</v>
      </c>
      <c r="K41" s="73">
        <f>SUM(E41:J41)</f>
        <v>0</v>
      </c>
      <c r="N41" s="44">
        <f>K41*O41</f>
        <v>0</v>
      </c>
      <c r="O41" s="45">
        <v>153</v>
      </c>
      <c r="P41" s="19" t="s">
        <v>118</v>
      </c>
      <c r="S41" s="31"/>
    </row>
    <row r="42" spans="4:19" ht="12.75">
      <c r="D42" s="6"/>
      <c r="E42" s="41"/>
      <c r="F42" s="41"/>
      <c r="G42" s="41"/>
      <c r="H42" s="41"/>
      <c r="I42" s="41"/>
      <c r="J42" s="41"/>
      <c r="K42" s="73"/>
      <c r="N42" s="44"/>
      <c r="O42" s="45"/>
      <c r="P42" s="19"/>
      <c r="S42" s="31"/>
    </row>
    <row r="43" spans="2:16" ht="12.75">
      <c r="B43" t="s">
        <v>45</v>
      </c>
      <c r="D43" s="6" t="s">
        <v>11</v>
      </c>
      <c r="E43" s="41">
        <f aca="true" t="shared" si="6" ref="E43:J43">O8*$D8/$N8+O15*$D15/$N15+O22*$D22/$N22+O29*$D29/$N29</f>
        <v>0</v>
      </c>
      <c r="F43" s="41">
        <f t="shared" si="6"/>
        <v>0</v>
      </c>
      <c r="G43" s="41">
        <f t="shared" si="6"/>
        <v>0</v>
      </c>
      <c r="H43" s="41">
        <f t="shared" si="6"/>
        <v>0</v>
      </c>
      <c r="I43" s="41">
        <f t="shared" si="6"/>
        <v>0</v>
      </c>
      <c r="J43" s="41">
        <f t="shared" si="6"/>
        <v>0</v>
      </c>
      <c r="K43" s="73">
        <f aca="true" t="shared" si="7" ref="K43:K53">SUM(E43:J43)</f>
        <v>0</v>
      </c>
      <c r="N43" s="44">
        <f>K43*O43</f>
        <v>0</v>
      </c>
      <c r="O43" s="45">
        <v>100</v>
      </c>
      <c r="P43" s="19" t="s">
        <v>118</v>
      </c>
    </row>
    <row r="44" spans="4:16" ht="12.75">
      <c r="D44" s="6"/>
      <c r="E44" s="41"/>
      <c r="F44" s="41"/>
      <c r="G44" s="41"/>
      <c r="H44" s="41"/>
      <c r="I44" s="41"/>
      <c r="J44" s="41"/>
      <c r="K44" s="73"/>
      <c r="N44" s="44"/>
      <c r="O44" s="45"/>
      <c r="P44" s="19"/>
    </row>
    <row r="45" spans="2:16" ht="12.75">
      <c r="B45" t="s">
        <v>48</v>
      </c>
      <c r="D45" s="6" t="s">
        <v>12</v>
      </c>
      <c r="E45" s="41">
        <f aca="true" t="shared" si="8" ref="E45:J45">O9*$D9/$N9+O16*$D16/$N16+O23*$D23/$N23+O30*$D30/$N30</f>
        <v>0</v>
      </c>
      <c r="F45" s="41">
        <f t="shared" si="8"/>
        <v>0</v>
      </c>
      <c r="G45" s="41">
        <f t="shared" si="8"/>
        <v>0</v>
      </c>
      <c r="H45" s="41">
        <f t="shared" si="8"/>
        <v>164</v>
      </c>
      <c r="I45" s="41">
        <f t="shared" si="8"/>
        <v>0</v>
      </c>
      <c r="J45" s="41">
        <f t="shared" si="8"/>
        <v>0</v>
      </c>
      <c r="K45" s="73">
        <f t="shared" si="7"/>
        <v>164</v>
      </c>
      <c r="N45" s="44">
        <f>K45*O45</f>
        <v>21320</v>
      </c>
      <c r="O45" s="45">
        <v>130</v>
      </c>
      <c r="P45" s="19" t="s">
        <v>118</v>
      </c>
    </row>
    <row r="46" spans="4:16" ht="12.75">
      <c r="D46" s="6"/>
      <c r="E46" s="41"/>
      <c r="F46" s="41"/>
      <c r="G46" s="41"/>
      <c r="H46" s="41"/>
      <c r="I46" s="41"/>
      <c r="J46" s="41"/>
      <c r="K46" s="73"/>
      <c r="N46" s="44"/>
      <c r="O46" s="45"/>
      <c r="P46" s="19"/>
    </row>
    <row r="47" spans="2:16" ht="12.75">
      <c r="B47" t="s">
        <v>47</v>
      </c>
      <c r="D47" s="6" t="s">
        <v>10</v>
      </c>
      <c r="E47" s="41">
        <f aca="true" t="shared" si="9" ref="E47:J47">O24*$D24/$N24+O31*$D31/$N31</f>
        <v>0</v>
      </c>
      <c r="F47" s="41">
        <f t="shared" si="9"/>
        <v>0</v>
      </c>
      <c r="G47" s="41">
        <f t="shared" si="9"/>
        <v>0</v>
      </c>
      <c r="H47" s="41">
        <f t="shared" si="9"/>
        <v>0</v>
      </c>
      <c r="I47" s="41">
        <f t="shared" si="9"/>
        <v>0</v>
      </c>
      <c r="J47" s="41">
        <f t="shared" si="9"/>
        <v>0</v>
      </c>
      <c r="K47" s="73">
        <f t="shared" si="7"/>
        <v>0</v>
      </c>
      <c r="N47" s="44">
        <f>K47*O47</f>
        <v>0</v>
      </c>
      <c r="O47" s="45">
        <v>100</v>
      </c>
      <c r="P47" s="19" t="s">
        <v>118</v>
      </c>
    </row>
    <row r="48" spans="4:16" ht="12.75">
      <c r="D48" s="6"/>
      <c r="E48" s="41"/>
      <c r="F48" s="41"/>
      <c r="G48" s="41"/>
      <c r="H48" s="41"/>
      <c r="I48" s="41"/>
      <c r="J48" s="41"/>
      <c r="K48" s="73"/>
      <c r="N48" s="44"/>
      <c r="O48" s="45"/>
      <c r="P48" s="19"/>
    </row>
    <row r="49" spans="2:16" ht="12.75">
      <c r="B49" t="s">
        <v>114</v>
      </c>
      <c r="D49" s="6" t="s">
        <v>113</v>
      </c>
      <c r="E49" s="41">
        <f aca="true" t="shared" si="10" ref="E49:J49">O25*$D25/$N25+O32*$D32/$N32</f>
        <v>0</v>
      </c>
      <c r="F49" s="41">
        <f t="shared" si="10"/>
        <v>0</v>
      </c>
      <c r="G49" s="41">
        <f t="shared" si="10"/>
        <v>0</v>
      </c>
      <c r="H49" s="41">
        <f t="shared" si="10"/>
        <v>0</v>
      </c>
      <c r="I49" s="41">
        <f t="shared" si="10"/>
        <v>0</v>
      </c>
      <c r="J49" s="41">
        <f t="shared" si="10"/>
        <v>0</v>
      </c>
      <c r="K49" s="73">
        <f t="shared" si="7"/>
        <v>0</v>
      </c>
      <c r="N49" s="44">
        <f>K49*O49</f>
        <v>0</v>
      </c>
      <c r="O49" s="45">
        <v>73</v>
      </c>
      <c r="P49" s="19" t="s">
        <v>118</v>
      </c>
    </row>
    <row r="50" spans="4:16" ht="12.75">
      <c r="D50" s="6"/>
      <c r="E50" s="41"/>
      <c r="F50" s="41"/>
      <c r="G50" s="41"/>
      <c r="H50" s="41"/>
      <c r="I50" s="41"/>
      <c r="J50" s="41"/>
      <c r="K50" s="73"/>
      <c r="N50" s="44"/>
      <c r="O50" s="45"/>
      <c r="P50" s="19"/>
    </row>
    <row r="51" spans="2:16" ht="12.75">
      <c r="B51" t="s">
        <v>98</v>
      </c>
      <c r="D51" s="6" t="s">
        <v>176</v>
      </c>
      <c r="E51" s="41">
        <f aca="true" t="shared" si="11" ref="E51:J51">O10*$D10/$N10+O17*$D17/$N17</f>
        <v>0</v>
      </c>
      <c r="F51" s="41">
        <f t="shared" si="11"/>
        <v>0</v>
      </c>
      <c r="G51" s="41">
        <f t="shared" si="11"/>
        <v>0</v>
      </c>
      <c r="H51" s="41">
        <f t="shared" si="11"/>
        <v>160</v>
      </c>
      <c r="I51" s="41">
        <f t="shared" si="11"/>
        <v>0</v>
      </c>
      <c r="J51" s="41">
        <f t="shared" si="11"/>
        <v>0</v>
      </c>
      <c r="K51" s="73">
        <f t="shared" si="7"/>
        <v>160</v>
      </c>
      <c r="N51" s="44">
        <f>K51*O51</f>
        <v>25600</v>
      </c>
      <c r="O51" s="45">
        <v>160</v>
      </c>
      <c r="P51" s="19" t="s">
        <v>118</v>
      </c>
    </row>
    <row r="52" spans="4:16" ht="12.75">
      <c r="D52" s="6"/>
      <c r="E52" s="41"/>
      <c r="F52" s="41"/>
      <c r="G52" s="41"/>
      <c r="H52" s="41"/>
      <c r="I52" s="41"/>
      <c r="J52" s="41"/>
      <c r="K52" s="73"/>
      <c r="N52" s="44"/>
      <c r="O52" s="45"/>
      <c r="P52" s="19"/>
    </row>
    <row r="53" spans="2:16" ht="12.75">
      <c r="B53" t="s">
        <v>97</v>
      </c>
      <c r="D53" s="6" t="s">
        <v>177</v>
      </c>
      <c r="E53" s="41">
        <f aca="true" t="shared" si="12" ref="E53:J53">O11*$D11/$N11+O18*$D18/$N18</f>
        <v>0</v>
      </c>
      <c r="F53" s="41">
        <f t="shared" si="12"/>
        <v>0</v>
      </c>
      <c r="G53" s="41">
        <f t="shared" si="12"/>
        <v>0</v>
      </c>
      <c r="H53" s="41">
        <f t="shared" si="12"/>
        <v>160</v>
      </c>
      <c r="I53" s="41">
        <f t="shared" si="12"/>
        <v>0</v>
      </c>
      <c r="J53" s="41">
        <f t="shared" si="12"/>
        <v>0</v>
      </c>
      <c r="K53" s="73">
        <f t="shared" si="7"/>
        <v>160</v>
      </c>
      <c r="N53" s="44">
        <f>K53*O53</f>
        <v>22560</v>
      </c>
      <c r="O53" s="45">
        <v>141</v>
      </c>
      <c r="P53" s="19" t="s">
        <v>118</v>
      </c>
    </row>
    <row r="54" spans="5:12" ht="12.75">
      <c r="E54" s="54"/>
      <c r="F54" s="6"/>
      <c r="G54" s="41"/>
      <c r="H54" s="41"/>
      <c r="I54" s="41"/>
      <c r="J54" s="41"/>
      <c r="K54" s="41"/>
      <c r="L54" s="41"/>
    </row>
    <row r="55" spans="1:16" ht="12.75">
      <c r="A55" s="8"/>
      <c r="B55" s="8"/>
      <c r="C55" s="8"/>
      <c r="D55" s="8"/>
      <c r="E55" s="8"/>
      <c r="F55" s="57"/>
      <c r="G55" s="58"/>
      <c r="H55" s="58"/>
      <c r="I55" s="58"/>
      <c r="J55" s="58"/>
      <c r="K55" s="58"/>
      <c r="L55" s="69"/>
      <c r="M55" s="54"/>
      <c r="N55" s="60">
        <f>K41+K43+K47+K49+K53</f>
        <v>160</v>
      </c>
      <c r="O55" s="44">
        <f>N41+N43+N47+N49+N53</f>
        <v>22560</v>
      </c>
      <c r="P55" s="19" t="s">
        <v>165</v>
      </c>
    </row>
    <row r="56" spans="5:16" ht="12.75">
      <c r="E56" s="54"/>
      <c r="N56" s="60">
        <f>K45+K51</f>
        <v>324</v>
      </c>
      <c r="O56" s="44">
        <f>N45+N51</f>
        <v>46920</v>
      </c>
      <c r="P56" s="19" t="s">
        <v>166</v>
      </c>
    </row>
    <row r="57" spans="1:11" ht="18.75" thickBot="1">
      <c r="A57" s="102" t="s">
        <v>14</v>
      </c>
      <c r="B57" s="102"/>
      <c r="C57" s="102"/>
      <c r="D57" s="102"/>
      <c r="E57" s="75"/>
      <c r="F57" s="75"/>
      <c r="G57" s="80"/>
      <c r="H57" s="80"/>
      <c r="I57" s="75"/>
      <c r="J57" s="75"/>
      <c r="K57" s="75"/>
    </row>
    <row r="58" spans="1:4" ht="15">
      <c r="A58" s="59"/>
      <c r="B58" s="59"/>
      <c r="C58" s="59"/>
      <c r="D58" s="59"/>
    </row>
    <row r="59" spans="1:13" ht="12.75">
      <c r="A59" s="3"/>
      <c r="B59" s="7" t="s">
        <v>0</v>
      </c>
      <c r="C59" s="7"/>
      <c r="D59" s="3"/>
      <c r="E59" s="3" t="s">
        <v>191</v>
      </c>
      <c r="G59" s="70" t="s">
        <v>151</v>
      </c>
      <c r="H59" s="70"/>
      <c r="I59" s="70"/>
      <c r="J59" s="70"/>
      <c r="K59" s="70"/>
      <c r="L59" s="70"/>
      <c r="M59" s="70"/>
    </row>
    <row r="60" spans="1:13" ht="12.75">
      <c r="A60" s="4"/>
      <c r="B60" s="4"/>
      <c r="C60" s="4"/>
      <c r="D60" s="4"/>
      <c r="E60" s="4"/>
      <c r="F60" s="8"/>
      <c r="G60" s="56"/>
      <c r="H60" s="56"/>
      <c r="I60" s="8"/>
      <c r="J60" s="8"/>
      <c r="K60" s="8"/>
      <c r="L60" s="54"/>
      <c r="M60" s="54"/>
    </row>
    <row r="61" spans="1:8" ht="12.75">
      <c r="A61" s="12"/>
      <c r="B61" s="13" t="s">
        <v>117</v>
      </c>
      <c r="C61" s="11"/>
      <c r="D61" s="8"/>
      <c r="G61"/>
      <c r="H61"/>
    </row>
    <row r="62" spans="1:8" ht="12.75">
      <c r="A62" s="12"/>
      <c r="B62" s="13"/>
      <c r="C62" s="14" t="s">
        <v>16</v>
      </c>
      <c r="D62" s="8"/>
      <c r="E62" s="46">
        <f>'R&amp;D'!B9</f>
        <v>0</v>
      </c>
      <c r="G62"/>
      <c r="H62"/>
    </row>
    <row r="63" spans="1:8" ht="12.75">
      <c r="A63" s="12"/>
      <c r="B63" s="13"/>
      <c r="C63" s="14" t="s">
        <v>15</v>
      </c>
      <c r="D63" s="8"/>
      <c r="E63" s="46">
        <f>'R&amp;D'!B11</f>
        <v>0</v>
      </c>
      <c r="G63"/>
      <c r="H63"/>
    </row>
    <row r="64" spans="1:8" ht="12.75">
      <c r="A64" s="12"/>
      <c r="B64" s="10"/>
      <c r="C64" t="s">
        <v>133</v>
      </c>
      <c r="D64" s="8"/>
      <c r="E64" s="52">
        <f>(E62+E63)*0.1</f>
        <v>0</v>
      </c>
      <c r="G64"/>
      <c r="H64"/>
    </row>
    <row r="65" spans="1:8" ht="12.75">
      <c r="A65" s="12"/>
      <c r="B65" s="10"/>
      <c r="C65" s="27" t="s">
        <v>139</v>
      </c>
      <c r="D65" s="8"/>
      <c r="E65" s="44">
        <f>SUM(E62:E64)</f>
        <v>0</v>
      </c>
      <c r="G65" t="s">
        <v>130</v>
      </c>
      <c r="H65"/>
    </row>
    <row r="66" spans="1:8" ht="12.75">
      <c r="A66" s="12"/>
      <c r="B66" s="10"/>
      <c r="C66" s="27"/>
      <c r="D66" s="8"/>
      <c r="E66" s="44"/>
      <c r="G66"/>
      <c r="H66"/>
    </row>
    <row r="67" spans="2:8" ht="12.75">
      <c r="B67" s="1" t="s">
        <v>15</v>
      </c>
      <c r="D67" s="8"/>
      <c r="G67"/>
      <c r="H67"/>
    </row>
    <row r="68" spans="2:8" ht="12.75">
      <c r="B68" s="1"/>
      <c r="C68">
        <f>'M&amp;S'!A14</f>
        <v>0</v>
      </c>
      <c r="D68" s="8"/>
      <c r="E68" s="46">
        <f>'M&amp;S'!B14</f>
        <v>0</v>
      </c>
      <c r="G68"/>
      <c r="H68"/>
    </row>
    <row r="69" spans="2:8" ht="12.75">
      <c r="B69" s="1"/>
      <c r="C69">
        <f>'M&amp;S'!A15</f>
        <v>0</v>
      </c>
      <c r="D69" s="8"/>
      <c r="E69" s="46">
        <f>'M&amp;S'!B15</f>
        <v>0</v>
      </c>
      <c r="G69"/>
      <c r="H69"/>
    </row>
    <row r="70" spans="2:8" ht="12.75">
      <c r="B70" s="1"/>
      <c r="C70">
        <f>'M&amp;S'!A16</f>
        <v>0</v>
      </c>
      <c r="D70" s="8"/>
      <c r="E70" s="46">
        <f>'M&amp;S'!B16</f>
        <v>0</v>
      </c>
      <c r="G70"/>
      <c r="H70"/>
    </row>
    <row r="71" spans="2:8" ht="12.75">
      <c r="B71" s="1"/>
      <c r="C71" t="s">
        <v>144</v>
      </c>
      <c r="D71" s="8"/>
      <c r="E71" s="46">
        <f>'M&amp;S'!B29</f>
        <v>0</v>
      </c>
      <c r="G71"/>
      <c r="H71"/>
    </row>
    <row r="72" spans="2:8" ht="12.75">
      <c r="B72" s="1"/>
      <c r="C72" t="str">
        <f>'M&amp;S'!A17</f>
        <v>subtotal, purchased parts</v>
      </c>
      <c r="D72" s="8"/>
      <c r="E72" s="46">
        <f>'M&amp;S'!B17</f>
        <v>0</v>
      </c>
      <c r="G72"/>
      <c r="H72"/>
    </row>
    <row r="73" spans="2:8" ht="12.75">
      <c r="B73" s="1"/>
      <c r="C73" t="s">
        <v>133</v>
      </c>
      <c r="D73" s="8"/>
      <c r="E73" s="52">
        <f>E68*0.1</f>
        <v>0</v>
      </c>
      <c r="G73"/>
      <c r="H73"/>
    </row>
    <row r="74" spans="2:8" ht="12.75">
      <c r="B74" s="1"/>
      <c r="C74" s="27" t="s">
        <v>138</v>
      </c>
      <c r="D74" s="8"/>
      <c r="E74" s="44">
        <f>SUM(E72:E73)</f>
        <v>0</v>
      </c>
      <c r="G74" t="s">
        <v>130</v>
      </c>
      <c r="H74"/>
    </row>
    <row r="75" spans="3:8" ht="12.75">
      <c r="C75" s="1"/>
      <c r="D75" s="8"/>
      <c r="G75"/>
      <c r="H75"/>
    </row>
    <row r="76" spans="2:8" ht="12.75">
      <c r="B76" s="1" t="s">
        <v>16</v>
      </c>
      <c r="D76" s="8"/>
      <c r="E76" s="44">
        <v>0</v>
      </c>
      <c r="G76" t="s">
        <v>152</v>
      </c>
      <c r="H76"/>
    </row>
    <row r="77" spans="4:8" ht="12.75">
      <c r="D77" s="8"/>
      <c r="G77"/>
      <c r="H77"/>
    </row>
    <row r="78" spans="2:8" ht="12.75">
      <c r="B78" s="1" t="s">
        <v>17</v>
      </c>
      <c r="D78" s="8"/>
      <c r="E78" s="44">
        <v>0</v>
      </c>
      <c r="G78" t="s">
        <v>153</v>
      </c>
      <c r="H78"/>
    </row>
    <row r="79" spans="4:8" ht="12.75">
      <c r="D79" s="8"/>
      <c r="G79"/>
      <c r="H79"/>
    </row>
    <row r="80" spans="4:13" ht="12.75">
      <c r="D80" s="54"/>
      <c r="G80" s="61"/>
      <c r="H80" s="61"/>
      <c r="I80" s="61"/>
      <c r="J80" s="61"/>
      <c r="K80" s="61"/>
      <c r="L80" s="61"/>
      <c r="M80" s="61"/>
    </row>
    <row r="81" spans="1:13" ht="18.75" thickBot="1">
      <c r="A81" s="102" t="s">
        <v>26</v>
      </c>
      <c r="B81" s="102"/>
      <c r="C81" s="102"/>
      <c r="D81" s="102"/>
      <c r="E81" s="75"/>
      <c r="F81" s="75"/>
      <c r="G81" s="81"/>
      <c r="H81" s="81"/>
      <c r="I81" s="81"/>
      <c r="J81" s="81"/>
      <c r="K81" s="81"/>
      <c r="L81" s="61"/>
      <c r="M81" s="61"/>
    </row>
    <row r="82" spans="1:13" ht="15">
      <c r="A82" s="59"/>
      <c r="B82" s="59"/>
      <c r="C82" s="59"/>
      <c r="D82" s="59"/>
      <c r="G82" s="61"/>
      <c r="H82" s="61"/>
      <c r="I82" s="61"/>
      <c r="J82" s="61"/>
      <c r="K82" s="61"/>
      <c r="L82" s="61"/>
      <c r="M82" s="61"/>
    </row>
    <row r="83" spans="1:13" ht="12.75">
      <c r="A83" s="3"/>
      <c r="B83" s="7" t="s">
        <v>0</v>
      </c>
      <c r="C83" s="7"/>
      <c r="D83" s="3"/>
      <c r="E83" s="3" t="s">
        <v>191</v>
      </c>
      <c r="G83" s="61" t="s">
        <v>151</v>
      </c>
      <c r="H83" s="61"/>
      <c r="I83" s="61"/>
      <c r="J83" s="61"/>
      <c r="K83" s="61"/>
      <c r="L83" s="61"/>
      <c r="M83" s="61"/>
    </row>
    <row r="84" spans="1:13" ht="12.75">
      <c r="A84" s="4"/>
      <c r="B84" s="4"/>
      <c r="C84" s="4"/>
      <c r="D84" s="4"/>
      <c r="E84" s="4"/>
      <c r="F84" s="8"/>
      <c r="G84" s="71"/>
      <c r="H84" s="71"/>
      <c r="I84" s="71"/>
      <c r="J84" s="71"/>
      <c r="K84" s="71"/>
      <c r="L84" s="61"/>
      <c r="M84" s="61"/>
    </row>
    <row r="85" spans="4:13" ht="12.75">
      <c r="D85" s="8"/>
      <c r="G85" s="61"/>
      <c r="H85" s="61"/>
      <c r="I85" s="61"/>
      <c r="J85" s="61"/>
      <c r="K85" s="61"/>
      <c r="L85" s="61"/>
      <c r="M85" s="61"/>
    </row>
    <row r="86" spans="2:13" ht="12.75">
      <c r="B86" s="1" t="s">
        <v>27</v>
      </c>
      <c r="D86" s="8"/>
      <c r="E86" s="44">
        <v>0</v>
      </c>
      <c r="G86" s="61" t="s">
        <v>154</v>
      </c>
      <c r="H86" s="61"/>
      <c r="I86" s="61"/>
      <c r="J86" s="61"/>
      <c r="K86" s="61"/>
      <c r="L86" s="61"/>
      <c r="M86" s="61"/>
    </row>
    <row r="87" spans="4:13" ht="12.75">
      <c r="D87" s="8"/>
      <c r="G87" s="61"/>
      <c r="H87" s="61"/>
      <c r="I87" s="61"/>
      <c r="J87" s="61"/>
      <c r="K87" s="61"/>
      <c r="L87" s="61"/>
      <c r="M87" s="61"/>
    </row>
    <row r="88" spans="4:13" ht="12.75">
      <c r="D88" s="8"/>
      <c r="G88" s="61"/>
      <c r="H88" s="61"/>
      <c r="I88" s="61"/>
      <c r="J88" s="61"/>
      <c r="K88" s="61"/>
      <c r="L88" s="61"/>
      <c r="M88" s="61"/>
    </row>
    <row r="89" spans="4:13" ht="12.75">
      <c r="D89" s="54"/>
      <c r="G89" s="61"/>
      <c r="H89" s="61"/>
      <c r="I89" s="61"/>
      <c r="J89" s="61"/>
      <c r="K89" s="61"/>
      <c r="L89" s="61"/>
      <c r="M89" s="61"/>
    </row>
    <row r="90" spans="1:11" ht="18.75" thickBot="1">
      <c r="A90" s="102" t="s">
        <v>155</v>
      </c>
      <c r="B90" s="102"/>
      <c r="C90" s="102"/>
      <c r="D90" s="102"/>
      <c r="E90" s="75"/>
      <c r="F90" s="75"/>
      <c r="G90" s="80"/>
      <c r="H90" s="80"/>
      <c r="I90" s="75"/>
      <c r="J90" s="75"/>
      <c r="K90" s="75"/>
    </row>
    <row r="91" spans="1:4" ht="15">
      <c r="A91" s="59"/>
      <c r="B91" s="59"/>
      <c r="C91" s="59"/>
      <c r="D91" s="59"/>
    </row>
    <row r="92" spans="1:13" ht="12.75">
      <c r="A92" s="3"/>
      <c r="B92" s="7" t="s">
        <v>0</v>
      </c>
      <c r="C92" s="7"/>
      <c r="D92" s="3" t="s">
        <v>1</v>
      </c>
      <c r="E92" s="3" t="s">
        <v>191</v>
      </c>
      <c r="G92" s="61" t="s">
        <v>151</v>
      </c>
      <c r="H92" s="61"/>
      <c r="I92" s="61"/>
      <c r="J92" s="61"/>
      <c r="K92" s="61"/>
      <c r="L92" s="61"/>
      <c r="M92" s="61"/>
    </row>
    <row r="93" spans="1:13" ht="12.75">
      <c r="A93" s="4"/>
      <c r="B93" s="4"/>
      <c r="C93" s="4"/>
      <c r="D93" s="4"/>
      <c r="E93" s="4"/>
      <c r="F93" s="8"/>
      <c r="G93" s="71"/>
      <c r="H93" s="71"/>
      <c r="I93" s="71"/>
      <c r="J93" s="71"/>
      <c r="K93" s="71"/>
      <c r="L93" s="61"/>
      <c r="M93" s="61"/>
    </row>
    <row r="94" spans="1:13" ht="12.75">
      <c r="A94" s="5"/>
      <c r="B94" s="5"/>
      <c r="C94" s="5"/>
      <c r="D94" s="5"/>
      <c r="E94" s="5"/>
      <c r="F94" s="54"/>
      <c r="G94" s="62"/>
      <c r="H94" s="62"/>
      <c r="I94" s="54"/>
      <c r="J94" s="54"/>
      <c r="K94" s="54"/>
      <c r="L94" s="54"/>
      <c r="M94" s="54"/>
    </row>
    <row r="95" spans="2:11" ht="12.75" customHeight="1">
      <c r="B95" s="1" t="s">
        <v>30</v>
      </c>
      <c r="I95" s="22"/>
      <c r="J95" s="22"/>
      <c r="K95" s="22"/>
    </row>
    <row r="96" spans="2:10" ht="12.75">
      <c r="B96" t="s">
        <v>167</v>
      </c>
      <c r="D96" s="64">
        <f>N55</f>
        <v>160</v>
      </c>
      <c r="E96" s="44">
        <f>O55</f>
        <v>22560</v>
      </c>
      <c r="G96" s="103" t="s">
        <v>171</v>
      </c>
      <c r="H96" s="103"/>
      <c r="I96" s="27" t="s">
        <v>10</v>
      </c>
      <c r="J96" s="66" t="str">
        <f>CONCATENATE(O47," $/hr")</f>
        <v>100 $/hr</v>
      </c>
    </row>
    <row r="97" spans="2:10" ht="12.75">
      <c r="B97" t="s">
        <v>168</v>
      </c>
      <c r="D97" s="64">
        <f>N56</f>
        <v>324</v>
      </c>
      <c r="E97" s="44">
        <f>O56</f>
        <v>46920</v>
      </c>
      <c r="G97" s="27" t="s">
        <v>9</v>
      </c>
      <c r="H97" s="66" t="str">
        <f>CONCATENATE(O41," $/hr")</f>
        <v>153 $/hr</v>
      </c>
      <c r="I97" s="27" t="s">
        <v>113</v>
      </c>
      <c r="J97" s="66" t="str">
        <f>CONCATENATE(O49," $/hr")</f>
        <v>73 $/hr</v>
      </c>
    </row>
    <row r="98" spans="3:10" ht="12.75">
      <c r="C98" t="s">
        <v>157</v>
      </c>
      <c r="D98" s="64">
        <f>SUM(D96:D97)</f>
        <v>484</v>
      </c>
      <c r="E98" s="44">
        <f>SUM(E96:E97)</f>
        <v>69480</v>
      </c>
      <c r="G98" s="27" t="s">
        <v>11</v>
      </c>
      <c r="H98" s="66" t="str">
        <f>CONCATENATE(O43," $/hr")</f>
        <v>100 $/hr</v>
      </c>
      <c r="I98" s="43" t="s">
        <v>170</v>
      </c>
      <c r="J98" s="66" t="str">
        <f>CONCATENATE(O53," $/hr")</f>
        <v>141 $/hr</v>
      </c>
    </row>
    <row r="99" spans="4:10" ht="12.75">
      <c r="D99" s="31"/>
      <c r="E99" s="44"/>
      <c r="G99" s="27" t="s">
        <v>12</v>
      </c>
      <c r="H99" s="66" t="str">
        <f>CONCATENATE(O45," $/hr")</f>
        <v>130 $/hr</v>
      </c>
      <c r="I99" s="43" t="s">
        <v>169</v>
      </c>
      <c r="J99" s="66" t="str">
        <f>CONCATENATE(O51," $/hr")</f>
        <v>160 $/hr</v>
      </c>
    </row>
    <row r="100" ht="12.75">
      <c r="B100" s="1" t="s">
        <v>156</v>
      </c>
    </row>
    <row r="101" spans="2:5" ht="12.75">
      <c r="B101" s="63" t="s">
        <v>117</v>
      </c>
      <c r="C101" s="14"/>
      <c r="D101" s="8"/>
      <c r="E101" s="44">
        <f>E65</f>
        <v>0</v>
      </c>
    </row>
    <row r="102" spans="2:5" ht="12.75">
      <c r="B102" s="14" t="s">
        <v>15</v>
      </c>
      <c r="C102" s="14"/>
      <c r="D102" s="8"/>
      <c r="E102" s="44">
        <f>E74</f>
        <v>0</v>
      </c>
    </row>
    <row r="103" spans="2:5" ht="12.75">
      <c r="B103" s="14" t="s">
        <v>16</v>
      </c>
      <c r="C103" s="14"/>
      <c r="D103" s="8"/>
      <c r="E103" s="44">
        <f>E76</f>
        <v>0</v>
      </c>
    </row>
    <row r="104" spans="2:5" ht="12.75">
      <c r="B104" s="14" t="s">
        <v>17</v>
      </c>
      <c r="C104" s="14"/>
      <c r="D104" s="8"/>
      <c r="E104" s="44">
        <f>E78</f>
        <v>0</v>
      </c>
    </row>
    <row r="105" spans="2:5" ht="12.75">
      <c r="B105" s="14" t="s">
        <v>27</v>
      </c>
      <c r="C105" s="14"/>
      <c r="D105" s="8"/>
      <c r="E105" s="44">
        <f>E86</f>
        <v>0</v>
      </c>
    </row>
    <row r="106" spans="3:5" ht="12.75">
      <c r="C106" t="s">
        <v>158</v>
      </c>
      <c r="E106" s="44">
        <f>SUM(E101:E105)</f>
        <v>0</v>
      </c>
    </row>
    <row r="108" spans="2:8" ht="12.75">
      <c r="B108" s="1" t="s">
        <v>159</v>
      </c>
      <c r="E108" s="44">
        <f>G108*E106</f>
        <v>0</v>
      </c>
      <c r="G108" s="29">
        <v>0.25</v>
      </c>
      <c r="H108" s="19" t="s">
        <v>160</v>
      </c>
    </row>
    <row r="110" spans="2:5" ht="12.75">
      <c r="B110" s="1" t="s">
        <v>161</v>
      </c>
      <c r="E110" s="44">
        <f>E108+E106+E98</f>
        <v>69480</v>
      </c>
    </row>
    <row r="111" ht="12.75">
      <c r="B111" s="1"/>
    </row>
    <row r="112" spans="2:8" ht="12.75">
      <c r="B112" s="1" t="s">
        <v>162</v>
      </c>
      <c r="E112" s="44">
        <f>E110*G112</f>
        <v>19454.4</v>
      </c>
      <c r="G112" s="29">
        <v>0.28</v>
      </c>
      <c r="H112" s="19" t="s">
        <v>164</v>
      </c>
    </row>
    <row r="113" ht="12.75">
      <c r="B113" s="1"/>
    </row>
    <row r="114" spans="2:5" ht="12.75">
      <c r="B114" s="1" t="s">
        <v>163</v>
      </c>
      <c r="E114" s="44">
        <f>E112+E110</f>
        <v>88934.4</v>
      </c>
    </row>
    <row r="116" spans="1:11" ht="12.75">
      <c r="A116" s="8"/>
      <c r="B116" s="8"/>
      <c r="C116" s="8"/>
      <c r="D116" s="8"/>
      <c r="E116" s="8"/>
      <c r="F116" s="8"/>
      <c r="G116" s="56"/>
      <c r="H116" s="56"/>
      <c r="I116" s="8"/>
      <c r="J116" s="8"/>
      <c r="K116" s="8"/>
    </row>
  </sheetData>
  <mergeCells count="13">
    <mergeCell ref="A90:D90"/>
    <mergeCell ref="G96:H96"/>
    <mergeCell ref="E37:K37"/>
    <mergeCell ref="A35:D35"/>
    <mergeCell ref="A81:D81"/>
    <mergeCell ref="A57:D57"/>
    <mergeCell ref="A13:D13"/>
    <mergeCell ref="A20:D20"/>
    <mergeCell ref="A27:D27"/>
    <mergeCell ref="O1:T1"/>
    <mergeCell ref="A1:E1"/>
    <mergeCell ref="A6:D6"/>
    <mergeCell ref="A3:D3"/>
  </mergeCells>
  <printOptions/>
  <pageMargins left="0.75" right="0.5" top="1" bottom="1" header="0.5" footer="0.5"/>
  <pageSetup fitToHeight="0" horizontalDpi="600" verticalDpi="600" orientation="landscape" r:id="rId1"/>
  <headerFooter alignWithMargins="0">
    <oddHeader>&amp;C&amp;"Arial,Bold"&amp;14NCSX Fabrication Project Cost and Schedule  Estimating Form&amp;"Arial,Regular"&amp;10
</oddHeader>
    <oddFooter>&amp;C&amp;"Arial,Bold"&amp;P</oddFooter>
  </headerFooter>
  <rowBreaks count="2" manualBreakCount="2">
    <brk id="33" max="10" man="1"/>
    <brk id="5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workbookViewId="0" topLeftCell="A2">
      <pane ySplit="1365" topLeftCell="BM1" activePane="bottomLeft" state="split"/>
      <selection pane="topLeft" activeCell="C3" sqref="C3"/>
      <selection pane="bottomLeft" activeCell="C1" sqref="C1"/>
    </sheetView>
  </sheetViews>
  <sheetFormatPr defaultColWidth="9.140625" defaultRowHeight="12.75"/>
  <cols>
    <col min="1" max="1" width="3.7109375" style="0" customWidth="1"/>
    <col min="2" max="2" width="3.28125" style="0" customWidth="1"/>
    <col min="3" max="3" width="33.28125" style="0" customWidth="1"/>
    <col min="4" max="4" width="10.421875" style="0" customWidth="1"/>
    <col min="6" max="6" width="10.57421875" style="0" customWidth="1"/>
    <col min="7" max="7" width="11.140625" style="19" customWidth="1"/>
    <col min="8" max="8" width="11.7109375" style="19" customWidth="1"/>
    <col min="9" max="9" width="41.8515625" style="0" customWidth="1"/>
  </cols>
  <sheetData>
    <row r="1" spans="3:9" s="2" customFormat="1" ht="15.75">
      <c r="C1" s="2" t="str">
        <f>CONCATENATE("1808-NCSX-",'Fab Project'!L1,"01")</f>
        <v>1808-NCSX-1101</v>
      </c>
      <c r="G1" s="16"/>
      <c r="H1" s="16"/>
      <c r="I1" s="2" t="s">
        <v>44</v>
      </c>
    </row>
    <row r="2" spans="2:9" s="3" customFormat="1" ht="38.25">
      <c r="B2" s="7" t="s">
        <v>0</v>
      </c>
      <c r="C2" s="7"/>
      <c r="D2" s="3" t="s">
        <v>1</v>
      </c>
      <c r="E2" s="3" t="s">
        <v>2</v>
      </c>
      <c r="F2" s="3" t="s">
        <v>3</v>
      </c>
      <c r="G2" s="17" t="s">
        <v>5</v>
      </c>
      <c r="H2" s="17" t="s">
        <v>6</v>
      </c>
      <c r="I2" s="3" t="s">
        <v>4</v>
      </c>
    </row>
    <row r="3" spans="7:8" s="4" customFormat="1" ht="12.75">
      <c r="G3" s="18"/>
      <c r="H3" s="18"/>
    </row>
    <row r="4" spans="1:9" ht="12.75">
      <c r="A4" s="1" t="s">
        <v>33</v>
      </c>
      <c r="E4" s="8"/>
      <c r="I4" s="1" t="s">
        <v>40</v>
      </c>
    </row>
    <row r="5" spans="1:5" ht="12.75">
      <c r="A5" s="1"/>
      <c r="B5" t="s">
        <v>35</v>
      </c>
      <c r="E5" s="8"/>
    </row>
    <row r="6" spans="5:9" ht="12.75">
      <c r="E6" s="8"/>
      <c r="F6" s="6" t="s">
        <v>18</v>
      </c>
      <c r="I6" s="6" t="s">
        <v>13</v>
      </c>
    </row>
    <row r="7" spans="5:9" ht="12.75">
      <c r="E7" s="8"/>
      <c r="F7" s="6" t="s">
        <v>34</v>
      </c>
      <c r="I7" s="6" t="s">
        <v>13</v>
      </c>
    </row>
    <row r="8" spans="2:9" ht="12.75">
      <c r="B8" t="s">
        <v>36</v>
      </c>
      <c r="E8" s="8"/>
      <c r="F8" s="6"/>
      <c r="I8" s="6"/>
    </row>
    <row r="9" spans="5:9" ht="12.75">
      <c r="E9" s="8"/>
      <c r="F9" s="6"/>
      <c r="I9" s="6"/>
    </row>
    <row r="10" spans="5:9" ht="12.75">
      <c r="E10" s="8"/>
      <c r="F10" s="6"/>
      <c r="I10" s="6"/>
    </row>
    <row r="11" spans="2:9" ht="12.75">
      <c r="B11" t="s">
        <v>37</v>
      </c>
      <c r="E11" s="8"/>
      <c r="F11" s="6"/>
      <c r="I11" s="6"/>
    </row>
    <row r="12" spans="5:9" ht="12.75">
      <c r="E12" s="8"/>
      <c r="F12" s="6"/>
      <c r="I12" s="6"/>
    </row>
    <row r="13" spans="5:9" ht="12.75">
      <c r="E13" s="8"/>
      <c r="F13" s="6"/>
      <c r="I13" s="6"/>
    </row>
    <row r="14" spans="2:9" ht="12.75">
      <c r="B14" t="s">
        <v>38</v>
      </c>
      <c r="E14" s="8"/>
      <c r="F14" s="6"/>
      <c r="I14" s="6"/>
    </row>
    <row r="15" spans="5:9" ht="12.75">
      <c r="E15" s="8"/>
      <c r="F15" s="6"/>
      <c r="I15" s="6"/>
    </row>
    <row r="16" spans="5:9" ht="12.75">
      <c r="E16" s="8"/>
      <c r="F16" s="6"/>
      <c r="I16" s="6"/>
    </row>
    <row r="17" spans="2:5" ht="12.75">
      <c r="B17" t="s">
        <v>39</v>
      </c>
      <c r="E17" s="8"/>
    </row>
    <row r="18" ht="12.75">
      <c r="E18" s="8"/>
    </row>
    <row r="19" ht="12.75">
      <c r="E19" s="8"/>
    </row>
    <row r="20" spans="2:5" ht="12.75">
      <c r="B20" s="1" t="s">
        <v>19</v>
      </c>
      <c r="E20" s="8"/>
    </row>
    <row r="21" spans="1:5" ht="12.75">
      <c r="A21" s="1"/>
      <c r="B21" t="s">
        <v>35</v>
      </c>
      <c r="E21" s="8"/>
    </row>
    <row r="22" spans="5:9" ht="12.75">
      <c r="E22" s="8"/>
      <c r="F22" s="6" t="s">
        <v>18</v>
      </c>
      <c r="I22" s="6" t="s">
        <v>13</v>
      </c>
    </row>
    <row r="23" spans="5:9" ht="12.75">
      <c r="E23" s="8"/>
      <c r="F23" s="6" t="s">
        <v>34</v>
      </c>
      <c r="I23" s="6" t="s">
        <v>13</v>
      </c>
    </row>
    <row r="24" spans="2:9" ht="12.75">
      <c r="B24" t="s">
        <v>36</v>
      </c>
      <c r="E24" s="8"/>
      <c r="F24" s="6"/>
      <c r="I24" s="6"/>
    </row>
    <row r="25" spans="5:9" ht="12.75">
      <c r="E25" s="8"/>
      <c r="F25" s="6"/>
      <c r="I25" s="6"/>
    </row>
    <row r="26" spans="5:9" ht="12.75">
      <c r="E26" s="8"/>
      <c r="F26" s="6"/>
      <c r="I26" s="6"/>
    </row>
    <row r="27" spans="2:9" ht="12.75">
      <c r="B27" t="s">
        <v>37</v>
      </c>
      <c r="E27" s="8"/>
      <c r="F27" s="6"/>
      <c r="I27" s="6"/>
    </row>
    <row r="28" spans="5:9" ht="12.75">
      <c r="E28" s="8"/>
      <c r="F28" s="6"/>
      <c r="I28" s="6"/>
    </row>
    <row r="29" spans="5:9" ht="12.75">
      <c r="E29" s="8"/>
      <c r="F29" s="6"/>
      <c r="I29" s="6"/>
    </row>
    <row r="30" spans="2:9" ht="12.75">
      <c r="B30" t="s">
        <v>38</v>
      </c>
      <c r="E30" s="8"/>
      <c r="F30" s="6"/>
      <c r="I30" s="6"/>
    </row>
    <row r="31" spans="5:9" ht="12.75">
      <c r="E31" s="8"/>
      <c r="F31" s="6"/>
      <c r="I31" s="6"/>
    </row>
    <row r="32" spans="5:9" ht="12.75">
      <c r="E32" s="8"/>
      <c r="F32" s="6"/>
      <c r="I32" s="6"/>
    </row>
    <row r="33" spans="2:5" ht="12.75">
      <c r="B33" t="s">
        <v>39</v>
      </c>
      <c r="E33" s="8"/>
    </row>
    <row r="34" ht="12.75">
      <c r="E34" s="8"/>
    </row>
    <row r="35" ht="12.75">
      <c r="E35" s="8"/>
    </row>
    <row r="36" ht="12.75">
      <c r="E36" s="8"/>
    </row>
    <row r="37" spans="2:4" ht="12.75">
      <c r="B37" s="1" t="s">
        <v>20</v>
      </c>
      <c r="D37" s="8"/>
    </row>
    <row r="38" ht="12.75">
      <c r="D38" s="8"/>
    </row>
    <row r="39" spans="1:4" ht="12.75">
      <c r="A39" s="12" t="s">
        <v>14</v>
      </c>
      <c r="B39" s="10"/>
      <c r="C39" s="11"/>
      <c r="D39" s="8"/>
    </row>
    <row r="40" spans="1:4" ht="12.75">
      <c r="A40" s="12"/>
      <c r="B40" s="13" t="s">
        <v>31</v>
      </c>
      <c r="C40" s="11"/>
      <c r="D40" s="8"/>
    </row>
    <row r="41" spans="1:4" ht="12.75">
      <c r="A41" s="12"/>
      <c r="B41" s="13"/>
      <c r="C41" s="14" t="s">
        <v>16</v>
      </c>
      <c r="D41" s="8"/>
    </row>
    <row r="42" spans="1:4" ht="12.75">
      <c r="A42" s="12"/>
      <c r="B42" s="13"/>
      <c r="C42" s="11"/>
      <c r="D42" s="8"/>
    </row>
    <row r="43" spans="1:9" ht="12.75">
      <c r="A43" s="12"/>
      <c r="B43" s="10"/>
      <c r="C43" s="14" t="s">
        <v>15</v>
      </c>
      <c r="D43" s="8"/>
      <c r="I43" s="6" t="s">
        <v>43</v>
      </c>
    </row>
    <row r="44" spans="1:4" ht="12.75">
      <c r="A44" s="12"/>
      <c r="B44" s="10"/>
      <c r="C44" s="11"/>
      <c r="D44" s="8"/>
    </row>
    <row r="45" spans="2:9" ht="25.5">
      <c r="B45" s="1" t="s">
        <v>15</v>
      </c>
      <c r="D45" s="8"/>
      <c r="I45" s="15" t="s">
        <v>41</v>
      </c>
    </row>
    <row r="46" ht="12.75">
      <c r="D46" s="8"/>
    </row>
    <row r="47" spans="2:4" ht="12.75">
      <c r="B47" s="1" t="s">
        <v>16</v>
      </c>
      <c r="D47" s="8"/>
    </row>
    <row r="48" ht="12.75">
      <c r="D48" s="8"/>
    </row>
    <row r="49" spans="2:4" ht="12.75">
      <c r="B49" s="1" t="s">
        <v>17</v>
      </c>
      <c r="D49" s="8"/>
    </row>
    <row r="50" ht="12.75">
      <c r="D50" s="8"/>
    </row>
    <row r="51" ht="12.75">
      <c r="D51" s="8"/>
    </row>
    <row r="52" ht="12.75">
      <c r="D52" s="8"/>
    </row>
    <row r="53" spans="2:4" ht="12.75">
      <c r="B53" s="1" t="s">
        <v>26</v>
      </c>
      <c r="D53" s="8"/>
    </row>
    <row r="54" spans="3:4" ht="12.75">
      <c r="C54" t="s">
        <v>27</v>
      </c>
      <c r="D54" s="8"/>
    </row>
    <row r="55" spans="1:5" ht="12.75">
      <c r="A55" s="1"/>
      <c r="B55" t="s">
        <v>35</v>
      </c>
      <c r="E55" s="8"/>
    </row>
    <row r="56" spans="5:9" ht="12.75">
      <c r="E56" s="8"/>
      <c r="F56" s="6" t="s">
        <v>18</v>
      </c>
      <c r="I56" s="6" t="s">
        <v>13</v>
      </c>
    </row>
    <row r="57" spans="5:9" ht="12.75">
      <c r="E57" s="8"/>
      <c r="F57" s="6" t="s">
        <v>34</v>
      </c>
      <c r="I57" s="6" t="s">
        <v>13</v>
      </c>
    </row>
    <row r="58" spans="2:9" ht="12.75">
      <c r="B58" t="s">
        <v>36</v>
      </c>
      <c r="E58" s="8"/>
      <c r="F58" s="6"/>
      <c r="I58" s="6"/>
    </row>
    <row r="59" spans="5:9" ht="12.75">
      <c r="E59" s="8"/>
      <c r="F59" s="6"/>
      <c r="I59" s="6"/>
    </row>
    <row r="60" spans="5:9" ht="12.75">
      <c r="E60" s="8"/>
      <c r="F60" s="6"/>
      <c r="I60" s="6"/>
    </row>
    <row r="61" spans="2:9" ht="12.75">
      <c r="B61" t="s">
        <v>37</v>
      </c>
      <c r="E61" s="8"/>
      <c r="F61" s="6"/>
      <c r="I61" s="6"/>
    </row>
    <row r="62" spans="5:9" ht="12.75">
      <c r="E62" s="8"/>
      <c r="F62" s="6"/>
      <c r="I62" s="6"/>
    </row>
    <row r="63" spans="5:9" ht="12.75">
      <c r="E63" s="8"/>
      <c r="F63" s="6"/>
      <c r="I63" s="6"/>
    </row>
    <row r="64" spans="2:9" ht="12.75">
      <c r="B64" t="s">
        <v>38</v>
      </c>
      <c r="E64" s="8"/>
      <c r="F64" s="6"/>
      <c r="I64" s="6"/>
    </row>
    <row r="65" spans="5:9" ht="12.75">
      <c r="E65" s="8"/>
      <c r="F65" s="6"/>
      <c r="I65" s="6"/>
    </row>
    <row r="66" spans="5:9" ht="12.75">
      <c r="E66" s="8"/>
      <c r="F66" s="6"/>
      <c r="I66" s="6"/>
    </row>
    <row r="67" spans="2:5" ht="12.75">
      <c r="B67" t="s">
        <v>39</v>
      </c>
      <c r="E67" s="8"/>
    </row>
    <row r="68" ht="12.75">
      <c r="D68" s="8"/>
    </row>
    <row r="69" spans="3:4" ht="12.75">
      <c r="C69" t="s">
        <v>28</v>
      </c>
      <c r="D69" s="8"/>
    </row>
    <row r="72" ht="12.75">
      <c r="B72" s="9" t="s">
        <v>21</v>
      </c>
    </row>
    <row r="73" ht="12.75">
      <c r="C73" t="s">
        <v>22</v>
      </c>
    </row>
    <row r="74" ht="12.75">
      <c r="C74" t="s">
        <v>25</v>
      </c>
    </row>
    <row r="75" ht="12.75">
      <c r="C75" t="s">
        <v>23</v>
      </c>
    </row>
    <row r="76" ht="12.75">
      <c r="C76" t="s">
        <v>24</v>
      </c>
    </row>
  </sheetData>
  <printOptions/>
  <pageMargins left="0.75" right="0.75" top="1" bottom="1" header="0.5" footer="0.5"/>
  <pageSetup horizontalDpi="600" verticalDpi="600" orientation="landscape" scale="90" r:id="rId1"/>
  <headerFooter alignWithMargins="0">
    <oddHeader>&amp;C&amp;"Arial,Bold"&amp;14NCSX Other CostsCost and Schedule  Estimating Form&amp;"Arial,Regular"&amp;10
&amp;"Arial,Bold"&amp;12(Attachment 1c - OTHER)</oddHeader>
    <oddFooter>&amp;C&amp;"Arial,Bold"&amp;P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66"/>
  <sheetViews>
    <sheetView workbookViewId="0" topLeftCell="A1">
      <selection activeCell="A49" sqref="A49"/>
    </sheetView>
  </sheetViews>
  <sheetFormatPr defaultColWidth="9.140625" defaultRowHeight="12.75"/>
  <cols>
    <col min="1" max="1" width="28.57421875" style="0" customWidth="1"/>
    <col min="2" max="2" width="9.8515625" style="0" customWidth="1"/>
    <col min="5" max="5" width="8.00390625" style="0" customWidth="1"/>
    <col min="6" max="6" width="2.57421875" style="0" customWidth="1"/>
    <col min="7" max="7" width="7.00390625" style="0" customWidth="1"/>
    <col min="8" max="17" width="5.7109375" style="0" customWidth="1"/>
  </cols>
  <sheetData>
    <row r="1" ht="20.25">
      <c r="A1" s="65" t="str">
        <f>'Fab Project'!A1</f>
        <v>WBS 163 Coil Protection System</v>
      </c>
    </row>
    <row r="3" spans="1:17" ht="18.75" thickBot="1">
      <c r="A3" s="74" t="s">
        <v>62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ht="12.75">
      <c r="A4" s="1"/>
    </row>
    <row r="5" ht="12.75">
      <c r="A5" s="1" t="s">
        <v>72</v>
      </c>
    </row>
    <row r="6" spans="1:17" ht="42.75" customHeight="1">
      <c r="A6" s="107" t="s">
        <v>185</v>
      </c>
      <c r="B6" s="107"/>
      <c r="C6" s="107"/>
      <c r="D6" s="107"/>
      <c r="E6" s="107"/>
      <c r="F6" s="107"/>
      <c r="G6" s="100" t="s">
        <v>99</v>
      </c>
      <c r="H6" s="100"/>
      <c r="I6" s="100"/>
      <c r="J6" s="100"/>
      <c r="K6" s="100"/>
      <c r="L6" s="100"/>
      <c r="M6" s="100"/>
      <c r="N6" s="100"/>
      <c r="O6" s="100"/>
      <c r="P6" s="100"/>
      <c r="Q6" s="100"/>
    </row>
    <row r="7" spans="1:17" ht="13.5" customHeight="1">
      <c r="A7" s="107"/>
      <c r="B7" s="107"/>
      <c r="C7" s="107"/>
      <c r="D7" s="107"/>
      <c r="E7" s="107"/>
      <c r="F7" s="107"/>
      <c r="G7" s="39" t="s">
        <v>94</v>
      </c>
      <c r="H7" s="105" t="s">
        <v>9</v>
      </c>
      <c r="I7" s="105"/>
      <c r="J7" s="105" t="s">
        <v>11</v>
      </c>
      <c r="K7" s="105"/>
      <c r="L7" s="105" t="s">
        <v>12</v>
      </c>
      <c r="M7" s="105"/>
      <c r="N7" s="105" t="s">
        <v>42</v>
      </c>
      <c r="O7" s="105"/>
      <c r="P7" s="105" t="s">
        <v>70</v>
      </c>
      <c r="Q7" s="105"/>
    </row>
    <row r="8" spans="2:17" ht="12.75">
      <c r="B8" s="25" t="s">
        <v>54</v>
      </c>
      <c r="C8" s="25" t="s">
        <v>55</v>
      </c>
      <c r="D8" s="25" t="s">
        <v>56</v>
      </c>
      <c r="E8" s="106" t="s">
        <v>95</v>
      </c>
      <c r="F8" s="106"/>
      <c r="H8" s="22" t="s">
        <v>93</v>
      </c>
      <c r="I8" s="22" t="s">
        <v>63</v>
      </c>
      <c r="J8" s="22" t="s">
        <v>93</v>
      </c>
      <c r="K8" s="22" t="s">
        <v>63</v>
      </c>
      <c r="L8" s="22" t="s">
        <v>93</v>
      </c>
      <c r="M8" s="22" t="s">
        <v>63</v>
      </c>
      <c r="N8" s="22" t="s">
        <v>93</v>
      </c>
      <c r="O8" s="22" t="s">
        <v>63</v>
      </c>
      <c r="P8" s="22" t="s">
        <v>93</v>
      </c>
      <c r="Q8" s="22" t="s">
        <v>63</v>
      </c>
    </row>
    <row r="9" ht="12.75">
      <c r="A9" s="1" t="s">
        <v>64</v>
      </c>
    </row>
    <row r="10" spans="1:17" ht="12.75">
      <c r="A10" s="20" t="s">
        <v>50</v>
      </c>
      <c r="B10" s="23">
        <v>8</v>
      </c>
      <c r="C10" s="22" t="s">
        <v>57</v>
      </c>
      <c r="D10" s="23">
        <f>B52</f>
        <v>0</v>
      </c>
      <c r="E10" s="36">
        <f>D10*$B10</f>
        <v>0</v>
      </c>
      <c r="F10" s="36"/>
      <c r="G10" s="30">
        <f>H10+J10+L10+N10+P10</f>
        <v>1</v>
      </c>
      <c r="H10" s="32">
        <v>0</v>
      </c>
      <c r="I10" s="31">
        <f>$E10*H10</f>
        <v>0</v>
      </c>
      <c r="J10" s="32">
        <v>0</v>
      </c>
      <c r="K10" s="31">
        <f aca="true" t="shared" si="0" ref="K10:K22">$E10*J10</f>
        <v>0</v>
      </c>
      <c r="L10" s="32">
        <v>1</v>
      </c>
      <c r="M10" s="31">
        <f aca="true" t="shared" si="1" ref="M10:M22">$E10*L10</f>
        <v>0</v>
      </c>
      <c r="N10" s="32">
        <v>0</v>
      </c>
      <c r="O10" s="31">
        <f aca="true" t="shared" si="2" ref="O10:O22">$E10*N10</f>
        <v>0</v>
      </c>
      <c r="P10" s="32">
        <v>0</v>
      </c>
      <c r="Q10" s="31">
        <f aca="true" t="shared" si="3" ref="Q10:Q22">$E10*P10</f>
        <v>0</v>
      </c>
    </row>
    <row r="11" spans="1:17" ht="12.75">
      <c r="A11" s="20" t="s">
        <v>51</v>
      </c>
      <c r="B11" s="23">
        <v>24</v>
      </c>
      <c r="C11" s="22" t="s">
        <v>58</v>
      </c>
      <c r="D11" s="23">
        <f aca="true" t="shared" si="4" ref="D11:D19">B53</f>
        <v>0</v>
      </c>
      <c r="E11" s="36">
        <f aca="true" t="shared" si="5" ref="E11:E22">D11*$B11</f>
        <v>0</v>
      </c>
      <c r="F11" s="36"/>
      <c r="G11" s="30">
        <f aca="true" t="shared" si="6" ref="G11:G22">H11+J11+L11+N11+P11</f>
        <v>1</v>
      </c>
      <c r="H11" s="32">
        <v>0</v>
      </c>
      <c r="I11" s="31">
        <f aca="true" t="shared" si="7" ref="I11:I22">$E11*H11</f>
        <v>0</v>
      </c>
      <c r="J11" s="32">
        <v>0</v>
      </c>
      <c r="K11" s="31">
        <f t="shared" si="0"/>
        <v>0</v>
      </c>
      <c r="L11" s="32">
        <v>1</v>
      </c>
      <c r="M11" s="31">
        <f t="shared" si="1"/>
        <v>0</v>
      </c>
      <c r="N11" s="32">
        <v>0</v>
      </c>
      <c r="O11" s="31">
        <f t="shared" si="2"/>
        <v>0</v>
      </c>
      <c r="P11" s="32">
        <v>0</v>
      </c>
      <c r="Q11" s="31">
        <f t="shared" si="3"/>
        <v>0</v>
      </c>
    </row>
    <row r="12" spans="1:17" ht="12.75">
      <c r="A12" s="20" t="s">
        <v>52</v>
      </c>
      <c r="B12" s="23">
        <v>16</v>
      </c>
      <c r="C12" s="22" t="s">
        <v>58</v>
      </c>
      <c r="D12" s="23">
        <f t="shared" si="4"/>
        <v>0</v>
      </c>
      <c r="E12" s="36">
        <f t="shared" si="5"/>
        <v>0</v>
      </c>
      <c r="F12" s="36"/>
      <c r="G12" s="30">
        <f t="shared" si="6"/>
        <v>1</v>
      </c>
      <c r="H12" s="32">
        <v>0</v>
      </c>
      <c r="I12" s="31">
        <f t="shared" si="7"/>
        <v>0</v>
      </c>
      <c r="J12" s="32">
        <v>0</v>
      </c>
      <c r="K12" s="31">
        <f t="shared" si="0"/>
        <v>0</v>
      </c>
      <c r="L12" s="32">
        <v>1</v>
      </c>
      <c r="M12" s="31">
        <f t="shared" si="1"/>
        <v>0</v>
      </c>
      <c r="N12" s="32">
        <v>0</v>
      </c>
      <c r="O12" s="31">
        <f t="shared" si="2"/>
        <v>0</v>
      </c>
      <c r="P12" s="32">
        <v>0</v>
      </c>
      <c r="Q12" s="31">
        <f t="shared" si="3"/>
        <v>0</v>
      </c>
    </row>
    <row r="13" spans="1:17" ht="12.75">
      <c r="A13" s="20" t="s">
        <v>53</v>
      </c>
      <c r="B13" s="23">
        <v>16</v>
      </c>
      <c r="C13" s="22" t="s">
        <v>58</v>
      </c>
      <c r="D13" s="51">
        <f t="shared" si="4"/>
        <v>0</v>
      </c>
      <c r="E13" s="36">
        <f t="shared" si="5"/>
        <v>0</v>
      </c>
      <c r="F13" s="36"/>
      <c r="G13" s="30">
        <f t="shared" si="6"/>
        <v>1</v>
      </c>
      <c r="H13" s="32">
        <v>0</v>
      </c>
      <c r="I13" s="31">
        <f t="shared" si="7"/>
        <v>0</v>
      </c>
      <c r="J13" s="32">
        <v>0</v>
      </c>
      <c r="K13" s="31">
        <f t="shared" si="0"/>
        <v>0</v>
      </c>
      <c r="L13" s="32">
        <v>1</v>
      </c>
      <c r="M13" s="31">
        <f t="shared" si="1"/>
        <v>0</v>
      </c>
      <c r="N13" s="32">
        <v>0</v>
      </c>
      <c r="O13" s="31">
        <f t="shared" si="2"/>
        <v>0</v>
      </c>
      <c r="P13" s="32">
        <v>0</v>
      </c>
      <c r="Q13" s="31">
        <f t="shared" si="3"/>
        <v>0</v>
      </c>
    </row>
    <row r="14" spans="1:17" ht="12.75">
      <c r="A14" s="20" t="s">
        <v>82</v>
      </c>
      <c r="B14" s="23">
        <v>0</v>
      </c>
      <c r="C14" s="22" t="s">
        <v>58</v>
      </c>
      <c r="D14" s="23">
        <f t="shared" si="4"/>
        <v>0</v>
      </c>
      <c r="E14" s="36">
        <f t="shared" si="5"/>
        <v>0</v>
      </c>
      <c r="F14" s="36"/>
      <c r="G14" s="30">
        <f t="shared" si="6"/>
        <v>1</v>
      </c>
      <c r="H14" s="32">
        <v>0</v>
      </c>
      <c r="I14" s="31">
        <f t="shared" si="7"/>
        <v>0</v>
      </c>
      <c r="J14" s="32">
        <v>0</v>
      </c>
      <c r="K14" s="31">
        <f t="shared" si="0"/>
        <v>0</v>
      </c>
      <c r="L14" s="32">
        <v>1</v>
      </c>
      <c r="M14" s="31">
        <f t="shared" si="1"/>
        <v>0</v>
      </c>
      <c r="N14" s="32">
        <v>0</v>
      </c>
      <c r="O14" s="31">
        <f t="shared" si="2"/>
        <v>0</v>
      </c>
      <c r="P14" s="32">
        <v>0</v>
      </c>
      <c r="Q14" s="31">
        <f t="shared" si="3"/>
        <v>0</v>
      </c>
    </row>
    <row r="15" spans="1:17" ht="12.75">
      <c r="A15" s="20" t="s">
        <v>83</v>
      </c>
      <c r="B15" s="23">
        <v>8</v>
      </c>
      <c r="C15" s="22" t="s">
        <v>58</v>
      </c>
      <c r="D15" s="23">
        <f t="shared" si="4"/>
        <v>0</v>
      </c>
      <c r="E15" s="36">
        <f t="shared" si="5"/>
        <v>0</v>
      </c>
      <c r="F15" s="36"/>
      <c r="G15" s="30">
        <f t="shared" si="6"/>
        <v>1</v>
      </c>
      <c r="H15" s="32">
        <v>0</v>
      </c>
      <c r="I15" s="31">
        <f t="shared" si="7"/>
        <v>0</v>
      </c>
      <c r="J15" s="32">
        <v>0</v>
      </c>
      <c r="K15" s="31">
        <f t="shared" si="0"/>
        <v>0</v>
      </c>
      <c r="L15" s="32">
        <v>1</v>
      </c>
      <c r="M15" s="31">
        <f t="shared" si="1"/>
        <v>0</v>
      </c>
      <c r="N15" s="32">
        <v>0</v>
      </c>
      <c r="O15" s="31">
        <f t="shared" si="2"/>
        <v>0</v>
      </c>
      <c r="P15" s="32">
        <v>0</v>
      </c>
      <c r="Q15" s="31">
        <f t="shared" si="3"/>
        <v>0</v>
      </c>
    </row>
    <row r="16" spans="1:17" ht="12.75">
      <c r="A16" s="20" t="s">
        <v>84</v>
      </c>
      <c r="B16" s="23">
        <v>20</v>
      </c>
      <c r="C16" s="22" t="s">
        <v>58</v>
      </c>
      <c r="D16" s="23">
        <f t="shared" si="4"/>
        <v>4</v>
      </c>
      <c r="E16" s="36">
        <f t="shared" si="5"/>
        <v>80</v>
      </c>
      <c r="F16" s="36"/>
      <c r="G16" s="30">
        <f t="shared" si="6"/>
        <v>1</v>
      </c>
      <c r="H16" s="32">
        <v>0</v>
      </c>
      <c r="I16" s="31">
        <f t="shared" si="7"/>
        <v>0</v>
      </c>
      <c r="J16" s="32">
        <v>0</v>
      </c>
      <c r="K16" s="31">
        <f t="shared" si="0"/>
        <v>0</v>
      </c>
      <c r="L16" s="32">
        <v>1</v>
      </c>
      <c r="M16" s="31">
        <f t="shared" si="1"/>
        <v>80</v>
      </c>
      <c r="N16" s="32">
        <v>0</v>
      </c>
      <c r="O16" s="31">
        <f t="shared" si="2"/>
        <v>0</v>
      </c>
      <c r="P16" s="32">
        <v>0</v>
      </c>
      <c r="Q16" s="31">
        <f t="shared" si="3"/>
        <v>0</v>
      </c>
    </row>
    <row r="17" spans="1:17" ht="12.75">
      <c r="A17" s="20" t="s">
        <v>86</v>
      </c>
      <c r="B17" s="23">
        <v>0</v>
      </c>
      <c r="C17" s="22" t="s">
        <v>59</v>
      </c>
      <c r="D17" s="23">
        <f t="shared" si="4"/>
        <v>0</v>
      </c>
      <c r="E17" s="36">
        <f t="shared" si="5"/>
        <v>0</v>
      </c>
      <c r="F17" s="36"/>
      <c r="G17" s="30">
        <f t="shared" si="6"/>
        <v>1</v>
      </c>
      <c r="H17" s="32">
        <v>0</v>
      </c>
      <c r="I17" s="31">
        <f t="shared" si="7"/>
        <v>0</v>
      </c>
      <c r="J17" s="32">
        <v>0</v>
      </c>
      <c r="K17" s="31">
        <f t="shared" si="0"/>
        <v>0</v>
      </c>
      <c r="L17" s="32">
        <v>1</v>
      </c>
      <c r="M17" s="31">
        <f t="shared" si="1"/>
        <v>0</v>
      </c>
      <c r="N17" s="32">
        <v>0</v>
      </c>
      <c r="O17" s="31">
        <f t="shared" si="2"/>
        <v>0</v>
      </c>
      <c r="P17" s="32">
        <v>0</v>
      </c>
      <c r="Q17" s="31">
        <f t="shared" si="3"/>
        <v>0</v>
      </c>
    </row>
    <row r="18" spans="1:17" ht="12.75">
      <c r="A18" s="20" t="s">
        <v>87</v>
      </c>
      <c r="B18" s="23">
        <v>24</v>
      </c>
      <c r="C18" s="22" t="s">
        <v>59</v>
      </c>
      <c r="D18" s="23">
        <f t="shared" si="4"/>
        <v>0</v>
      </c>
      <c r="E18" s="36">
        <f t="shared" si="5"/>
        <v>0</v>
      </c>
      <c r="F18" s="36"/>
      <c r="G18" s="30">
        <f t="shared" si="6"/>
        <v>1</v>
      </c>
      <c r="H18" s="32">
        <v>0</v>
      </c>
      <c r="I18" s="31">
        <f t="shared" si="7"/>
        <v>0</v>
      </c>
      <c r="J18" s="32">
        <v>0</v>
      </c>
      <c r="K18" s="31">
        <f t="shared" si="0"/>
        <v>0</v>
      </c>
      <c r="L18" s="32">
        <v>1</v>
      </c>
      <c r="M18" s="31">
        <f t="shared" si="1"/>
        <v>0</v>
      </c>
      <c r="N18" s="32">
        <v>0</v>
      </c>
      <c r="O18" s="31">
        <f t="shared" si="2"/>
        <v>0</v>
      </c>
      <c r="P18" s="32">
        <v>0</v>
      </c>
      <c r="Q18" s="31">
        <f t="shared" si="3"/>
        <v>0</v>
      </c>
    </row>
    <row r="19" spans="1:17" ht="12.75">
      <c r="A19" s="20" t="s">
        <v>85</v>
      </c>
      <c r="B19" s="23">
        <v>160</v>
      </c>
      <c r="C19" s="22" t="s">
        <v>59</v>
      </c>
      <c r="D19" s="23">
        <f t="shared" si="4"/>
        <v>2</v>
      </c>
      <c r="E19" s="36">
        <f t="shared" si="5"/>
        <v>320</v>
      </c>
      <c r="F19" s="36"/>
      <c r="G19" s="30">
        <f t="shared" si="6"/>
        <v>1</v>
      </c>
      <c r="H19" s="32">
        <v>0</v>
      </c>
      <c r="I19" s="31">
        <f t="shared" si="7"/>
        <v>0</v>
      </c>
      <c r="J19" s="32">
        <v>0</v>
      </c>
      <c r="K19" s="31">
        <f t="shared" si="0"/>
        <v>0</v>
      </c>
      <c r="L19" s="32">
        <v>0</v>
      </c>
      <c r="M19" s="31">
        <f t="shared" si="1"/>
        <v>0</v>
      </c>
      <c r="N19" s="32">
        <v>0.5</v>
      </c>
      <c r="O19" s="31">
        <f t="shared" si="2"/>
        <v>160</v>
      </c>
      <c r="P19" s="32">
        <v>0.5</v>
      </c>
      <c r="Q19" s="31">
        <f t="shared" si="3"/>
        <v>160</v>
      </c>
    </row>
    <row r="20" spans="1:17" ht="12.75">
      <c r="A20" s="20" t="s">
        <v>92</v>
      </c>
      <c r="B20" s="23">
        <v>16</v>
      </c>
      <c r="C20" s="22" t="s">
        <v>60</v>
      </c>
      <c r="D20" s="23">
        <f>B64</f>
        <v>0</v>
      </c>
      <c r="E20" s="36">
        <f t="shared" si="5"/>
        <v>0</v>
      </c>
      <c r="F20" s="36"/>
      <c r="G20" s="30">
        <f t="shared" si="6"/>
        <v>1</v>
      </c>
      <c r="H20" s="32">
        <v>0</v>
      </c>
      <c r="I20" s="31">
        <f t="shared" si="7"/>
        <v>0</v>
      </c>
      <c r="J20" s="32">
        <v>0</v>
      </c>
      <c r="K20" s="31">
        <f t="shared" si="0"/>
        <v>0</v>
      </c>
      <c r="L20" s="32">
        <v>1</v>
      </c>
      <c r="M20" s="31">
        <f t="shared" si="1"/>
        <v>0</v>
      </c>
      <c r="N20" s="32">
        <v>0</v>
      </c>
      <c r="O20" s="31">
        <f t="shared" si="2"/>
        <v>0</v>
      </c>
      <c r="P20" s="32">
        <v>0</v>
      </c>
      <c r="Q20" s="31">
        <f t="shared" si="3"/>
        <v>0</v>
      </c>
    </row>
    <row r="21" spans="1:17" ht="25.5">
      <c r="A21" s="20" t="s">
        <v>88</v>
      </c>
      <c r="B21" s="23">
        <v>40</v>
      </c>
      <c r="C21" s="22" t="s">
        <v>89</v>
      </c>
      <c r="D21" s="23">
        <f>B65</f>
        <v>1</v>
      </c>
      <c r="E21" s="36">
        <f t="shared" si="5"/>
        <v>40</v>
      </c>
      <c r="F21" s="36"/>
      <c r="G21" s="30">
        <f t="shared" si="6"/>
        <v>1</v>
      </c>
      <c r="H21" s="32">
        <v>0</v>
      </c>
      <c r="I21" s="31">
        <f t="shared" si="7"/>
        <v>0</v>
      </c>
      <c r="J21" s="32">
        <v>0</v>
      </c>
      <c r="K21" s="31">
        <f t="shared" si="0"/>
        <v>0</v>
      </c>
      <c r="L21" s="32">
        <v>1</v>
      </c>
      <c r="M21" s="31">
        <f t="shared" si="1"/>
        <v>40</v>
      </c>
      <c r="N21" s="32">
        <v>0</v>
      </c>
      <c r="O21" s="31">
        <f t="shared" si="2"/>
        <v>0</v>
      </c>
      <c r="P21" s="32">
        <v>0</v>
      </c>
      <c r="Q21" s="31">
        <f t="shared" si="3"/>
        <v>0</v>
      </c>
    </row>
    <row r="22" spans="1:17" ht="12.75">
      <c r="A22" s="20" t="s">
        <v>90</v>
      </c>
      <c r="B22" s="28">
        <v>0.1</v>
      </c>
      <c r="C22" s="22" t="s">
        <v>91</v>
      </c>
      <c r="D22" s="93">
        <f>SUM(E10:E21)</f>
        <v>440</v>
      </c>
      <c r="E22" s="36">
        <f t="shared" si="5"/>
        <v>44</v>
      </c>
      <c r="F22" s="36"/>
      <c r="G22" s="30">
        <f t="shared" si="6"/>
        <v>1</v>
      </c>
      <c r="H22" s="32">
        <v>0</v>
      </c>
      <c r="I22" s="31">
        <f t="shared" si="7"/>
        <v>0</v>
      </c>
      <c r="J22" s="32">
        <v>0</v>
      </c>
      <c r="K22" s="31">
        <f t="shared" si="0"/>
        <v>0</v>
      </c>
      <c r="L22" s="32">
        <v>1</v>
      </c>
      <c r="M22" s="31">
        <f t="shared" si="1"/>
        <v>44</v>
      </c>
      <c r="N22" s="32">
        <v>0</v>
      </c>
      <c r="O22" s="31">
        <f t="shared" si="2"/>
        <v>0</v>
      </c>
      <c r="P22" s="32">
        <v>0</v>
      </c>
      <c r="Q22" s="31">
        <f t="shared" si="3"/>
        <v>0</v>
      </c>
    </row>
    <row r="23" spans="5:6" ht="12.75">
      <c r="E23" s="36"/>
      <c r="F23" s="36"/>
    </row>
    <row r="24" spans="1:17" ht="12.75">
      <c r="A24" s="27" t="s">
        <v>71</v>
      </c>
      <c r="E24" s="37">
        <f>SUM(E10:E23)</f>
        <v>484</v>
      </c>
      <c r="F24" s="37"/>
      <c r="G24" s="37"/>
      <c r="H24" s="37"/>
      <c r="I24" s="37">
        <f>SUM(I10:I23)</f>
        <v>0</v>
      </c>
      <c r="J24" s="37"/>
      <c r="K24" s="37">
        <f>SUM(K10:K23)</f>
        <v>0</v>
      </c>
      <c r="L24" s="37"/>
      <c r="M24" s="37">
        <f>SUM(M10:M23)</f>
        <v>164</v>
      </c>
      <c r="N24" s="37"/>
      <c r="O24" s="37">
        <f>SUM(O10:O23)</f>
        <v>160</v>
      </c>
      <c r="P24" s="37"/>
      <c r="Q24" s="37">
        <f>SUM(Q10:Q23)</f>
        <v>160</v>
      </c>
    </row>
    <row r="25" spans="1:17" ht="12.75">
      <c r="A25" s="27"/>
      <c r="E25" s="37"/>
      <c r="F25" s="37"/>
      <c r="I25" s="27"/>
      <c r="K25" s="27"/>
      <c r="M25" s="27"/>
      <c r="O25" s="27"/>
      <c r="Q25" s="27"/>
    </row>
    <row r="26" spans="1:17" ht="25.5" customHeight="1">
      <c r="A26" s="27"/>
      <c r="E26" s="37"/>
      <c r="F26" s="37"/>
      <c r="G26" s="39" t="s">
        <v>94</v>
      </c>
      <c r="H26" s="105" t="s">
        <v>9</v>
      </c>
      <c r="I26" s="105"/>
      <c r="J26" s="105" t="s">
        <v>10</v>
      </c>
      <c r="K26" s="105"/>
      <c r="L26" s="105" t="s">
        <v>11</v>
      </c>
      <c r="M26" s="105"/>
      <c r="N26" s="105" t="s">
        <v>12</v>
      </c>
      <c r="O26" s="105"/>
      <c r="Q26" s="27"/>
    </row>
    <row r="27" spans="1:15" ht="12.75">
      <c r="A27" s="1" t="s">
        <v>65</v>
      </c>
      <c r="H27" s="22" t="s">
        <v>93</v>
      </c>
      <c r="I27" s="22" t="s">
        <v>63</v>
      </c>
      <c r="J27" s="22" t="s">
        <v>93</v>
      </c>
      <c r="K27" s="22" t="s">
        <v>63</v>
      </c>
      <c r="L27" s="22" t="s">
        <v>93</v>
      </c>
      <c r="M27" s="22" t="s">
        <v>63</v>
      </c>
      <c r="N27" s="22" t="s">
        <v>93</v>
      </c>
      <c r="O27" s="22" t="s">
        <v>63</v>
      </c>
    </row>
    <row r="28" spans="1:15" ht="12.75">
      <c r="A28" s="1"/>
      <c r="H28" s="22"/>
      <c r="I28" s="22"/>
      <c r="J28" s="22"/>
      <c r="K28" s="22"/>
      <c r="L28" s="22"/>
      <c r="M28" s="22"/>
      <c r="N28" s="22"/>
      <c r="O28" s="22"/>
    </row>
    <row r="29" spans="1:17" ht="12.75">
      <c r="A29" s="20" t="s">
        <v>68</v>
      </c>
      <c r="B29" s="23">
        <v>0</v>
      </c>
      <c r="C29" s="22" t="s">
        <v>182</v>
      </c>
      <c r="D29" s="26">
        <v>1</v>
      </c>
      <c r="E29">
        <f>D29*$B29</f>
        <v>0</v>
      </c>
      <c r="G29" s="30">
        <f>H29+J29+L29+N29+P29</f>
        <v>1</v>
      </c>
      <c r="H29" s="32">
        <v>0</v>
      </c>
      <c r="I29" s="31">
        <f>$E29*H29</f>
        <v>0</v>
      </c>
      <c r="J29" s="32">
        <v>0</v>
      </c>
      <c r="K29" s="31">
        <f>$E29*J29</f>
        <v>0</v>
      </c>
      <c r="L29" s="32">
        <v>0</v>
      </c>
      <c r="M29" s="31">
        <f>$E29*L29</f>
        <v>0</v>
      </c>
      <c r="N29" s="32">
        <v>1</v>
      </c>
      <c r="O29" s="31">
        <f>$E29*N29</f>
        <v>0</v>
      </c>
      <c r="P29" s="32"/>
      <c r="Q29" s="31"/>
    </row>
    <row r="30" spans="1:17" ht="25.5">
      <c r="A30" s="20" t="s">
        <v>66</v>
      </c>
      <c r="B30" s="23">
        <v>0</v>
      </c>
      <c r="C30" s="22" t="s">
        <v>61</v>
      </c>
      <c r="D30" s="26">
        <f>C42</f>
        <v>4</v>
      </c>
      <c r="E30">
        <f>D30*$B30</f>
        <v>0</v>
      </c>
      <c r="G30" s="30">
        <f>H30+J30+L30+N30+P30</f>
        <v>1</v>
      </c>
      <c r="H30" s="32">
        <v>0</v>
      </c>
      <c r="I30" s="31">
        <f>$E30*H30</f>
        <v>0</v>
      </c>
      <c r="J30" s="32">
        <v>1</v>
      </c>
      <c r="K30" s="31">
        <f>$E30*J30</f>
        <v>0</v>
      </c>
      <c r="L30" s="32">
        <v>0</v>
      </c>
      <c r="M30" s="31">
        <f>$E30*L30</f>
        <v>0</v>
      </c>
      <c r="N30" s="32">
        <v>0</v>
      </c>
      <c r="O30" s="31">
        <f>$E30*N30</f>
        <v>0</v>
      </c>
      <c r="P30" s="32"/>
      <c r="Q30" s="31"/>
    </row>
    <row r="31" spans="1:17" ht="25.5">
      <c r="A31" s="20" t="s">
        <v>69</v>
      </c>
      <c r="B31" s="23">
        <v>0</v>
      </c>
      <c r="C31" s="22" t="s">
        <v>61</v>
      </c>
      <c r="D31" s="26">
        <f>SUM(C41:C43)</f>
        <v>20</v>
      </c>
      <c r="E31">
        <f>D31*$B31</f>
        <v>0</v>
      </c>
      <c r="G31" s="30">
        <f>H31+J31+L31+N31+P31</f>
        <v>1</v>
      </c>
      <c r="H31" s="32">
        <v>0</v>
      </c>
      <c r="I31" s="31">
        <f>$E31*H31</f>
        <v>0</v>
      </c>
      <c r="J31" s="32">
        <v>0</v>
      </c>
      <c r="K31" s="31">
        <f>$E31*J31</f>
        <v>0</v>
      </c>
      <c r="L31" s="32">
        <v>0</v>
      </c>
      <c r="M31" s="31">
        <f>$E31*L31</f>
        <v>0</v>
      </c>
      <c r="N31" s="32">
        <v>1</v>
      </c>
      <c r="O31" s="31">
        <f>$E31*N31</f>
        <v>0</v>
      </c>
      <c r="P31" s="32"/>
      <c r="Q31" s="31"/>
    </row>
    <row r="32" spans="1:17" ht="12.75">
      <c r="A32" t="s">
        <v>67</v>
      </c>
      <c r="B32" s="23">
        <v>0</v>
      </c>
      <c r="C32" s="22" t="s">
        <v>58</v>
      </c>
      <c r="D32" s="93">
        <f>D11+D12+D13+D14</f>
        <v>0</v>
      </c>
      <c r="E32">
        <f>D32*$B32</f>
        <v>0</v>
      </c>
      <c r="G32" s="30">
        <f>H32+J32+L32+N32+P32</f>
        <v>1</v>
      </c>
      <c r="H32" s="32">
        <v>0</v>
      </c>
      <c r="I32" s="31">
        <f>$E32*H32</f>
        <v>0</v>
      </c>
      <c r="J32" s="32">
        <v>0</v>
      </c>
      <c r="K32" s="31">
        <f>$E32*J32</f>
        <v>0</v>
      </c>
      <c r="L32" s="32">
        <v>0</v>
      </c>
      <c r="M32" s="31">
        <f>$E32*L32</f>
        <v>0</v>
      </c>
      <c r="N32" s="32">
        <v>1</v>
      </c>
      <c r="O32" s="31">
        <f>$E32*N32</f>
        <v>0</v>
      </c>
      <c r="P32" s="32"/>
      <c r="Q32" s="31"/>
    </row>
    <row r="33" spans="1:17" ht="25.5">
      <c r="A33" s="20" t="s">
        <v>81</v>
      </c>
      <c r="B33" s="23">
        <v>0</v>
      </c>
      <c r="C33" s="22" t="s">
        <v>61</v>
      </c>
      <c r="D33" s="22">
        <f>C43</f>
        <v>4</v>
      </c>
      <c r="E33">
        <f>D33*$B33</f>
        <v>0</v>
      </c>
      <c r="G33" s="30">
        <f>H33+J33+L33+N33+P33</f>
        <v>1</v>
      </c>
      <c r="H33" s="32">
        <v>0.25</v>
      </c>
      <c r="I33" s="31">
        <f>$E33*H33</f>
        <v>0</v>
      </c>
      <c r="J33" s="32">
        <v>0.75</v>
      </c>
      <c r="K33" s="31">
        <f>$E33*J33</f>
        <v>0</v>
      </c>
      <c r="L33" s="32">
        <v>0</v>
      </c>
      <c r="M33" s="31">
        <f>$E33*L33</f>
        <v>0</v>
      </c>
      <c r="N33" s="32">
        <v>0</v>
      </c>
      <c r="O33" s="31">
        <f>$E33*N33</f>
        <v>0</v>
      </c>
      <c r="P33" s="32"/>
      <c r="Q33" s="31"/>
    </row>
    <row r="35" spans="1:17" ht="12.75">
      <c r="A35" s="27" t="s">
        <v>71</v>
      </c>
      <c r="E35" s="37">
        <f>SUM(E29:E34)</f>
        <v>0</v>
      </c>
      <c r="F35" s="37"/>
      <c r="G35" s="37"/>
      <c r="H35" s="37"/>
      <c r="I35" s="37">
        <f>SUM(I29:I34)</f>
        <v>0</v>
      </c>
      <c r="J35" s="37"/>
      <c r="K35" s="37">
        <f>SUM(K29:K34)</f>
        <v>0</v>
      </c>
      <c r="L35" s="37"/>
      <c r="M35" s="37">
        <f>SUM(M29:M34)</f>
        <v>0</v>
      </c>
      <c r="N35" s="37"/>
      <c r="O35" s="37">
        <f>SUM(O29:O34)</f>
        <v>0</v>
      </c>
      <c r="Q35" s="27"/>
    </row>
    <row r="38" spans="1:4" ht="25.5">
      <c r="A38" s="1" t="s">
        <v>73</v>
      </c>
      <c r="B38" s="25" t="s">
        <v>78</v>
      </c>
      <c r="C38" s="3" t="s">
        <v>80</v>
      </c>
      <c r="D38" s="25" t="s">
        <v>79</v>
      </c>
    </row>
    <row r="39" spans="1:14" ht="12.75">
      <c r="A39" t="s">
        <v>104</v>
      </c>
      <c r="B39" s="33">
        <f>D39-C39*7</f>
        <v>38798</v>
      </c>
      <c r="C39" s="23">
        <v>6</v>
      </c>
      <c r="D39" s="34">
        <f>B40</f>
        <v>38840</v>
      </c>
      <c r="K39" s="105"/>
      <c r="L39" s="105"/>
      <c r="M39" s="105"/>
      <c r="N39" s="105"/>
    </row>
    <row r="40" spans="1:4" ht="12.75">
      <c r="A40" t="s">
        <v>74</v>
      </c>
      <c r="B40" s="34">
        <f>D40-C40*7</f>
        <v>38840</v>
      </c>
      <c r="C40" s="23">
        <v>6</v>
      </c>
      <c r="D40" s="34">
        <f>B41</f>
        <v>38882</v>
      </c>
    </row>
    <row r="41" spans="1:4" ht="12.75">
      <c r="A41" t="s">
        <v>75</v>
      </c>
      <c r="B41" s="34">
        <f>D41-C41*7</f>
        <v>38882</v>
      </c>
      <c r="C41" s="23">
        <v>12</v>
      </c>
      <c r="D41" s="34">
        <f>B42</f>
        <v>38966</v>
      </c>
    </row>
    <row r="42" spans="1:4" ht="12.75">
      <c r="A42" t="s">
        <v>77</v>
      </c>
      <c r="B42" s="34">
        <f>D42-C42*7</f>
        <v>38966</v>
      </c>
      <c r="C42" s="23">
        <v>4</v>
      </c>
      <c r="D42" s="34">
        <f>B43</f>
        <v>38994</v>
      </c>
    </row>
    <row r="43" spans="1:4" ht="12.75">
      <c r="A43" t="s">
        <v>76</v>
      </c>
      <c r="B43" s="34">
        <f>D43-C43*7</f>
        <v>38994</v>
      </c>
      <c r="C43" s="23">
        <v>4</v>
      </c>
      <c r="D43" s="35">
        <v>39022</v>
      </c>
    </row>
    <row r="47" ht="12.75">
      <c r="A47" s="1" t="s">
        <v>96</v>
      </c>
    </row>
    <row r="49" ht="12.75">
      <c r="A49" s="1"/>
    </row>
    <row r="51" spans="3:17" ht="76.5" customHeight="1">
      <c r="C51" s="92"/>
      <c r="D51" s="92"/>
      <c r="E51" s="98"/>
      <c r="F51" s="98"/>
      <c r="G51" s="92"/>
      <c r="H51" s="92"/>
      <c r="I51" s="98"/>
      <c r="J51" s="92"/>
      <c r="K51" s="92"/>
      <c r="L51" s="92"/>
      <c r="M51" s="92"/>
      <c r="N51" s="98"/>
      <c r="O51" s="92"/>
      <c r="P51" s="92"/>
      <c r="Q51" s="98"/>
    </row>
    <row r="52" ht="12.75">
      <c r="A52" t="s">
        <v>50</v>
      </c>
    </row>
    <row r="53" ht="12.75">
      <c r="A53" t="s">
        <v>51</v>
      </c>
    </row>
    <row r="54" ht="12.75">
      <c r="A54" t="s">
        <v>52</v>
      </c>
    </row>
    <row r="55" ht="12.75">
      <c r="A55" t="s">
        <v>53</v>
      </c>
    </row>
    <row r="56" ht="12.75">
      <c r="A56" t="s">
        <v>82</v>
      </c>
    </row>
    <row r="57" ht="12.75">
      <c r="A57" t="s">
        <v>83</v>
      </c>
    </row>
    <row r="58" spans="1:3" ht="12.75">
      <c r="A58" t="s">
        <v>84</v>
      </c>
      <c r="B58">
        <v>4</v>
      </c>
      <c r="C58" t="s">
        <v>188</v>
      </c>
    </row>
    <row r="59" ht="12.75">
      <c r="A59" s="20" t="s">
        <v>86</v>
      </c>
    </row>
    <row r="60" ht="12.75">
      <c r="A60" s="20" t="s">
        <v>87</v>
      </c>
    </row>
    <row r="61" spans="1:3" ht="12.75">
      <c r="A61" t="s">
        <v>85</v>
      </c>
      <c r="B61">
        <v>2</v>
      </c>
      <c r="C61" t="s">
        <v>186</v>
      </c>
    </row>
    <row r="62" ht="12.75">
      <c r="C62" t="s">
        <v>187</v>
      </c>
    </row>
    <row r="64" ht="12.75">
      <c r="A64" t="s">
        <v>92</v>
      </c>
    </row>
    <row r="65" spans="1:2" ht="12.75">
      <c r="A65" t="s">
        <v>88</v>
      </c>
      <c r="B65">
        <v>1</v>
      </c>
    </row>
    <row r="66" spans="1:2" ht="12.75">
      <c r="A66" t="s">
        <v>90</v>
      </c>
      <c r="B66" s="29"/>
    </row>
  </sheetData>
  <mergeCells count="14">
    <mergeCell ref="H26:I26"/>
    <mergeCell ref="E8:F8"/>
    <mergeCell ref="A6:F7"/>
    <mergeCell ref="G6:Q6"/>
    <mergeCell ref="N7:O7"/>
    <mergeCell ref="P7:Q7"/>
    <mergeCell ref="H7:I7"/>
    <mergeCell ref="J7:K7"/>
    <mergeCell ref="L7:M7"/>
    <mergeCell ref="K39:L39"/>
    <mergeCell ref="M39:N39"/>
    <mergeCell ref="J26:K26"/>
    <mergeCell ref="L26:M26"/>
    <mergeCell ref="N26:O26"/>
  </mergeCells>
  <printOptions/>
  <pageMargins left="0.75" right="0.75" top="1" bottom="1" header="0.5" footer="0.5"/>
  <pageSetup fitToHeight="2" horizontalDpi="300" verticalDpi="300" orientation="landscape" scale="90" r:id="rId1"/>
  <headerFooter alignWithMargins="0">
    <oddHeader xml:space="preserve">&amp;C&amp;"Arial,Bold"&amp;14NCSX Fabrication Project Cost and Schedule  </oddHeader>
    <oddFooter>&amp;C&amp;"Arial,Bold"&amp;P</oddFooter>
  </headerFooter>
  <rowBreaks count="2" manualBreakCount="2">
    <brk id="25" max="16" man="1"/>
    <brk id="45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78"/>
  <sheetViews>
    <sheetView view="pageBreakPreview" zoomScale="60" workbookViewId="0" topLeftCell="A1">
      <selection activeCell="A6" sqref="A6:E7"/>
    </sheetView>
  </sheetViews>
  <sheetFormatPr defaultColWidth="9.140625" defaultRowHeight="12.75"/>
  <cols>
    <col min="1" max="1" width="29.57421875" style="0" customWidth="1"/>
    <col min="2" max="2" width="8.7109375" style="0" customWidth="1"/>
    <col min="4" max="4" width="7.140625" style="0" customWidth="1"/>
    <col min="5" max="5" width="6.28125" style="0" customWidth="1"/>
    <col min="6" max="6" width="2.28125" style="0" customWidth="1"/>
    <col min="7" max="7" width="7.28125" style="0" customWidth="1"/>
    <col min="8" max="8" width="5.7109375" style="0" customWidth="1"/>
    <col min="9" max="9" width="4.7109375" style="0" customWidth="1"/>
    <col min="10" max="10" width="5.7109375" style="0" customWidth="1"/>
    <col min="11" max="11" width="4.7109375" style="0" customWidth="1"/>
    <col min="12" max="12" width="5.7109375" style="0" customWidth="1"/>
    <col min="13" max="13" width="4.7109375" style="0" customWidth="1"/>
    <col min="14" max="14" width="5.7109375" style="0" customWidth="1"/>
    <col min="15" max="15" width="4.7109375" style="0" customWidth="1"/>
    <col min="16" max="16" width="5.7109375" style="0" customWidth="1"/>
    <col min="17" max="17" width="4.7109375" style="0" customWidth="1"/>
    <col min="18" max="19" width="5.7109375" style="0" customWidth="1"/>
  </cols>
  <sheetData>
    <row r="1" ht="20.25">
      <c r="A1" s="65" t="str">
        <f>'Fab Project'!A1</f>
        <v>WBS 163 Coil Protection System</v>
      </c>
    </row>
    <row r="3" spans="1:17" ht="18.75" thickBot="1">
      <c r="A3" s="74" t="s">
        <v>100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ht="12.75">
      <c r="A4" s="1"/>
    </row>
    <row r="5" ht="12.75">
      <c r="A5" s="1" t="s">
        <v>72</v>
      </c>
    </row>
    <row r="6" spans="1:5" ht="21.75" customHeight="1">
      <c r="A6" s="107" t="s">
        <v>189</v>
      </c>
      <c r="B6" s="107"/>
      <c r="C6" s="107"/>
      <c r="D6" s="107"/>
      <c r="E6" s="107"/>
    </row>
    <row r="7" spans="1:5" ht="20.25" customHeight="1">
      <c r="A7" s="107"/>
      <c r="B7" s="107"/>
      <c r="C7" s="107"/>
      <c r="D7" s="107"/>
      <c r="E7" s="107"/>
    </row>
    <row r="8" spans="1:19" ht="12.75">
      <c r="A8" s="13" t="s">
        <v>106</v>
      </c>
      <c r="B8" s="11"/>
      <c r="C8" s="24"/>
      <c r="D8" s="24"/>
      <c r="E8" s="24"/>
      <c r="F8" s="24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</row>
    <row r="9" spans="1:19" ht="12.75">
      <c r="A9" s="14" t="s">
        <v>16</v>
      </c>
      <c r="B9" s="50">
        <f>(Q32+S41)*B10</f>
        <v>0</v>
      </c>
      <c r="C9" s="48" t="s">
        <v>130</v>
      </c>
      <c r="F9" s="107"/>
      <c r="G9" s="107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19" ht="12.75">
      <c r="A10" t="s">
        <v>129</v>
      </c>
      <c r="B10" s="49">
        <f>'M&amp;S'!B8</f>
        <v>120</v>
      </c>
      <c r="C10" t="s">
        <v>118</v>
      </c>
      <c r="F10" s="24"/>
      <c r="G10" s="24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spans="1:19" ht="12.75">
      <c r="A11" s="14" t="s">
        <v>15</v>
      </c>
      <c r="B11" s="50">
        <f>ROUND(B69,-2)</f>
        <v>0</v>
      </c>
      <c r="C11" t="s">
        <v>130</v>
      </c>
      <c r="F11" s="107"/>
      <c r="G11" s="107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  <row r="12" spans="1:7" ht="12.75">
      <c r="A12" s="14" t="s">
        <v>127</v>
      </c>
      <c r="B12" s="49">
        <f>'M&amp;S'!B9</f>
        <v>60</v>
      </c>
      <c r="C12" t="s">
        <v>118</v>
      </c>
      <c r="F12" s="107"/>
      <c r="G12" s="107"/>
    </row>
    <row r="13" spans="1:17" ht="12.75">
      <c r="A13" s="14" t="s">
        <v>128</v>
      </c>
      <c r="B13" s="49">
        <f>'M&amp;S'!B10</f>
        <v>80</v>
      </c>
      <c r="C13" t="s">
        <v>118</v>
      </c>
      <c r="F13" s="100" t="s">
        <v>99</v>
      </c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1:17" ht="20.25" customHeight="1">
      <c r="A14" s="1" t="s">
        <v>107</v>
      </c>
      <c r="B14" s="11"/>
      <c r="C14" s="24"/>
      <c r="D14" s="24"/>
      <c r="E14" s="24"/>
      <c r="G14" s="111" t="s">
        <v>94</v>
      </c>
      <c r="H14" s="110" t="s">
        <v>9</v>
      </c>
      <c r="I14" s="110"/>
      <c r="J14" s="110" t="s">
        <v>11</v>
      </c>
      <c r="K14" s="110"/>
      <c r="L14" s="110" t="s">
        <v>12</v>
      </c>
      <c r="M14" s="110"/>
      <c r="N14" s="110" t="s">
        <v>10</v>
      </c>
      <c r="O14" s="110"/>
      <c r="P14" s="110" t="s">
        <v>105</v>
      </c>
      <c r="Q14" s="110"/>
    </row>
    <row r="15" spans="1:17" ht="12.75">
      <c r="A15" s="10"/>
      <c r="C15" s="25" t="s">
        <v>55</v>
      </c>
      <c r="D15" s="25" t="s">
        <v>56</v>
      </c>
      <c r="E15" s="106" t="s">
        <v>95</v>
      </c>
      <c r="F15" s="106"/>
      <c r="G15" s="111"/>
      <c r="H15" s="22" t="s">
        <v>93</v>
      </c>
      <c r="I15" s="22" t="s">
        <v>63</v>
      </c>
      <c r="J15" s="22" t="s">
        <v>93</v>
      </c>
      <c r="K15" s="22" t="s">
        <v>63</v>
      </c>
      <c r="L15" s="22" t="s">
        <v>93</v>
      </c>
      <c r="M15" s="22" t="s">
        <v>63</v>
      </c>
      <c r="N15" s="22" t="s">
        <v>93</v>
      </c>
      <c r="O15" s="22" t="s">
        <v>63</v>
      </c>
      <c r="P15" s="22" t="s">
        <v>93</v>
      </c>
      <c r="Q15" s="22" t="s">
        <v>63</v>
      </c>
    </row>
    <row r="16" ht="12.75">
      <c r="A16" s="1" t="s">
        <v>101</v>
      </c>
    </row>
    <row r="17" spans="1:17" ht="12.75">
      <c r="A17" t="s">
        <v>50</v>
      </c>
      <c r="B17" s="23">
        <v>0</v>
      </c>
      <c r="C17" s="22" t="s">
        <v>57</v>
      </c>
      <c r="D17" s="23">
        <v>0</v>
      </c>
      <c r="E17" s="36">
        <f>D17*$B17</f>
        <v>0</v>
      </c>
      <c r="F17" s="36"/>
      <c r="G17" s="30">
        <f>H17+J17+L17+N17+P17+Q17</f>
        <v>1</v>
      </c>
      <c r="H17" s="32">
        <v>0</v>
      </c>
      <c r="I17" s="31">
        <f>$E17*H17</f>
        <v>0</v>
      </c>
      <c r="J17" s="32">
        <v>0</v>
      </c>
      <c r="K17" s="31">
        <f>$E17*J17</f>
        <v>0</v>
      </c>
      <c r="L17" s="32">
        <v>1</v>
      </c>
      <c r="M17" s="31">
        <f>$E17*L17</f>
        <v>0</v>
      </c>
      <c r="N17" s="32">
        <v>0</v>
      </c>
      <c r="O17" s="31">
        <f>$E17*N17</f>
        <v>0</v>
      </c>
      <c r="P17" s="32">
        <v>0</v>
      </c>
      <c r="Q17" s="31">
        <f aca="true" t="shared" si="0" ref="Q17:Q30">$E17*P17</f>
        <v>0</v>
      </c>
    </row>
    <row r="18" spans="1:17" ht="12.75">
      <c r="A18" t="s">
        <v>51</v>
      </c>
      <c r="B18" s="23">
        <v>0</v>
      </c>
      <c r="C18" s="22" t="s">
        <v>58</v>
      </c>
      <c r="D18" s="23">
        <v>0</v>
      </c>
      <c r="E18" s="36">
        <f aca="true" t="shared" si="1" ref="E18:E30">D18*$B18</f>
        <v>0</v>
      </c>
      <c r="F18" s="36"/>
      <c r="G18" s="30">
        <f aca="true" t="shared" si="2" ref="G18:G30">H18+J18+L18+N18+P18+Q18</f>
        <v>1</v>
      </c>
      <c r="H18" s="32">
        <v>0</v>
      </c>
      <c r="I18" s="31">
        <f aca="true" t="shared" si="3" ref="I18:K30">$E18*H18</f>
        <v>0</v>
      </c>
      <c r="J18" s="32">
        <v>0</v>
      </c>
      <c r="K18" s="31">
        <f t="shared" si="3"/>
        <v>0</v>
      </c>
      <c r="L18" s="32">
        <v>1</v>
      </c>
      <c r="M18" s="31">
        <f aca="true" t="shared" si="4" ref="M18:M30">$E18*L18</f>
        <v>0</v>
      </c>
      <c r="N18" s="32">
        <v>0</v>
      </c>
      <c r="O18" s="31">
        <f aca="true" t="shared" si="5" ref="O18:O30">$E18*N18</f>
        <v>0</v>
      </c>
      <c r="P18" s="32">
        <v>0</v>
      </c>
      <c r="Q18" s="31">
        <f t="shared" si="0"/>
        <v>0</v>
      </c>
    </row>
    <row r="19" spans="1:17" ht="12.75">
      <c r="A19" t="s">
        <v>52</v>
      </c>
      <c r="B19" s="23">
        <v>0</v>
      </c>
      <c r="C19" s="22" t="s">
        <v>58</v>
      </c>
      <c r="D19" s="23">
        <v>0</v>
      </c>
      <c r="E19" s="36">
        <f t="shared" si="1"/>
        <v>0</v>
      </c>
      <c r="F19" s="36"/>
      <c r="G19" s="30">
        <f t="shared" si="2"/>
        <v>1</v>
      </c>
      <c r="H19" s="32">
        <v>0</v>
      </c>
      <c r="I19" s="31">
        <f t="shared" si="3"/>
        <v>0</v>
      </c>
      <c r="J19" s="32">
        <v>0</v>
      </c>
      <c r="K19" s="31">
        <f t="shared" si="3"/>
        <v>0</v>
      </c>
      <c r="L19" s="32">
        <v>1</v>
      </c>
      <c r="M19" s="31">
        <f t="shared" si="4"/>
        <v>0</v>
      </c>
      <c r="N19" s="32">
        <v>0</v>
      </c>
      <c r="O19" s="31">
        <f t="shared" si="5"/>
        <v>0</v>
      </c>
      <c r="P19" s="32">
        <v>0</v>
      </c>
      <c r="Q19" s="31">
        <f t="shared" si="0"/>
        <v>0</v>
      </c>
    </row>
    <row r="20" spans="1:17" ht="12.75">
      <c r="A20" t="s">
        <v>53</v>
      </c>
      <c r="B20" s="23">
        <v>0</v>
      </c>
      <c r="C20" s="22" t="s">
        <v>58</v>
      </c>
      <c r="D20" s="23">
        <v>0</v>
      </c>
      <c r="E20" s="36">
        <f t="shared" si="1"/>
        <v>0</v>
      </c>
      <c r="F20" s="36"/>
      <c r="G20" s="30">
        <f t="shared" si="2"/>
        <v>1</v>
      </c>
      <c r="H20" s="32">
        <v>0</v>
      </c>
      <c r="I20" s="31">
        <f t="shared" si="3"/>
        <v>0</v>
      </c>
      <c r="J20" s="32">
        <v>0</v>
      </c>
      <c r="K20" s="31">
        <f t="shared" si="3"/>
        <v>0</v>
      </c>
      <c r="L20" s="32">
        <v>1</v>
      </c>
      <c r="M20" s="31">
        <f t="shared" si="4"/>
        <v>0</v>
      </c>
      <c r="N20" s="32">
        <v>0</v>
      </c>
      <c r="O20" s="31">
        <f t="shared" si="5"/>
        <v>0</v>
      </c>
      <c r="P20" s="32">
        <v>0</v>
      </c>
      <c r="Q20" s="31">
        <f t="shared" si="0"/>
        <v>0</v>
      </c>
    </row>
    <row r="21" spans="1:17" ht="12.75">
      <c r="A21" t="s">
        <v>82</v>
      </c>
      <c r="B21" s="23">
        <v>0</v>
      </c>
      <c r="C21" s="22" t="s">
        <v>58</v>
      </c>
      <c r="D21" s="23">
        <v>0</v>
      </c>
      <c r="E21" s="36">
        <f t="shared" si="1"/>
        <v>0</v>
      </c>
      <c r="F21" s="36"/>
      <c r="G21" s="30">
        <f t="shared" si="2"/>
        <v>1</v>
      </c>
      <c r="H21" s="32">
        <v>0</v>
      </c>
      <c r="I21" s="31">
        <f t="shared" si="3"/>
        <v>0</v>
      </c>
      <c r="J21" s="32">
        <v>0</v>
      </c>
      <c r="K21" s="31">
        <f t="shared" si="3"/>
        <v>0</v>
      </c>
      <c r="L21" s="32">
        <v>1</v>
      </c>
      <c r="M21" s="31">
        <f t="shared" si="4"/>
        <v>0</v>
      </c>
      <c r="N21" s="32">
        <v>0</v>
      </c>
      <c r="O21" s="31">
        <f t="shared" si="5"/>
        <v>0</v>
      </c>
      <c r="P21" s="32">
        <v>0</v>
      </c>
      <c r="Q21" s="31">
        <f t="shared" si="0"/>
        <v>0</v>
      </c>
    </row>
    <row r="22" spans="1:17" ht="12.75">
      <c r="A22" t="s">
        <v>83</v>
      </c>
      <c r="B22" s="23">
        <v>0</v>
      </c>
      <c r="C22" s="22" t="s">
        <v>58</v>
      </c>
      <c r="D22" s="23">
        <v>0</v>
      </c>
      <c r="E22" s="36">
        <f t="shared" si="1"/>
        <v>0</v>
      </c>
      <c r="F22" s="36"/>
      <c r="G22" s="30">
        <f t="shared" si="2"/>
        <v>1</v>
      </c>
      <c r="H22" s="32">
        <v>0</v>
      </c>
      <c r="I22" s="31">
        <f t="shared" si="3"/>
        <v>0</v>
      </c>
      <c r="J22" s="32">
        <v>0</v>
      </c>
      <c r="K22" s="31">
        <f t="shared" si="3"/>
        <v>0</v>
      </c>
      <c r="L22" s="32">
        <v>1</v>
      </c>
      <c r="M22" s="31">
        <f t="shared" si="4"/>
        <v>0</v>
      </c>
      <c r="N22" s="32">
        <v>0</v>
      </c>
      <c r="O22" s="31">
        <f t="shared" si="5"/>
        <v>0</v>
      </c>
      <c r="P22" s="32">
        <v>0</v>
      </c>
      <c r="Q22" s="31">
        <f t="shared" si="0"/>
        <v>0</v>
      </c>
    </row>
    <row r="23" spans="1:17" ht="12.75">
      <c r="A23" t="s">
        <v>84</v>
      </c>
      <c r="B23" s="23">
        <v>0</v>
      </c>
      <c r="C23" s="22" t="s">
        <v>58</v>
      </c>
      <c r="D23" s="23">
        <v>0</v>
      </c>
      <c r="E23" s="36">
        <f t="shared" si="1"/>
        <v>0</v>
      </c>
      <c r="F23" s="36"/>
      <c r="G23" s="30">
        <f t="shared" si="2"/>
        <v>1</v>
      </c>
      <c r="H23" s="32">
        <v>0</v>
      </c>
      <c r="I23" s="31">
        <f t="shared" si="3"/>
        <v>0</v>
      </c>
      <c r="J23" s="32">
        <v>0</v>
      </c>
      <c r="K23" s="31">
        <f t="shared" si="3"/>
        <v>0</v>
      </c>
      <c r="L23" s="32">
        <v>1</v>
      </c>
      <c r="M23" s="31">
        <f t="shared" si="4"/>
        <v>0</v>
      </c>
      <c r="N23" s="32">
        <v>0</v>
      </c>
      <c r="O23" s="31">
        <f t="shared" si="5"/>
        <v>0</v>
      </c>
      <c r="P23" s="32">
        <v>0</v>
      </c>
      <c r="Q23" s="31">
        <f t="shared" si="0"/>
        <v>0</v>
      </c>
    </row>
    <row r="24" spans="1:17" ht="12.75">
      <c r="A24" t="s">
        <v>85</v>
      </c>
      <c r="B24" s="23">
        <v>0</v>
      </c>
      <c r="C24" s="22" t="s">
        <v>59</v>
      </c>
      <c r="D24" s="23">
        <v>0</v>
      </c>
      <c r="E24" s="36">
        <f t="shared" si="1"/>
        <v>0</v>
      </c>
      <c r="F24" s="36"/>
      <c r="G24" s="30">
        <f t="shared" si="2"/>
        <v>1</v>
      </c>
      <c r="H24" s="32">
        <v>0</v>
      </c>
      <c r="I24" s="31">
        <f t="shared" si="3"/>
        <v>0</v>
      </c>
      <c r="J24" s="32">
        <v>0</v>
      </c>
      <c r="K24" s="31">
        <f t="shared" si="3"/>
        <v>0</v>
      </c>
      <c r="L24" s="32">
        <v>1</v>
      </c>
      <c r="M24" s="31">
        <f t="shared" si="4"/>
        <v>0</v>
      </c>
      <c r="N24" s="32">
        <v>0</v>
      </c>
      <c r="O24" s="31">
        <f t="shared" si="5"/>
        <v>0</v>
      </c>
      <c r="P24" s="32">
        <v>0</v>
      </c>
      <c r="Q24" s="31">
        <f t="shared" si="0"/>
        <v>0</v>
      </c>
    </row>
    <row r="25" spans="1:17" ht="12.75">
      <c r="A25" t="s">
        <v>92</v>
      </c>
      <c r="B25" s="23">
        <v>8</v>
      </c>
      <c r="C25" s="22" t="s">
        <v>60</v>
      </c>
      <c r="D25" s="23">
        <v>0</v>
      </c>
      <c r="E25" s="36">
        <f t="shared" si="1"/>
        <v>0</v>
      </c>
      <c r="F25" s="36"/>
      <c r="G25" s="30">
        <f t="shared" si="2"/>
        <v>1</v>
      </c>
      <c r="H25" s="32">
        <v>0</v>
      </c>
      <c r="I25" s="31">
        <f t="shared" si="3"/>
        <v>0</v>
      </c>
      <c r="J25" s="32">
        <v>0</v>
      </c>
      <c r="K25" s="31">
        <f t="shared" si="3"/>
        <v>0</v>
      </c>
      <c r="L25" s="32">
        <v>1</v>
      </c>
      <c r="M25" s="31">
        <f t="shared" si="4"/>
        <v>0</v>
      </c>
      <c r="N25" s="32">
        <v>0</v>
      </c>
      <c r="O25" s="31">
        <f t="shared" si="5"/>
        <v>0</v>
      </c>
      <c r="P25" s="32">
        <v>0</v>
      </c>
      <c r="Q25" s="31">
        <f t="shared" si="0"/>
        <v>0</v>
      </c>
    </row>
    <row r="26" spans="1:17" ht="12.75">
      <c r="A26" t="s">
        <v>134</v>
      </c>
      <c r="B26" s="23">
        <v>0</v>
      </c>
      <c r="C26" s="22" t="s">
        <v>58</v>
      </c>
      <c r="D26" s="23">
        <v>0</v>
      </c>
      <c r="E26" s="36">
        <f>D26*$B26</f>
        <v>0</v>
      </c>
      <c r="F26" s="36"/>
      <c r="G26" s="30">
        <f>H26+J26+L26+N26+P26</f>
        <v>1</v>
      </c>
      <c r="H26" s="32"/>
      <c r="I26" s="31"/>
      <c r="J26" s="32"/>
      <c r="K26" s="31"/>
      <c r="L26" s="32"/>
      <c r="M26" s="31"/>
      <c r="N26" s="32"/>
      <c r="O26" s="31"/>
      <c r="P26" s="32">
        <v>1</v>
      </c>
      <c r="Q26" s="31">
        <f t="shared" si="0"/>
        <v>0</v>
      </c>
    </row>
    <row r="27" spans="1:17" ht="12.75">
      <c r="A27" t="s">
        <v>135</v>
      </c>
      <c r="B27" s="23">
        <v>0</v>
      </c>
      <c r="C27" s="22" t="s">
        <v>57</v>
      </c>
      <c r="D27" s="23">
        <v>0</v>
      </c>
      <c r="E27" s="36">
        <f>D27*$B27</f>
        <v>0</v>
      </c>
      <c r="F27" s="36"/>
      <c r="G27" s="30">
        <f>H27+J27+L27+N27+P27</f>
        <v>1</v>
      </c>
      <c r="H27" s="32"/>
      <c r="I27" s="31"/>
      <c r="J27" s="32"/>
      <c r="K27" s="31"/>
      <c r="L27" s="32"/>
      <c r="M27" s="31"/>
      <c r="N27" s="32"/>
      <c r="O27" s="31"/>
      <c r="P27" s="32">
        <v>1</v>
      </c>
      <c r="Q27" s="31">
        <f t="shared" si="0"/>
        <v>0</v>
      </c>
    </row>
    <row r="28" spans="1:17" ht="12.75">
      <c r="A28" t="s">
        <v>136</v>
      </c>
      <c r="B28" s="28">
        <v>0.2</v>
      </c>
      <c r="C28" s="22" t="s">
        <v>91</v>
      </c>
      <c r="D28" s="51">
        <f>(E26+E27)</f>
        <v>0</v>
      </c>
      <c r="E28" s="36">
        <f>0.2*D28</f>
        <v>0</v>
      </c>
      <c r="F28" s="36"/>
      <c r="G28" s="30">
        <f>H28+J28+L28+N28+P28</f>
        <v>1</v>
      </c>
      <c r="H28" s="32"/>
      <c r="I28" s="31"/>
      <c r="J28" s="32"/>
      <c r="K28" s="31"/>
      <c r="L28" s="32"/>
      <c r="M28" s="31"/>
      <c r="N28" s="32"/>
      <c r="O28" s="31"/>
      <c r="P28" s="32">
        <v>1</v>
      </c>
      <c r="Q28" s="31">
        <f t="shared" si="0"/>
        <v>0</v>
      </c>
    </row>
    <row r="29" spans="1:17" ht="12.75">
      <c r="A29" t="s">
        <v>88</v>
      </c>
      <c r="B29" s="23">
        <v>0</v>
      </c>
      <c r="C29" s="22" t="s">
        <v>89</v>
      </c>
      <c r="D29" s="23">
        <v>0</v>
      </c>
      <c r="E29" s="36">
        <f t="shared" si="1"/>
        <v>0</v>
      </c>
      <c r="F29" s="36"/>
      <c r="G29" s="30">
        <f t="shared" si="2"/>
        <v>1</v>
      </c>
      <c r="H29" s="32">
        <v>0</v>
      </c>
      <c r="I29" s="31">
        <f t="shared" si="3"/>
        <v>0</v>
      </c>
      <c r="J29" s="32">
        <v>0</v>
      </c>
      <c r="K29" s="31">
        <f t="shared" si="3"/>
        <v>0</v>
      </c>
      <c r="L29" s="32">
        <v>1</v>
      </c>
      <c r="M29" s="31">
        <f t="shared" si="4"/>
        <v>0</v>
      </c>
      <c r="N29" s="32">
        <v>0</v>
      </c>
      <c r="O29" s="31">
        <f t="shared" si="5"/>
        <v>0</v>
      </c>
      <c r="P29" s="32">
        <v>0</v>
      </c>
      <c r="Q29" s="31">
        <f t="shared" si="0"/>
        <v>0</v>
      </c>
    </row>
    <row r="30" spans="1:17" ht="12.75">
      <c r="A30" t="s">
        <v>90</v>
      </c>
      <c r="B30" s="28">
        <v>0.1</v>
      </c>
      <c r="C30" s="22" t="s">
        <v>91</v>
      </c>
      <c r="D30" s="51">
        <f>SUM(E17:E29)-SUM(E26:E28)</f>
        <v>0</v>
      </c>
      <c r="E30" s="36">
        <f t="shared" si="1"/>
        <v>0</v>
      </c>
      <c r="F30" s="36"/>
      <c r="G30" s="30">
        <f t="shared" si="2"/>
        <v>1</v>
      </c>
      <c r="H30" s="32">
        <v>0</v>
      </c>
      <c r="I30" s="31">
        <f t="shared" si="3"/>
        <v>0</v>
      </c>
      <c r="J30" s="32">
        <v>0</v>
      </c>
      <c r="K30" s="31">
        <f t="shared" si="3"/>
        <v>0</v>
      </c>
      <c r="L30" s="32">
        <v>1</v>
      </c>
      <c r="M30" s="31">
        <f t="shared" si="4"/>
        <v>0</v>
      </c>
      <c r="N30" s="32">
        <v>0</v>
      </c>
      <c r="O30" s="31">
        <f t="shared" si="5"/>
        <v>0</v>
      </c>
      <c r="P30" s="32">
        <v>0</v>
      </c>
      <c r="Q30" s="31">
        <f t="shared" si="0"/>
        <v>0</v>
      </c>
    </row>
    <row r="31" spans="5:6" ht="12.75">
      <c r="E31" s="36"/>
      <c r="F31" s="36"/>
    </row>
    <row r="32" spans="1:17" ht="12.75">
      <c r="A32" s="27" t="s">
        <v>71</v>
      </c>
      <c r="E32" s="37">
        <f>SUM(E17:E31)</f>
        <v>0</v>
      </c>
      <c r="F32" s="37"/>
      <c r="G32" s="37"/>
      <c r="H32" s="37"/>
      <c r="I32" s="37">
        <f>SUM(I17:I31)</f>
        <v>0</v>
      </c>
      <c r="J32" s="37"/>
      <c r="K32" s="37">
        <f>SUM(K17:K31)</f>
        <v>0</v>
      </c>
      <c r="L32" s="37"/>
      <c r="M32" s="37">
        <f>SUM(M17:M31)</f>
        <v>0</v>
      </c>
      <c r="N32" s="37"/>
      <c r="O32" s="37">
        <f>SUM(O17:O31)</f>
        <v>0</v>
      </c>
      <c r="P32" s="37"/>
      <c r="Q32" s="37">
        <f>SUM(Q17:Q31)</f>
        <v>0</v>
      </c>
    </row>
    <row r="33" spans="1:19" ht="12.75">
      <c r="A33" s="27"/>
      <c r="E33" s="37"/>
      <c r="F33" s="37"/>
      <c r="I33" s="27"/>
      <c r="K33" s="27"/>
      <c r="M33" s="27"/>
      <c r="O33" s="27"/>
      <c r="Q33" s="27"/>
      <c r="S33" s="27"/>
    </row>
    <row r="34" spans="1:19" ht="24" customHeight="1">
      <c r="A34" s="27"/>
      <c r="E34" s="37"/>
      <c r="F34" s="109" t="s">
        <v>94</v>
      </c>
      <c r="G34" s="109"/>
      <c r="H34" s="105" t="s">
        <v>9</v>
      </c>
      <c r="I34" s="105"/>
      <c r="J34" s="105" t="s">
        <v>11</v>
      </c>
      <c r="K34" s="105"/>
      <c r="L34" s="105" t="s">
        <v>12</v>
      </c>
      <c r="M34" s="105"/>
      <c r="N34" s="105" t="s">
        <v>10</v>
      </c>
      <c r="O34" s="105"/>
      <c r="P34" s="108" t="s">
        <v>113</v>
      </c>
      <c r="Q34" s="108"/>
      <c r="R34" s="108"/>
      <c r="S34" s="108"/>
    </row>
    <row r="35" spans="1:19" ht="12.75">
      <c r="A35" s="27"/>
      <c r="E35" s="37"/>
      <c r="F35" s="109"/>
      <c r="G35" s="109"/>
      <c r="H35" s="22" t="s">
        <v>93</v>
      </c>
      <c r="I35" s="22" t="s">
        <v>63</v>
      </c>
      <c r="J35" s="22" t="s">
        <v>93</v>
      </c>
      <c r="K35" s="22" t="s">
        <v>63</v>
      </c>
      <c r="L35" s="22" t="s">
        <v>93</v>
      </c>
      <c r="M35" s="22" t="s">
        <v>63</v>
      </c>
      <c r="N35" s="22" t="s">
        <v>93</v>
      </c>
      <c r="O35" s="22" t="s">
        <v>63</v>
      </c>
      <c r="P35" s="22" t="s">
        <v>93</v>
      </c>
      <c r="Q35" s="22" t="s">
        <v>63</v>
      </c>
      <c r="S35" s="27"/>
    </row>
    <row r="36" ht="12.75">
      <c r="A36" s="1" t="s">
        <v>125</v>
      </c>
    </row>
    <row r="37" spans="1:19" ht="12.75">
      <c r="A37" s="20" t="s">
        <v>68</v>
      </c>
      <c r="B37" s="23">
        <v>0</v>
      </c>
      <c r="C37" s="22" t="s">
        <v>61</v>
      </c>
      <c r="D37" s="26">
        <f>C47</f>
        <v>4</v>
      </c>
      <c r="E37">
        <f>D37*$B37</f>
        <v>0</v>
      </c>
      <c r="G37" s="30">
        <f>H37+J37+L37+N37+P37+R37</f>
        <v>1</v>
      </c>
      <c r="H37" s="32">
        <v>0</v>
      </c>
      <c r="I37" s="31">
        <f>$E37*H37</f>
        <v>0</v>
      </c>
      <c r="J37" s="32">
        <v>0</v>
      </c>
      <c r="K37" s="31">
        <f>$E37*J37</f>
        <v>0</v>
      </c>
      <c r="L37" s="32">
        <v>0</v>
      </c>
      <c r="M37" s="31">
        <f>$E37*L37</f>
        <v>0</v>
      </c>
      <c r="N37" s="32">
        <v>1</v>
      </c>
      <c r="O37" s="31">
        <f>$E37*N37</f>
        <v>0</v>
      </c>
      <c r="P37" s="32">
        <v>0</v>
      </c>
      <c r="Q37" s="31">
        <f>$E37*P37</f>
        <v>0</v>
      </c>
      <c r="R37" s="32"/>
      <c r="S37" s="31"/>
    </row>
    <row r="38" spans="1:19" ht="25.5">
      <c r="A38" s="20" t="s">
        <v>147</v>
      </c>
      <c r="B38" s="23">
        <v>0</v>
      </c>
      <c r="C38" s="22" t="s">
        <v>61</v>
      </c>
      <c r="D38" s="26">
        <f>C47</f>
        <v>4</v>
      </c>
      <c r="E38">
        <f>D38*$B38</f>
        <v>0</v>
      </c>
      <c r="G38" s="30">
        <f>H38+J38+L38+N38+P38+R38</f>
        <v>1</v>
      </c>
      <c r="H38" s="32">
        <v>0</v>
      </c>
      <c r="I38" s="31">
        <f>$E38*H38</f>
        <v>0</v>
      </c>
      <c r="J38" s="32">
        <v>0</v>
      </c>
      <c r="K38" s="31">
        <f>$E38*J38</f>
        <v>0</v>
      </c>
      <c r="L38" s="32">
        <v>0</v>
      </c>
      <c r="M38" s="31">
        <f>$E38*L38</f>
        <v>0</v>
      </c>
      <c r="N38" s="32">
        <v>1</v>
      </c>
      <c r="O38" s="31">
        <f>$E38*N38</f>
        <v>0</v>
      </c>
      <c r="P38" s="32">
        <v>0</v>
      </c>
      <c r="Q38" s="31">
        <f>$E38*P38</f>
        <v>0</v>
      </c>
      <c r="R38" s="32"/>
      <c r="S38" s="31"/>
    </row>
    <row r="39" spans="1:19" ht="12.75">
      <c r="A39" s="20" t="s">
        <v>108</v>
      </c>
      <c r="B39" s="23">
        <v>0</v>
      </c>
      <c r="C39" s="22" t="s">
        <v>61</v>
      </c>
      <c r="D39" s="26">
        <f>C48</f>
        <v>1</v>
      </c>
      <c r="E39">
        <f>D39*$B39</f>
        <v>0</v>
      </c>
      <c r="G39" s="30">
        <f>H39+J39+L39+N39+P39+R39</f>
        <v>1</v>
      </c>
      <c r="H39" s="32">
        <v>0</v>
      </c>
      <c r="I39" s="31">
        <f>$E39*H39</f>
        <v>0</v>
      </c>
      <c r="J39" s="32">
        <v>0</v>
      </c>
      <c r="K39" s="31">
        <f>$E39*J39</f>
        <v>0</v>
      </c>
      <c r="L39" s="32">
        <v>0</v>
      </c>
      <c r="M39" s="31">
        <f>$E39*L39</f>
        <v>0</v>
      </c>
      <c r="N39" s="32">
        <v>1</v>
      </c>
      <c r="O39" s="31">
        <f>$E39*N39</f>
        <v>0</v>
      </c>
      <c r="P39" s="32">
        <v>0</v>
      </c>
      <c r="Q39" s="31">
        <f>$E39*P39</f>
        <v>0</v>
      </c>
      <c r="R39" s="32"/>
      <c r="S39" s="31"/>
    </row>
    <row r="41" spans="1:19" ht="12.75">
      <c r="A41" s="27" t="s">
        <v>71</v>
      </c>
      <c r="E41" s="37">
        <f>SUM(E37:E40)</f>
        <v>0</v>
      </c>
      <c r="F41" s="37"/>
      <c r="G41" s="37"/>
      <c r="H41" s="37"/>
      <c r="I41" s="37">
        <f>SUM(I37:I40)</f>
        <v>0</v>
      </c>
      <c r="J41" s="37"/>
      <c r="K41" s="37">
        <f>SUM(K37:K40)</f>
        <v>0</v>
      </c>
      <c r="L41" s="37"/>
      <c r="M41" s="37">
        <f>SUM(M37:M40)</f>
        <v>0</v>
      </c>
      <c r="N41" s="37"/>
      <c r="O41" s="37">
        <f>SUM(O37:O40)</f>
        <v>0</v>
      </c>
      <c r="P41" s="37"/>
      <c r="Q41" s="37">
        <f>SUM(Q37:Q40)</f>
        <v>0</v>
      </c>
      <c r="S41" s="27"/>
    </row>
    <row r="44" spans="1:4" ht="25.5">
      <c r="A44" s="1" t="s">
        <v>73</v>
      </c>
      <c r="B44" s="25" t="s">
        <v>78</v>
      </c>
      <c r="C44" s="3" t="s">
        <v>80</v>
      </c>
      <c r="D44" s="25" t="s">
        <v>79</v>
      </c>
    </row>
    <row r="45" spans="1:4" ht="12.75">
      <c r="A45" t="s">
        <v>102</v>
      </c>
      <c r="B45" s="33">
        <f>D45-C45*7</f>
        <v>38787</v>
      </c>
      <c r="C45" s="23">
        <v>4</v>
      </c>
      <c r="D45" s="34">
        <f>B46</f>
        <v>38815</v>
      </c>
    </row>
    <row r="46" spans="1:4" ht="12.75">
      <c r="A46" t="s">
        <v>103</v>
      </c>
      <c r="B46" s="34">
        <f>D46-C46*7</f>
        <v>38815</v>
      </c>
      <c r="C46" s="23">
        <v>2</v>
      </c>
      <c r="D46" s="34">
        <f>B47</f>
        <v>38829</v>
      </c>
    </row>
    <row r="47" spans="1:4" ht="12.75">
      <c r="A47" t="s">
        <v>110</v>
      </c>
      <c r="B47" s="34">
        <f>D47-C47</f>
        <v>38829</v>
      </c>
      <c r="C47" s="23">
        <v>4</v>
      </c>
      <c r="D47" s="34">
        <f>B48</f>
        <v>38833</v>
      </c>
    </row>
    <row r="48" spans="1:4" ht="12.75">
      <c r="A48" t="s">
        <v>109</v>
      </c>
      <c r="B48" s="34">
        <f>D48-C48*7</f>
        <v>38833</v>
      </c>
      <c r="C48" s="23">
        <v>1</v>
      </c>
      <c r="D48" s="35">
        <f>Engr!D39</f>
        <v>38840</v>
      </c>
    </row>
    <row r="49" spans="2:4" ht="12.75">
      <c r="B49" s="34"/>
      <c r="C49" s="23"/>
      <c r="D49" s="34"/>
    </row>
    <row r="50" spans="2:4" ht="12.75">
      <c r="B50" s="34"/>
      <c r="C50" s="23"/>
      <c r="D50" s="35"/>
    </row>
    <row r="54" ht="12.75">
      <c r="A54" s="1" t="s">
        <v>96</v>
      </c>
    </row>
    <row r="56" ht="12.75">
      <c r="A56" s="1"/>
    </row>
    <row r="58" ht="12.75">
      <c r="B58" s="40"/>
    </row>
    <row r="59" ht="12.75">
      <c r="B59" s="44"/>
    </row>
    <row r="61" ht="12.75">
      <c r="A61" s="1"/>
    </row>
    <row r="62" ht="12.75">
      <c r="B62" s="40"/>
    </row>
    <row r="63" ht="12.75">
      <c r="B63" s="44"/>
    </row>
    <row r="65" spans="1:2" ht="12.75">
      <c r="A65" s="1"/>
      <c r="B65" s="44"/>
    </row>
    <row r="67" spans="1:2" ht="12.75">
      <c r="A67" s="1"/>
      <c r="B67" s="44"/>
    </row>
    <row r="69" spans="1:2" ht="12.75">
      <c r="A69" s="1"/>
      <c r="B69" s="44"/>
    </row>
    <row r="71" ht="12.75">
      <c r="B71" s="44"/>
    </row>
    <row r="72" ht="12.75">
      <c r="B72" s="44"/>
    </row>
    <row r="78" ht="12.75">
      <c r="B78" s="44"/>
    </row>
  </sheetData>
  <mergeCells count="19">
    <mergeCell ref="G14:G15"/>
    <mergeCell ref="P34:Q34"/>
    <mergeCell ref="F11:G11"/>
    <mergeCell ref="F12:G12"/>
    <mergeCell ref="E15:F15"/>
    <mergeCell ref="H34:I34"/>
    <mergeCell ref="J34:K34"/>
    <mergeCell ref="L34:M34"/>
    <mergeCell ref="N34:O34"/>
    <mergeCell ref="R34:S34"/>
    <mergeCell ref="F34:G35"/>
    <mergeCell ref="N14:O14"/>
    <mergeCell ref="A6:E7"/>
    <mergeCell ref="H14:I14"/>
    <mergeCell ref="J14:K14"/>
    <mergeCell ref="L14:M14"/>
    <mergeCell ref="F9:G9"/>
    <mergeCell ref="F13:Q13"/>
    <mergeCell ref="P14:Q14"/>
  </mergeCells>
  <printOptions/>
  <pageMargins left="0.75" right="0.75" top="1" bottom="1" header="0.5" footer="0.5"/>
  <pageSetup horizontalDpi="600" verticalDpi="600" orientation="landscape" scale="90" r:id="rId1"/>
  <headerFooter alignWithMargins="0">
    <oddHeader>&amp;C&amp;"Arial,Bold"&amp;14NCSX Fabrication Project Cost and Schedule</oddHeader>
    <oddFooter>&amp;C&amp;"Arial,Bold"&amp;P</oddFooter>
  </headerFooter>
  <rowBreaks count="1" manualBreakCount="1">
    <brk id="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53"/>
  <sheetViews>
    <sheetView workbookViewId="0" topLeftCell="A1">
      <selection activeCell="J29" sqref="J29"/>
    </sheetView>
  </sheetViews>
  <sheetFormatPr defaultColWidth="9.140625" defaultRowHeight="12.75"/>
  <cols>
    <col min="1" max="1" width="34.00390625" style="0" customWidth="1"/>
    <col min="2" max="2" width="10.7109375" style="0" customWidth="1"/>
    <col min="3" max="3" width="9.8515625" style="0" customWidth="1"/>
  </cols>
  <sheetData>
    <row r="1" ht="20.25">
      <c r="A1" s="65" t="str">
        <f>'Fab Project'!A1:E1</f>
        <v>WBS 163 Coil Protection System</v>
      </c>
    </row>
    <row r="3" spans="1:11" ht="18.75" thickBot="1">
      <c r="A3" s="74" t="s">
        <v>119</v>
      </c>
      <c r="B3" s="75"/>
      <c r="C3" s="75"/>
      <c r="D3" s="75"/>
      <c r="E3" s="75"/>
      <c r="F3" s="75"/>
      <c r="G3" s="75"/>
      <c r="H3" s="75"/>
      <c r="I3" s="75"/>
      <c r="J3" s="75"/>
      <c r="K3" s="76"/>
    </row>
    <row r="4" ht="12.75">
      <c r="A4" s="1"/>
    </row>
    <row r="5" ht="12.75">
      <c r="A5" s="1" t="s">
        <v>72</v>
      </c>
    </row>
    <row r="6" spans="1:5" ht="67.5" customHeight="1">
      <c r="A6" s="107" t="s">
        <v>190</v>
      </c>
      <c r="B6" s="107"/>
      <c r="C6" s="107"/>
      <c r="D6" s="107"/>
      <c r="E6" s="107"/>
    </row>
    <row r="7" ht="12.75">
      <c r="A7" s="1" t="s">
        <v>120</v>
      </c>
    </row>
    <row r="8" spans="1:3" ht="12.75">
      <c r="A8" t="s">
        <v>121</v>
      </c>
      <c r="B8" s="47">
        <v>120</v>
      </c>
      <c r="C8" t="s">
        <v>122</v>
      </c>
    </row>
    <row r="9" spans="1:3" ht="12.75">
      <c r="A9" t="s">
        <v>123</v>
      </c>
      <c r="B9" s="47">
        <v>60</v>
      </c>
      <c r="C9" t="s">
        <v>122</v>
      </c>
    </row>
    <row r="10" spans="1:3" ht="12.75">
      <c r="A10" t="s">
        <v>124</v>
      </c>
      <c r="B10" s="47">
        <v>80</v>
      </c>
      <c r="C10" t="s">
        <v>122</v>
      </c>
    </row>
    <row r="13" ht="12.75">
      <c r="A13" s="1" t="s">
        <v>131</v>
      </c>
    </row>
    <row r="14" ht="12.75">
      <c r="B14" s="44"/>
    </row>
    <row r="15" ht="12.75">
      <c r="B15" s="44"/>
    </row>
    <row r="16" ht="12.75">
      <c r="B16" s="52"/>
    </row>
    <row r="17" spans="1:2" ht="12.75">
      <c r="A17" s="27" t="s">
        <v>132</v>
      </c>
      <c r="B17" s="44">
        <f>SUM(B14:B16)</f>
        <v>0</v>
      </c>
    </row>
    <row r="18" spans="1:2" ht="12.75">
      <c r="A18" s="27"/>
      <c r="B18" s="44"/>
    </row>
    <row r="19" spans="1:2" ht="12.75">
      <c r="A19" s="1"/>
      <c r="B19" s="44"/>
    </row>
    <row r="20" spans="1:2" ht="12.75">
      <c r="A20" s="14"/>
      <c r="B20" s="44"/>
    </row>
    <row r="21" spans="1:2" ht="12.75">
      <c r="A21" s="14"/>
      <c r="B21" s="44"/>
    </row>
    <row r="24" ht="12.75">
      <c r="A24" s="1" t="s">
        <v>145</v>
      </c>
    </row>
    <row r="25" ht="12.75">
      <c r="A25" s="1"/>
    </row>
    <row r="26" spans="1:2" ht="12.75">
      <c r="A26" t="s">
        <v>180</v>
      </c>
      <c r="B26" s="44">
        <v>0</v>
      </c>
    </row>
    <row r="27" ht="12.75">
      <c r="A27" s="1"/>
    </row>
    <row r="28" spans="1:2" ht="12.75">
      <c r="A28" s="1"/>
      <c r="B28" s="53"/>
    </row>
    <row r="29" spans="1:2" ht="12.75">
      <c r="A29" s="27" t="s">
        <v>143</v>
      </c>
      <c r="B29">
        <f>SUM(B25:B28)</f>
        <v>0</v>
      </c>
    </row>
    <row r="30" ht="12.75">
      <c r="A30" s="1"/>
    </row>
    <row r="31" ht="12.75">
      <c r="A31" s="1"/>
    </row>
    <row r="32" ht="12.75">
      <c r="A32" s="1"/>
    </row>
    <row r="34" ht="12.75">
      <c r="A34" s="1"/>
    </row>
    <row r="35" ht="12.75">
      <c r="B35" s="46"/>
    </row>
    <row r="36" spans="1:2" ht="12.75">
      <c r="A36" s="20"/>
      <c r="B36" s="46"/>
    </row>
    <row r="38" spans="1:5" ht="12.75">
      <c r="A38" s="20"/>
      <c r="B38" s="31"/>
      <c r="E38" s="31"/>
    </row>
    <row r="39" spans="2:5" ht="12.75">
      <c r="B39" s="97"/>
      <c r="E39" s="97"/>
    </row>
    <row r="40" ht="12.75">
      <c r="B40" s="97"/>
    </row>
    <row r="41" spans="1:2" ht="12.75">
      <c r="A41" s="1"/>
      <c r="B41" s="97"/>
    </row>
    <row r="45" spans="2:5" ht="12.75">
      <c r="B45" s="95"/>
      <c r="C45" s="95"/>
      <c r="D45" s="95"/>
      <c r="E45" s="95"/>
    </row>
    <row r="46" spans="2:5" ht="12.75">
      <c r="B46" s="94"/>
      <c r="C46" s="22"/>
      <c r="D46" s="22"/>
      <c r="E46" s="22"/>
    </row>
    <row r="47" spans="1:5" ht="12.75">
      <c r="A47" s="20"/>
      <c r="B47" s="30"/>
      <c r="C47" s="30"/>
      <c r="D47" s="40"/>
      <c r="E47" s="40"/>
    </row>
    <row r="48" spans="1:5" ht="12.75">
      <c r="A48" s="20"/>
      <c r="B48" s="30"/>
      <c r="C48" s="30"/>
      <c r="D48" s="40"/>
      <c r="E48" s="40"/>
    </row>
    <row r="49" spans="1:5" ht="12.75">
      <c r="A49" s="20"/>
      <c r="B49" s="30"/>
      <c r="C49" s="30"/>
      <c r="D49" s="40"/>
      <c r="E49" s="40"/>
    </row>
    <row r="50" spans="1:5" ht="12.75">
      <c r="A50" s="20"/>
      <c r="B50" s="30"/>
      <c r="C50" s="30"/>
      <c r="D50" s="40"/>
      <c r="E50" s="40"/>
    </row>
    <row r="51" spans="1:5" ht="12.75">
      <c r="A51" s="20"/>
      <c r="B51" s="30"/>
      <c r="C51" s="30"/>
      <c r="D51" s="40"/>
      <c r="E51" s="40"/>
    </row>
    <row r="52" spans="1:5" ht="12.75">
      <c r="A52" s="20"/>
      <c r="B52" s="30"/>
      <c r="C52" s="30"/>
      <c r="D52" s="40"/>
      <c r="E52" s="40"/>
    </row>
    <row r="53" spans="4:5" ht="12.75">
      <c r="D53" s="40"/>
      <c r="E53" s="40"/>
    </row>
    <row r="54" ht="12.75">
      <c r="B54" s="31"/>
    </row>
    <row r="55" ht="12.75">
      <c r="B55" s="31"/>
    </row>
    <row r="56" ht="12.75">
      <c r="B56" s="96"/>
    </row>
    <row r="57" spans="1:2" ht="12.75">
      <c r="A57" s="14"/>
      <c r="B57" s="3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7" ht="12.75">
      <c r="A67" s="1"/>
    </row>
    <row r="68" ht="12.75">
      <c r="B68" s="46"/>
    </row>
    <row r="69" spans="1:2" ht="12.75">
      <c r="A69" s="20"/>
      <c r="B69" s="46"/>
    </row>
    <row r="71" spans="1:5" ht="12.75">
      <c r="A71" s="20"/>
      <c r="B71" s="31"/>
      <c r="E71" s="31"/>
    </row>
    <row r="72" spans="2:5" ht="12.75">
      <c r="B72" s="97"/>
      <c r="E72" s="97"/>
    </row>
    <row r="73" ht="12.75">
      <c r="B73" s="97"/>
    </row>
    <row r="74" spans="1:2" ht="12.75">
      <c r="A74" s="1"/>
      <c r="B74" s="97"/>
    </row>
    <row r="78" spans="2:5" ht="12.75">
      <c r="B78" s="95"/>
      <c r="C78" s="95"/>
      <c r="D78" s="95"/>
      <c r="E78" s="95"/>
    </row>
    <row r="79" spans="2:5" ht="12.75">
      <c r="B79" s="94"/>
      <c r="C79" s="22"/>
      <c r="D79" s="22"/>
      <c r="E79" s="22"/>
    </row>
    <row r="81" spans="1:5" ht="12.75">
      <c r="A81" s="44"/>
      <c r="B81" s="30"/>
      <c r="C81" s="30"/>
      <c r="D81" s="40"/>
      <c r="E81" s="40"/>
    </row>
    <row r="82" spans="2:5" ht="12.75">
      <c r="B82" s="30"/>
      <c r="C82" s="30"/>
      <c r="D82" s="40"/>
      <c r="E82" s="40"/>
    </row>
    <row r="83" spans="2:5" ht="12.75">
      <c r="B83" s="30"/>
      <c r="C83" s="30"/>
      <c r="D83" s="40"/>
      <c r="E83" s="40"/>
    </row>
    <row r="84" spans="2:5" ht="12.75">
      <c r="B84" s="30"/>
      <c r="C84" s="30"/>
      <c r="D84" s="40"/>
      <c r="E84" s="40"/>
    </row>
    <row r="85" spans="2:5" ht="12.75">
      <c r="B85" s="30"/>
      <c r="C85" s="30"/>
      <c r="D85" s="40"/>
      <c r="E85" s="40"/>
    </row>
    <row r="88" spans="4:5" ht="12.75">
      <c r="D88" s="40"/>
      <c r="E88" s="40"/>
    </row>
    <row r="89" ht="12.75">
      <c r="B89" s="31"/>
    </row>
    <row r="90" ht="12.75">
      <c r="B90" s="31"/>
    </row>
    <row r="91" ht="12.75">
      <c r="B91" s="96"/>
    </row>
    <row r="92" spans="1:2" ht="12.75">
      <c r="A92" s="14"/>
      <c r="B92" s="31"/>
    </row>
    <row r="95" ht="12.75">
      <c r="B95" s="40"/>
    </row>
    <row r="96" ht="12.75">
      <c r="A96" s="1"/>
    </row>
    <row r="98" ht="12.75">
      <c r="A98" s="1"/>
    </row>
    <row r="99" ht="12.75">
      <c r="B99" s="46"/>
    </row>
    <row r="100" spans="1:2" ht="12.75">
      <c r="A100" s="20"/>
      <c r="B100" s="46"/>
    </row>
    <row r="102" spans="1:5" ht="12.75">
      <c r="A102" s="20"/>
      <c r="B102" s="31"/>
      <c r="E102" s="31"/>
    </row>
    <row r="103" spans="2:5" ht="12.75">
      <c r="B103" s="97"/>
      <c r="E103" s="97"/>
    </row>
    <row r="104" ht="12.75">
      <c r="B104" s="97"/>
    </row>
    <row r="105" spans="1:2" ht="12.75">
      <c r="A105" s="1"/>
      <c r="B105" s="97"/>
    </row>
    <row r="109" spans="2:5" ht="12.75">
      <c r="B109" s="95"/>
      <c r="C109" s="95"/>
      <c r="D109" s="95"/>
      <c r="E109" s="95"/>
    </row>
    <row r="110" spans="2:5" ht="12.75">
      <c r="B110" s="94"/>
      <c r="C110" s="22"/>
      <c r="D110" s="22"/>
      <c r="E110" s="22"/>
    </row>
    <row r="111" spans="1:5" ht="12.75">
      <c r="A111" s="20"/>
      <c r="B111" s="30"/>
      <c r="C111" s="30"/>
      <c r="D111" s="40"/>
      <c r="E111" s="40"/>
    </row>
    <row r="112" spans="1:5" ht="12.75">
      <c r="A112" s="20"/>
      <c r="B112" s="30"/>
      <c r="C112" s="30"/>
      <c r="D112" s="40"/>
      <c r="E112" s="40"/>
    </row>
    <row r="113" spans="1:5" ht="12.75">
      <c r="A113" s="20"/>
      <c r="B113" s="30"/>
      <c r="C113" s="30"/>
      <c r="D113" s="40"/>
      <c r="E113" s="40"/>
    </row>
    <row r="114" spans="4:5" ht="12.75">
      <c r="D114" s="40"/>
      <c r="E114" s="40"/>
    </row>
    <row r="115" spans="2:5" ht="12.75">
      <c r="B115" s="31"/>
      <c r="E115" s="40"/>
    </row>
    <row r="116" spans="2:5" ht="12.75">
      <c r="B116" s="31"/>
      <c r="E116" s="40"/>
    </row>
    <row r="117" spans="2:5" ht="12.75">
      <c r="B117" s="96"/>
      <c r="E117" s="40"/>
    </row>
    <row r="118" spans="1:2" ht="12.75">
      <c r="A118" s="14"/>
      <c r="B118" s="31"/>
    </row>
    <row r="122" spans="1:2" ht="12.75">
      <c r="A122" s="112"/>
      <c r="B122" s="112"/>
    </row>
    <row r="127" ht="12.75">
      <c r="A127" s="1"/>
    </row>
    <row r="129" ht="12.75">
      <c r="A129" s="1"/>
    </row>
    <row r="130" ht="12.75">
      <c r="B130" s="46"/>
    </row>
    <row r="131" spans="1:2" ht="12.75">
      <c r="A131" s="20"/>
      <c r="B131" s="46"/>
    </row>
    <row r="133" spans="1:5" ht="12.75">
      <c r="A133" s="20"/>
      <c r="B133" s="31"/>
      <c r="E133" s="31"/>
    </row>
    <row r="134" spans="2:5" ht="12.75">
      <c r="B134" s="97"/>
      <c r="E134" s="97"/>
    </row>
    <row r="135" ht="12.75">
      <c r="B135" s="97"/>
    </row>
    <row r="136" spans="1:2" ht="12.75">
      <c r="A136" s="1"/>
      <c r="B136" s="97"/>
    </row>
    <row r="140" spans="2:5" ht="12.75">
      <c r="B140" s="95"/>
      <c r="C140" s="95"/>
      <c r="D140" s="95"/>
      <c r="E140" s="95"/>
    </row>
    <row r="141" spans="2:5" ht="12.75">
      <c r="B141" s="94"/>
      <c r="C141" s="22"/>
      <c r="D141" s="22"/>
      <c r="E141" s="22"/>
    </row>
    <row r="142" spans="1:5" ht="12.75">
      <c r="A142" s="20"/>
      <c r="B142" s="30"/>
      <c r="C142" s="30"/>
      <c r="D142" s="40"/>
      <c r="E142" s="40"/>
    </row>
    <row r="143" spans="1:5" ht="12.75">
      <c r="A143" s="20"/>
      <c r="B143" s="30"/>
      <c r="C143" s="30"/>
      <c r="D143" s="40"/>
      <c r="E143" s="40"/>
    </row>
    <row r="144" spans="1:5" ht="12.75">
      <c r="A144" s="20"/>
      <c r="B144" s="30"/>
      <c r="C144" s="30"/>
      <c r="D144" s="40"/>
      <c r="E144" s="40"/>
    </row>
    <row r="145" spans="1:5" ht="12.75">
      <c r="A145" s="20"/>
      <c r="B145" s="30"/>
      <c r="C145" s="30"/>
      <c r="D145" s="40"/>
      <c r="E145" s="40"/>
    </row>
    <row r="146" spans="1:5" ht="12.75">
      <c r="A146" s="20"/>
      <c r="B146" s="30"/>
      <c r="C146" s="30"/>
      <c r="D146" s="40"/>
      <c r="E146" s="40"/>
    </row>
    <row r="147" spans="1:5" ht="12.75">
      <c r="A147" s="20"/>
      <c r="B147" s="30"/>
      <c r="C147" s="30"/>
      <c r="D147" s="40"/>
      <c r="E147" s="40"/>
    </row>
    <row r="148" spans="4:5" ht="12.75">
      <c r="D148" s="40"/>
      <c r="E148" s="40"/>
    </row>
    <row r="149" ht="12.75">
      <c r="B149" s="31"/>
    </row>
    <row r="150" ht="12.75">
      <c r="B150" s="31"/>
    </row>
    <row r="151" ht="12.75">
      <c r="B151" s="96"/>
    </row>
    <row r="152" spans="1:2" ht="12.75">
      <c r="A152" s="14"/>
      <c r="B152" s="31"/>
    </row>
    <row r="153" spans="1:2" ht="12.75">
      <c r="A153" s="112"/>
      <c r="B153" s="112"/>
    </row>
  </sheetData>
  <mergeCells count="3">
    <mergeCell ref="A6:E6"/>
    <mergeCell ref="A122:B122"/>
    <mergeCell ref="A153:B153"/>
  </mergeCells>
  <printOptions/>
  <pageMargins left="0.75" right="0.75" top="1" bottom="1" header="0.5" footer="0.5"/>
  <pageSetup horizontalDpi="600" verticalDpi="600" orientation="landscape" scale="90" r:id="rId2"/>
  <headerFooter alignWithMargins="0">
    <oddHeader>&amp;C&amp;"Arial,Bold"&amp;14NCSX Fabrication Project Cost and Schedule</oddHeader>
    <oddFooter>&amp;C&amp;"Arial,Bold"&amp;P</oddFooter>
  </headerFooter>
  <rowBreaks count="1" manualBreakCount="1">
    <brk id="63" max="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9"/>
  <sheetViews>
    <sheetView view="pageBreakPreview" zoomScale="60" workbookViewId="0" topLeftCell="A1">
      <selection activeCell="M34" sqref="M34"/>
    </sheetView>
  </sheetViews>
  <sheetFormatPr defaultColWidth="9.140625" defaultRowHeight="12.75"/>
  <cols>
    <col min="1" max="1" width="26.28125" style="0" customWidth="1"/>
    <col min="6" max="6" width="4.140625" style="0" customWidth="1"/>
    <col min="7" max="7" width="7.28125" style="0" customWidth="1"/>
    <col min="8" max="17" width="5.7109375" style="0" customWidth="1"/>
  </cols>
  <sheetData>
    <row r="1" ht="20.25">
      <c r="A1" s="65" t="str">
        <f>'Fab Project'!A1:E1</f>
        <v>WBS 163 Coil Protection System</v>
      </c>
    </row>
    <row r="3" spans="1:15" ht="18.75" thickBot="1">
      <c r="A3" s="74" t="s">
        <v>137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5" ht="12.75">
      <c r="A5" s="1" t="s">
        <v>72</v>
      </c>
    </row>
    <row r="6" spans="1:15" ht="12.75">
      <c r="A6" s="107" t="s">
        <v>183</v>
      </c>
      <c r="B6" s="107"/>
      <c r="C6" s="107"/>
      <c r="D6" s="107"/>
      <c r="E6" s="107"/>
      <c r="F6" s="107"/>
      <c r="G6" s="100" t="s">
        <v>99</v>
      </c>
      <c r="H6" s="100"/>
      <c r="I6" s="100"/>
      <c r="J6" s="100"/>
      <c r="K6" s="100"/>
      <c r="L6" s="100"/>
      <c r="M6" s="100"/>
      <c r="N6" s="100"/>
      <c r="O6" s="100"/>
    </row>
    <row r="7" spans="1:15" ht="39.75" customHeight="1">
      <c r="A7" s="107"/>
      <c r="B7" s="107"/>
      <c r="C7" s="107"/>
      <c r="D7" s="107"/>
      <c r="E7" s="107"/>
      <c r="F7" s="107"/>
      <c r="G7" s="39" t="s">
        <v>94</v>
      </c>
      <c r="H7" s="105" t="s">
        <v>9</v>
      </c>
      <c r="I7" s="105"/>
      <c r="J7" s="105" t="s">
        <v>10</v>
      </c>
      <c r="K7" s="105"/>
      <c r="L7" s="105" t="s">
        <v>113</v>
      </c>
      <c r="M7" s="105"/>
      <c r="N7" s="105" t="s">
        <v>12</v>
      </c>
      <c r="O7" s="105"/>
    </row>
    <row r="8" spans="2:17" ht="12.75">
      <c r="B8" s="25" t="s">
        <v>54</v>
      </c>
      <c r="C8" s="25" t="s">
        <v>55</v>
      </c>
      <c r="D8" s="25" t="s">
        <v>56</v>
      </c>
      <c r="E8" s="106" t="s">
        <v>95</v>
      </c>
      <c r="F8" s="106"/>
      <c r="H8" s="22" t="s">
        <v>93</v>
      </c>
      <c r="I8" s="22" t="s">
        <v>63</v>
      </c>
      <c r="J8" s="22" t="s">
        <v>93</v>
      </c>
      <c r="K8" s="22" t="s">
        <v>63</v>
      </c>
      <c r="L8" s="22" t="s">
        <v>93</v>
      </c>
      <c r="M8" s="22" t="s">
        <v>63</v>
      </c>
      <c r="N8" s="22" t="s">
        <v>93</v>
      </c>
      <c r="O8" s="22" t="s">
        <v>63</v>
      </c>
      <c r="P8" s="22"/>
      <c r="Q8" s="22"/>
    </row>
    <row r="9" spans="1:4" ht="12.75">
      <c r="A9" s="1" t="s">
        <v>141</v>
      </c>
      <c r="B9" s="47"/>
      <c r="D9" s="47"/>
    </row>
    <row r="10" spans="1:17" ht="12.75">
      <c r="A10" s="20"/>
      <c r="B10" s="23"/>
      <c r="C10" s="22"/>
      <c r="D10" s="23"/>
      <c r="E10" s="36">
        <f>D10*$B10</f>
        <v>0</v>
      </c>
      <c r="F10" s="36"/>
      <c r="G10" s="30">
        <f>H10+J10+L10+N10+P10</f>
        <v>0</v>
      </c>
      <c r="H10" s="32">
        <v>0</v>
      </c>
      <c r="I10" s="31">
        <f>$E10*H10</f>
        <v>0</v>
      </c>
      <c r="J10" s="32">
        <v>0</v>
      </c>
      <c r="K10" s="31">
        <f>$E10*J10</f>
        <v>0</v>
      </c>
      <c r="L10" s="32">
        <v>0</v>
      </c>
      <c r="M10" s="31">
        <f>$E10*L10</f>
        <v>0</v>
      </c>
      <c r="N10" s="32">
        <v>0</v>
      </c>
      <c r="O10" s="31">
        <f>$E10*N10</f>
        <v>0</v>
      </c>
      <c r="P10" s="32"/>
      <c r="Q10" s="31"/>
    </row>
    <row r="11" spans="1:17" ht="12.75">
      <c r="A11" s="20" t="s">
        <v>181</v>
      </c>
      <c r="B11" s="23">
        <v>0</v>
      </c>
      <c r="C11" s="22" t="s">
        <v>126</v>
      </c>
      <c r="D11" s="23">
        <v>0</v>
      </c>
      <c r="E11" s="36">
        <f>D11*$B11</f>
        <v>0</v>
      </c>
      <c r="F11" s="36"/>
      <c r="G11" s="30">
        <f>H11+J11+L11+N11+P11</f>
        <v>1</v>
      </c>
      <c r="H11" s="32">
        <v>0</v>
      </c>
      <c r="I11" s="31">
        <f>$E11*H11</f>
        <v>0</v>
      </c>
      <c r="J11" s="32">
        <v>0</v>
      </c>
      <c r="K11" s="31">
        <f>$E11*J11</f>
        <v>0</v>
      </c>
      <c r="L11" s="32">
        <v>1</v>
      </c>
      <c r="M11" s="31">
        <f>$E11*L11</f>
        <v>0</v>
      </c>
      <c r="N11" s="32">
        <v>0</v>
      </c>
      <c r="O11" s="31">
        <f>$E11*N11</f>
        <v>0</v>
      </c>
      <c r="P11" s="32"/>
      <c r="Q11" s="31"/>
    </row>
    <row r="12" spans="1:17" ht="12.75">
      <c r="A12" s="20"/>
      <c r="B12" s="23"/>
      <c r="C12" s="22"/>
      <c r="D12" s="23"/>
      <c r="E12" s="36">
        <f>D12*$B12</f>
        <v>0</v>
      </c>
      <c r="F12" s="36"/>
      <c r="G12" s="30">
        <f>H12+J12+L12+N12+P12</f>
        <v>0</v>
      </c>
      <c r="H12" s="32">
        <v>0</v>
      </c>
      <c r="I12" s="31">
        <f>$E12*H12</f>
        <v>0</v>
      </c>
      <c r="J12" s="32">
        <v>0</v>
      </c>
      <c r="K12" s="31">
        <f>$E12*J12</f>
        <v>0</v>
      </c>
      <c r="L12" s="32">
        <v>0</v>
      </c>
      <c r="M12" s="31">
        <f>$E12*L12</f>
        <v>0</v>
      </c>
      <c r="N12" s="32">
        <v>0</v>
      </c>
      <c r="O12" s="31">
        <f>$E12*N12</f>
        <v>0</v>
      </c>
      <c r="P12" s="32"/>
      <c r="Q12" s="31"/>
    </row>
    <row r="13" spans="1:17" ht="12.75">
      <c r="A13" s="20"/>
      <c r="B13" s="23"/>
      <c r="C13" s="22"/>
      <c r="D13" s="23"/>
      <c r="E13" s="36">
        <f>D13*$B13</f>
        <v>0</v>
      </c>
      <c r="F13" s="36"/>
      <c r="G13" s="30">
        <f>H13+J13+L13+N13+P13</f>
        <v>0</v>
      </c>
      <c r="H13" s="32">
        <v>0</v>
      </c>
      <c r="I13" s="31">
        <f>$E13*H13</f>
        <v>0</v>
      </c>
      <c r="J13" s="32">
        <v>0</v>
      </c>
      <c r="K13" s="31">
        <f>$E13*J13</f>
        <v>0</v>
      </c>
      <c r="L13" s="32">
        <v>0</v>
      </c>
      <c r="M13" s="31">
        <f>$E13*L13</f>
        <v>0</v>
      </c>
      <c r="N13" s="32">
        <v>0</v>
      </c>
      <c r="O13" s="31">
        <f>$E13*N13</f>
        <v>0</v>
      </c>
      <c r="P13" s="32"/>
      <c r="Q13" s="31"/>
    </row>
    <row r="14" spans="1:17" ht="12.75">
      <c r="A14" s="20"/>
      <c r="B14" s="28"/>
      <c r="C14" s="22"/>
      <c r="D14" s="23"/>
      <c r="E14" s="36">
        <f>D14*$B14</f>
        <v>0</v>
      </c>
      <c r="F14" s="36"/>
      <c r="G14" s="30">
        <f>H14+J14+L14+N14+P14</f>
        <v>0</v>
      </c>
      <c r="H14" s="32">
        <v>0</v>
      </c>
      <c r="I14" s="31">
        <f>$E14*H14</f>
        <v>0</v>
      </c>
      <c r="J14" s="32">
        <v>0</v>
      </c>
      <c r="K14" s="31">
        <f>$E14*J14</f>
        <v>0</v>
      </c>
      <c r="L14" s="32">
        <v>0</v>
      </c>
      <c r="M14" s="31">
        <f>$E14*L14</f>
        <v>0</v>
      </c>
      <c r="N14" s="32">
        <v>0</v>
      </c>
      <c r="O14" s="31">
        <f>$E14*N14</f>
        <v>0</v>
      </c>
      <c r="P14" s="32"/>
      <c r="Q14" s="31"/>
    </row>
    <row r="15" spans="2:6" ht="12.75">
      <c r="B15" s="47"/>
      <c r="D15" s="47"/>
      <c r="E15" s="36"/>
      <c r="F15" s="36"/>
    </row>
    <row r="16" spans="1:17" ht="12.75">
      <c r="A16" s="27" t="s">
        <v>71</v>
      </c>
      <c r="E16" s="37">
        <f>SUM(E10:E15)</f>
        <v>0</v>
      </c>
      <c r="F16" s="37"/>
      <c r="I16" s="27">
        <f>SUM(I10:I15)</f>
        <v>0</v>
      </c>
      <c r="K16" s="27">
        <f>SUM(K10:K15)</f>
        <v>0</v>
      </c>
      <c r="M16" s="27">
        <f>SUM(M10:M15)</f>
        <v>0</v>
      </c>
      <c r="O16" s="27">
        <f>SUM(O10:O15)</f>
        <v>0</v>
      </c>
      <c r="Q16" s="27"/>
    </row>
    <row r="17" spans="1:17" ht="12.75">
      <c r="A17" s="27"/>
      <c r="E17" s="37"/>
      <c r="F17" s="37"/>
      <c r="I17" s="27"/>
      <c r="K17" s="27"/>
      <c r="M17" s="27"/>
      <c r="O17" s="27"/>
      <c r="Q17" s="27"/>
    </row>
    <row r="18" spans="1:17" ht="25.5">
      <c r="A18" s="27"/>
      <c r="E18" s="37"/>
      <c r="F18" s="37"/>
      <c r="G18" s="39" t="s">
        <v>94</v>
      </c>
      <c r="H18" s="105" t="s">
        <v>9</v>
      </c>
      <c r="I18" s="105"/>
      <c r="J18" s="105" t="s">
        <v>10</v>
      </c>
      <c r="K18" s="105"/>
      <c r="L18" s="105" t="s">
        <v>113</v>
      </c>
      <c r="M18" s="105"/>
      <c r="N18" s="105" t="s">
        <v>12</v>
      </c>
      <c r="O18" s="105"/>
      <c r="Q18" s="27"/>
    </row>
    <row r="19" spans="1:15" ht="12.75">
      <c r="A19" s="1" t="s">
        <v>142</v>
      </c>
      <c r="H19" s="22" t="s">
        <v>93</v>
      </c>
      <c r="I19" s="22" t="s">
        <v>63</v>
      </c>
      <c r="J19" s="22" t="s">
        <v>93</v>
      </c>
      <c r="K19" s="22" t="s">
        <v>63</v>
      </c>
      <c r="L19" s="22" t="s">
        <v>93</v>
      </c>
      <c r="M19" s="22" t="s">
        <v>63</v>
      </c>
      <c r="N19" s="22" t="s">
        <v>93</v>
      </c>
      <c r="O19" s="22" t="s">
        <v>63</v>
      </c>
    </row>
    <row r="20" spans="1:15" ht="12.75">
      <c r="A20" s="1"/>
      <c r="H20" s="22"/>
      <c r="I20" s="22"/>
      <c r="J20" s="22"/>
      <c r="K20" s="22"/>
      <c r="L20" s="22"/>
      <c r="M20" s="22"/>
      <c r="N20" s="22"/>
      <c r="O20" s="22"/>
    </row>
    <row r="21" spans="1:17" ht="12.75">
      <c r="A21" s="20" t="s">
        <v>181</v>
      </c>
      <c r="B21" s="23"/>
      <c r="C21" s="22" t="s">
        <v>146</v>
      </c>
      <c r="D21" s="23"/>
      <c r="E21">
        <f>D21*$B21*8</f>
        <v>0</v>
      </c>
      <c r="G21" s="30">
        <f>H21+J21+L21+N21+P21</f>
        <v>1</v>
      </c>
      <c r="H21" s="32">
        <v>0</v>
      </c>
      <c r="I21" s="31">
        <f>$E21*H21</f>
        <v>0</v>
      </c>
      <c r="J21" s="32">
        <v>1</v>
      </c>
      <c r="K21" s="31">
        <f>$E21*J21</f>
        <v>0</v>
      </c>
      <c r="L21" s="32">
        <v>0</v>
      </c>
      <c r="M21" s="31">
        <f>$E21*L21</f>
        <v>0</v>
      </c>
      <c r="N21" s="32">
        <v>0</v>
      </c>
      <c r="O21" s="31">
        <f>$E21*N21</f>
        <v>0</v>
      </c>
      <c r="P21" s="32"/>
      <c r="Q21" s="31"/>
    </row>
    <row r="22" spans="1:17" ht="12.75">
      <c r="A22" s="20"/>
      <c r="B22" s="23"/>
      <c r="C22" s="22" t="s">
        <v>146</v>
      </c>
      <c r="D22" s="23"/>
      <c r="E22">
        <f>D22*$B22*8</f>
        <v>0</v>
      </c>
      <c r="G22" s="30">
        <f>H22+J22+L22+N22+P22</f>
        <v>1</v>
      </c>
      <c r="H22" s="32">
        <v>0</v>
      </c>
      <c r="I22" s="31">
        <f>$E22*H22</f>
        <v>0</v>
      </c>
      <c r="J22" s="32">
        <v>0</v>
      </c>
      <c r="K22" s="31">
        <f>$E22*J22</f>
        <v>0</v>
      </c>
      <c r="L22" s="32">
        <v>1</v>
      </c>
      <c r="M22" s="31">
        <f>$E22*L22</f>
        <v>0</v>
      </c>
      <c r="N22" s="32">
        <v>0</v>
      </c>
      <c r="O22" s="31">
        <f>$E22*N22</f>
        <v>0</v>
      </c>
      <c r="P22" s="32"/>
      <c r="Q22" s="31"/>
    </row>
    <row r="23" spans="1:17" ht="12.75">
      <c r="A23" s="20"/>
      <c r="B23" s="23"/>
      <c r="C23" s="22" t="s">
        <v>146</v>
      </c>
      <c r="D23" s="23"/>
      <c r="E23">
        <f>D23*$B23*8</f>
        <v>0</v>
      </c>
      <c r="G23" s="30">
        <f>H23+J23+L23+N23+P23</f>
        <v>0</v>
      </c>
      <c r="H23" s="32">
        <v>0</v>
      </c>
      <c r="I23" s="31">
        <f>$E23*H23</f>
        <v>0</v>
      </c>
      <c r="J23" s="32">
        <v>0</v>
      </c>
      <c r="K23" s="31">
        <f>$E23*J23</f>
        <v>0</v>
      </c>
      <c r="L23" s="32">
        <v>0</v>
      </c>
      <c r="M23" s="31">
        <f>$E23*L23</f>
        <v>0</v>
      </c>
      <c r="N23" s="32">
        <v>0</v>
      </c>
      <c r="O23" s="31">
        <f>$E23*N23</f>
        <v>0</v>
      </c>
      <c r="P23" s="32"/>
      <c r="Q23" s="31"/>
    </row>
    <row r="24" spans="1:17" ht="12.75">
      <c r="A24" s="20"/>
      <c r="B24" s="23"/>
      <c r="C24" s="22" t="s">
        <v>146</v>
      </c>
      <c r="D24" s="23"/>
      <c r="E24">
        <f>D24*$B24*8</f>
        <v>0</v>
      </c>
      <c r="G24" s="30">
        <f>H24+J24+L24+N24+P24</f>
        <v>0</v>
      </c>
      <c r="H24" s="32">
        <v>0</v>
      </c>
      <c r="I24" s="31">
        <f>$E24*H24</f>
        <v>0</v>
      </c>
      <c r="J24" s="32">
        <v>0</v>
      </c>
      <c r="K24" s="31">
        <f>$E24*J24</f>
        <v>0</v>
      </c>
      <c r="L24" s="32">
        <v>0</v>
      </c>
      <c r="M24" s="31">
        <f>$E24*L24</f>
        <v>0</v>
      </c>
      <c r="N24" s="32">
        <v>0</v>
      </c>
      <c r="O24" s="31">
        <f>$E24*N24</f>
        <v>0</v>
      </c>
      <c r="P24" s="32"/>
      <c r="Q24" s="31"/>
    </row>
    <row r="25" spans="1:17" ht="12.75">
      <c r="A25" s="20"/>
      <c r="B25" s="23"/>
      <c r="C25" s="22"/>
      <c r="D25" s="22"/>
      <c r="G25" s="30">
        <f>H25+J25+L25+N25+P25</f>
        <v>0</v>
      </c>
      <c r="H25" s="32">
        <v>0</v>
      </c>
      <c r="I25" s="31">
        <f>$E25*H25</f>
        <v>0</v>
      </c>
      <c r="J25" s="32">
        <v>0</v>
      </c>
      <c r="K25" s="31">
        <f>$E25*J25</f>
        <v>0</v>
      </c>
      <c r="L25" s="32">
        <v>0</v>
      </c>
      <c r="M25" s="31">
        <f>$E25*L25</f>
        <v>0</v>
      </c>
      <c r="N25" s="32">
        <v>0</v>
      </c>
      <c r="O25" s="31">
        <f>$E25*N25</f>
        <v>0</v>
      </c>
      <c r="P25" s="32"/>
      <c r="Q25" s="31"/>
    </row>
    <row r="27" spans="1:17" ht="12.75">
      <c r="A27" s="27" t="s">
        <v>71</v>
      </c>
      <c r="E27" s="6">
        <f>SUM(E21:E26)</f>
        <v>0</v>
      </c>
      <c r="F27" s="6"/>
      <c r="I27" s="27">
        <f>SUM(I12:I26)</f>
        <v>0</v>
      </c>
      <c r="K27" s="27">
        <f>SUM(K12:K26)</f>
        <v>0</v>
      </c>
      <c r="M27" s="37">
        <f>SUM(M21:M26)</f>
        <v>0</v>
      </c>
      <c r="O27" s="27">
        <f>SUM(O12:O26)</f>
        <v>0</v>
      </c>
      <c r="Q27" s="27"/>
    </row>
    <row r="30" spans="1:4" ht="25.5">
      <c r="A30" s="1" t="s">
        <v>73</v>
      </c>
      <c r="B30" s="25" t="s">
        <v>78</v>
      </c>
      <c r="C30" s="3" t="s">
        <v>80</v>
      </c>
      <c r="D30" s="25" t="s">
        <v>79</v>
      </c>
    </row>
    <row r="31" spans="1:14" ht="12.75">
      <c r="A31" t="s">
        <v>104</v>
      </c>
      <c r="B31" s="35">
        <f>Engr!B39</f>
        <v>38798</v>
      </c>
      <c r="C31" s="51">
        <f>Engr!C39</f>
        <v>6</v>
      </c>
      <c r="D31" s="35">
        <f>Engr!D39</f>
        <v>38840</v>
      </c>
      <c r="K31" s="105"/>
      <c r="L31" s="105"/>
      <c r="M31" s="105"/>
      <c r="N31" s="105"/>
    </row>
    <row r="32" spans="1:4" ht="12.75">
      <c r="A32" t="s">
        <v>74</v>
      </c>
      <c r="B32" s="35">
        <f>Engr!B40</f>
        <v>38840</v>
      </c>
      <c r="C32" s="51">
        <f>Engr!C40</f>
        <v>6</v>
      </c>
      <c r="D32" s="35">
        <f>Engr!D40</f>
        <v>38882</v>
      </c>
    </row>
    <row r="33" spans="1:4" ht="12.75">
      <c r="A33" t="s">
        <v>75</v>
      </c>
      <c r="B33" s="35">
        <f>Engr!B41</f>
        <v>38882</v>
      </c>
      <c r="C33" s="51">
        <f>Engr!C41</f>
        <v>12</v>
      </c>
      <c r="D33" s="35">
        <f>Engr!D41</f>
        <v>38966</v>
      </c>
    </row>
    <row r="34" spans="1:4" ht="12.75">
      <c r="A34" t="s">
        <v>77</v>
      </c>
      <c r="B34" s="35">
        <f>Engr!B42</f>
        <v>38966</v>
      </c>
      <c r="C34" s="51">
        <f>Engr!C42</f>
        <v>4</v>
      </c>
      <c r="D34" s="35">
        <f>Engr!D42</f>
        <v>38994</v>
      </c>
    </row>
    <row r="35" spans="1:4" ht="12.75">
      <c r="A35" t="s">
        <v>76</v>
      </c>
      <c r="B35" s="35">
        <f>Engr!B43</f>
        <v>38994</v>
      </c>
      <c r="C35" s="51">
        <f>Engr!C43</f>
        <v>4</v>
      </c>
      <c r="D35" s="35">
        <f>Engr!D43</f>
        <v>39022</v>
      </c>
    </row>
    <row r="39" ht="12.75">
      <c r="A39" s="1" t="s">
        <v>96</v>
      </c>
    </row>
  </sheetData>
  <mergeCells count="13">
    <mergeCell ref="H18:I18"/>
    <mergeCell ref="G6:O6"/>
    <mergeCell ref="N18:O18"/>
    <mergeCell ref="K31:L31"/>
    <mergeCell ref="M31:N31"/>
    <mergeCell ref="L18:M18"/>
    <mergeCell ref="J18:K18"/>
    <mergeCell ref="L7:M7"/>
    <mergeCell ref="N7:O7"/>
    <mergeCell ref="E8:F8"/>
    <mergeCell ref="A6:F7"/>
    <mergeCell ref="H7:I7"/>
    <mergeCell ref="J7:K7"/>
  </mergeCells>
  <printOptions/>
  <pageMargins left="0.75" right="0.75" top="1" bottom="1" header="0.5" footer="0.5"/>
  <pageSetup horizontalDpi="600" verticalDpi="600" orientation="landscape" scale="90" r:id="rId1"/>
  <headerFooter alignWithMargins="0">
    <oddHeader>&amp;C&amp;"Arial,Bold"&amp;14NCSX Fabrication Project Cost and Schedule</oddHeader>
    <oddFooter>&amp;C&amp;"Arial,Bold"&amp;P</oddFooter>
  </headerFooter>
  <rowBreaks count="1" manualBreakCount="1">
    <brk id="28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5"/>
  <sheetViews>
    <sheetView tabSelected="1" workbookViewId="0" topLeftCell="A1">
      <selection activeCell="D11" sqref="D11"/>
    </sheetView>
  </sheetViews>
  <sheetFormatPr defaultColWidth="9.140625" defaultRowHeight="12.75"/>
  <sheetData>
    <row r="1" spans="1:8" ht="20.25">
      <c r="A1" s="65" t="str">
        <f>'Fab Project'!A1:E1</f>
        <v>WBS 163 Coil Protection System</v>
      </c>
      <c r="B1" s="65"/>
      <c r="C1" s="65"/>
      <c r="D1" s="65"/>
      <c r="E1" s="65"/>
      <c r="F1" s="65"/>
      <c r="G1" s="65"/>
      <c r="H1" s="65"/>
    </row>
    <row r="3" spans="1:13" ht="18.75" thickBot="1">
      <c r="A3" s="74" t="s">
        <v>148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5" ht="12.75">
      <c r="A5" t="s">
        <v>149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&amp;C&amp;"Arial,Bold"&amp;14NCSX Fabrication Project Cost Estimate</oddHeader>
    <oddFooter>&amp;C&amp;"Arial,Bold"&amp;P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Robert Simmons</cp:lastModifiedBy>
  <cp:lastPrinted>2003-08-20T00:27:19Z</cp:lastPrinted>
  <dcterms:created xsi:type="dcterms:W3CDTF">2001-10-24T18:11:20Z</dcterms:created>
  <dcterms:modified xsi:type="dcterms:W3CDTF">2004-01-20T12:28:48Z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-1500514089</vt:i4>
  </property>
  <property fmtid="{D5CDD505-2E9C-101B-9397-08002B2CF9AE}" pid="3" name="_EmailSubject">
    <vt:lpwstr>cost backup</vt:lpwstr>
  </property>
  <property fmtid="{D5CDD505-2E9C-101B-9397-08002B2CF9AE}" pid="4" name="_AuthorEmail">
    <vt:lpwstr>nelsonbe@ornl.gov</vt:lpwstr>
  </property>
  <property fmtid="{D5CDD505-2E9C-101B-9397-08002B2CF9AE}" pid="5" name="_AuthorEmailDisplayName">
    <vt:lpwstr>Nelson, Brad E.</vt:lpwstr>
  </property>
  <property fmtid="{D5CDD505-2E9C-101B-9397-08002B2CF9AE}" pid="6" name="_PreviousAdHocReviewCycleID">
    <vt:i4>985179427</vt:i4>
  </property>
</Properties>
</file>