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75" windowWidth="15480" windowHeight="9420" activeTab="6"/>
  </bookViews>
  <sheets>
    <sheet name="Fab Project" sheetId="1" r:id="rId1"/>
    <sheet name="Other Costs" sheetId="2" r:id="rId2"/>
    <sheet name="Engr" sheetId="3" r:id="rId3"/>
    <sheet name="R&amp;D" sheetId="4" r:id="rId4"/>
    <sheet name="M&amp;S" sheetId="5" r:id="rId5"/>
    <sheet name="Fab_assy" sheetId="6" r:id="rId6"/>
    <sheet name="Installation" sheetId="7" r:id="rId7"/>
  </sheets>
  <definedNames>
    <definedName name="_xlnm.Print_Area" localSheetId="2">'Engr'!$A$1:$Q$76</definedName>
    <definedName name="_xlnm.Print_Area" localSheetId="0">'Fab Project'!$A$1:$K$117</definedName>
    <definedName name="_xlnm.Print_Area" localSheetId="5">'Fab_assy'!$A$1:$P$204</definedName>
    <definedName name="_xlnm.Print_Area" localSheetId="6">'Installation'!$A$1:$M$33</definedName>
    <definedName name="_xlnm.Print_Area" localSheetId="4">'M&amp;S'!$A$1:$J$30</definedName>
    <definedName name="_xlnm.Print_Area" localSheetId="1">'Other Costs'!$A$4:$I$85</definedName>
    <definedName name="_xlnm.Print_Area" localSheetId="3">'R&amp;D'!$A$1:$Q$96</definedName>
    <definedName name="_xlnm.Print_Titles" localSheetId="2">'Engr'!$1:$3</definedName>
    <definedName name="_xlnm.Print_Titles" localSheetId="0">'Fab Project'!$1:$1</definedName>
    <definedName name="_xlnm.Print_Titles" localSheetId="5">'Fab_assy'!$1:$3</definedName>
    <definedName name="_xlnm.Print_Titles" localSheetId="6">'Installation'!$1:$3</definedName>
    <definedName name="_xlnm.Print_Titles" localSheetId="4">'M&amp;S'!$1:$3</definedName>
    <definedName name="_xlnm.Print_Titles" localSheetId="1">'Other Costs'!$1:$3</definedName>
    <definedName name="_xlnm.Print_Titles" localSheetId="3">'R&amp;D'!$1:$3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<sst xmlns="http://schemas.openxmlformats.org/spreadsheetml/2006/main" count="705" uniqueCount="315">
  <si>
    <t>Activity Title</t>
  </si>
  <si>
    <t>Manhours</t>
  </si>
  <si>
    <t>FY2002 $$</t>
  </si>
  <si>
    <t>Labor Type</t>
  </si>
  <si>
    <t>Comments</t>
  </si>
  <si>
    <t>Start Date  Month/Year</t>
  </si>
  <si>
    <t>End Date  Month/Year</t>
  </si>
  <si>
    <t>Preliminary Design (Title I)</t>
  </si>
  <si>
    <t>Final Design (Title II)</t>
  </si>
  <si>
    <t>EAEM</t>
  </si>
  <si>
    <t>EASM</t>
  </si>
  <si>
    <t>EADM</t>
  </si>
  <si>
    <t>ORNL Eng</t>
  </si>
  <si>
    <t>SAMPLE - Put in specific labor type</t>
  </si>
  <si>
    <t>M&amp;S Costs</t>
  </si>
  <si>
    <t>Procured Hardware/Material</t>
  </si>
  <si>
    <t>Purchased Design Services</t>
  </si>
  <si>
    <t>Procured Installation/Assembly Costs</t>
  </si>
  <si>
    <t>RMRM3</t>
  </si>
  <si>
    <t>Research Planning/Preparations</t>
  </si>
  <si>
    <t>Operational Spares</t>
  </si>
  <si>
    <t>Instructions for Completing Form</t>
  </si>
  <si>
    <t>(1) One form for each 3 digit WBS element (e.g., 111, 121, 452, etc.) =&gt; if no 3 digit WBS, use 2 digit WBS (e.g., 81, 82, 84)</t>
  </si>
  <si>
    <t>(3) For M&amp;S, provide estimate in FY2002 direct dollars if procured by PPPL, or in fully loaded dollars if procured by ORNL</t>
  </si>
  <si>
    <t>(4) Start and end date provided in month/year format =&gt; March/2003</t>
  </si>
  <si>
    <t>(2) For Lab labor, provide estimate in manhours =&gt; provide estimate by specific labor type.</t>
  </si>
  <si>
    <t>Other Costs</t>
  </si>
  <si>
    <t>Travel</t>
  </si>
  <si>
    <t>Allocations (WBS 81 only)</t>
  </si>
  <si>
    <t>Lab Fab/Assembly/Installation (Title III)</t>
  </si>
  <si>
    <t>Labor</t>
  </si>
  <si>
    <t>Manufacturing Development</t>
  </si>
  <si>
    <t xml:space="preserve"> </t>
  </si>
  <si>
    <t xml:space="preserve">Level of Effort </t>
  </si>
  <si>
    <t>FCEM</t>
  </si>
  <si>
    <t>FY2003</t>
  </si>
  <si>
    <t>FY2004</t>
  </si>
  <si>
    <t>FY2005</t>
  </si>
  <si>
    <t>FY2006</t>
  </si>
  <si>
    <t>FY2007</t>
  </si>
  <si>
    <t>Research Prep Activities</t>
  </si>
  <si>
    <t>Identify each procurement over $100K individually</t>
  </si>
  <si>
    <t>ORNL Physics</t>
  </si>
  <si>
    <t>Include any M&amp;S carried over from FY2002</t>
  </si>
  <si>
    <t>XX represents the 2 digit WBS code</t>
  </si>
  <si>
    <t>PPPL Designer</t>
  </si>
  <si>
    <t>PPPL Engineer</t>
  </si>
  <si>
    <t>PPPL monthly support</t>
  </si>
  <si>
    <t>Composite of ORNL Engineer / Designer</t>
  </si>
  <si>
    <t>Composite of ORNL Physicist</t>
  </si>
  <si>
    <t>Pro-E models</t>
  </si>
  <si>
    <t>assy dwgs</t>
  </si>
  <si>
    <t>Detail drawings</t>
  </si>
  <si>
    <t>installation dwg</t>
  </si>
  <si>
    <t>multiplier</t>
  </si>
  <si>
    <t>unit</t>
  </si>
  <si>
    <t>no.</t>
  </si>
  <si>
    <t>hrs/model</t>
  </si>
  <si>
    <t>hrs/dwg</t>
  </si>
  <si>
    <t>hrs/calc</t>
  </si>
  <si>
    <t>hrs/spec</t>
  </si>
  <si>
    <t>hrs/wk</t>
  </si>
  <si>
    <t>Engineering, Title I, II and III</t>
  </si>
  <si>
    <t>hrs</t>
  </si>
  <si>
    <t>Title I, II design</t>
  </si>
  <si>
    <t xml:space="preserve">Title III </t>
  </si>
  <si>
    <t>As-built drawings</t>
  </si>
  <si>
    <t>vendor oversight, inspection</t>
  </si>
  <si>
    <t>Disposition of deviation requests and non-conformances</t>
  </si>
  <si>
    <t>PPPL Physics</t>
  </si>
  <si>
    <t>subtotal</t>
  </si>
  <si>
    <t>Description:</t>
  </si>
  <si>
    <t>Schedule assumptions</t>
  </si>
  <si>
    <t>Title II Design</t>
  </si>
  <si>
    <t>Procurement</t>
  </si>
  <si>
    <t>Installation / final assembly</t>
  </si>
  <si>
    <t>In-house fab / sub-assy</t>
  </si>
  <si>
    <t>start</t>
  </si>
  <si>
    <t>end</t>
  </si>
  <si>
    <t>duration (weeks)</t>
  </si>
  <si>
    <t>Installation oversight and inspection</t>
  </si>
  <si>
    <t>cooling schematic</t>
  </si>
  <si>
    <t>electrical schematic</t>
  </si>
  <si>
    <t>I&amp;C schematic</t>
  </si>
  <si>
    <t>special analysis</t>
  </si>
  <si>
    <t>stress analysis</t>
  </si>
  <si>
    <t>thermal analysis</t>
  </si>
  <si>
    <t>preliminary and final design reviews</t>
  </si>
  <si>
    <t>hrs/rev</t>
  </si>
  <si>
    <t>meetings/reporting/presentations</t>
  </si>
  <si>
    <t>% of tot</t>
  </si>
  <si>
    <t>procurement specifications</t>
  </si>
  <si>
    <t>fract.</t>
  </si>
  <si>
    <t>total fraction</t>
  </si>
  <si>
    <t>hours</t>
  </si>
  <si>
    <t>Notes and worksheets</t>
  </si>
  <si>
    <t>PPPL Physics/scientific</t>
  </si>
  <si>
    <t>Composite of ORNL Physics / scientific</t>
  </si>
  <si>
    <t>Labor category</t>
  </si>
  <si>
    <t>R&amp;D</t>
  </si>
  <si>
    <t>Task</t>
  </si>
  <si>
    <t>R&amp;D planning</t>
  </si>
  <si>
    <t>Bid and award</t>
  </si>
  <si>
    <t>Title I Design, R&amp;D</t>
  </si>
  <si>
    <t>Vendor</t>
  </si>
  <si>
    <t>Summary</t>
  </si>
  <si>
    <t>R&amp;D design</t>
  </si>
  <si>
    <t>R&amp;D testing</t>
  </si>
  <si>
    <t>R&amp;D procurement / in-house fab.</t>
  </si>
  <si>
    <t>duration
(weeks)</t>
  </si>
  <si>
    <t>FY2008</t>
  </si>
  <si>
    <t>EMTB</t>
  </si>
  <si>
    <t>PPPL Technician</t>
  </si>
  <si>
    <t>Duration of activity per fiscal year (weeks)</t>
  </si>
  <si>
    <t>Lab R&amp;D labor</t>
  </si>
  <si>
    <t>Manufacturing Development (R&amp;D)</t>
  </si>
  <si>
    <t>per hour</t>
  </si>
  <si>
    <t>Materials and Subcontracts (M&amp;S)</t>
  </si>
  <si>
    <t>Assumptions:</t>
  </si>
  <si>
    <t>outside engr rate =</t>
  </si>
  <si>
    <t>$ per hour</t>
  </si>
  <si>
    <t>outside fab rate =</t>
  </si>
  <si>
    <t>outside inspection/technician rate =</t>
  </si>
  <si>
    <t xml:space="preserve">    fab rate</t>
  </si>
  <si>
    <t xml:space="preserve">   inspection/technician rate</t>
  </si>
  <si>
    <t>w/o G&amp;A</t>
  </si>
  <si>
    <t>Purchased parts:</t>
  </si>
  <si>
    <t>Worksheet:</t>
  </si>
  <si>
    <t>subtotal, purchased parts</t>
  </si>
  <si>
    <t>Profit at 10%</t>
  </si>
  <si>
    <t>vendor shop drawings</t>
  </si>
  <si>
    <t>vendor part programming</t>
  </si>
  <si>
    <t>vendor misc engineering</t>
  </si>
  <si>
    <t>In-house Fabrication and Assembly</t>
  </si>
  <si>
    <t>total, procured hdwe/matl.</t>
  </si>
  <si>
    <t>total, manf/dev (R&amp;D)</t>
  </si>
  <si>
    <t>Manhours per fiscal year by labor category</t>
  </si>
  <si>
    <t>subtotal purchased materials</t>
  </si>
  <si>
    <t>Purchased materials for in-house fabrication and sub-assembly</t>
  </si>
  <si>
    <t>Installation</t>
  </si>
  <si>
    <t>This element is not part of the WBS 1 scope of work</t>
  </si>
  <si>
    <t>TOTAL</t>
  </si>
  <si>
    <t>Comment</t>
  </si>
  <si>
    <t>no purchased services anticipated</t>
  </si>
  <si>
    <t>All installation and assembly costs are included in WBS 7</t>
  </si>
  <si>
    <t>Summary Costs</t>
  </si>
  <si>
    <t>M&amp;S, Other</t>
  </si>
  <si>
    <t>subtotal, labor</t>
  </si>
  <si>
    <t>subtotal, M&amp;S</t>
  </si>
  <si>
    <t>G&amp;A</t>
  </si>
  <si>
    <t>on all purchased materials, subcontracts, travel</t>
  </si>
  <si>
    <t>Subtotal without contingency</t>
  </si>
  <si>
    <t>Contingency</t>
  </si>
  <si>
    <t>Total cost</t>
  </si>
  <si>
    <t>Overall on this WBS</t>
  </si>
  <si>
    <t>PPPL</t>
  </si>
  <si>
    <t>ORNL</t>
  </si>
  <si>
    <t>PPPL Effort</t>
  </si>
  <si>
    <t>ORNL effort</t>
  </si>
  <si>
    <t>ORNL Phys</t>
  </si>
  <si>
    <t>PPPL Phys</t>
  </si>
  <si>
    <t>Assumed rates:</t>
  </si>
  <si>
    <t>Start Date  Month/Yr</t>
  </si>
  <si>
    <t>End Date  Month/Yr</t>
  </si>
  <si>
    <t>ORNL Phys.</t>
  </si>
  <si>
    <t>PPPL Phys.</t>
  </si>
  <si>
    <t>ORNL Phy</t>
  </si>
  <si>
    <t>PPPL Phy</t>
  </si>
  <si>
    <t xml:space="preserve"> of design is preliminary design</t>
  </si>
  <si>
    <t>of design schedule is final design</t>
  </si>
  <si>
    <t>special analysis (electromagnetics)</t>
  </si>
  <si>
    <t>Title I Design</t>
  </si>
  <si>
    <t>EMSM</t>
  </si>
  <si>
    <t xml:space="preserve">hrs </t>
  </si>
  <si>
    <t>total</t>
  </si>
  <si>
    <t>This includes inspection of the conductor and castings, coil winding, VPI and Testing activities.</t>
  </si>
  <si>
    <t>machinist</t>
  </si>
  <si>
    <t>This proposal includes the costs associated with the fabrication of (18) Modular coils for the NCSX Machine.</t>
  </si>
  <si>
    <t xml:space="preserve">   design rate:</t>
  </si>
  <si>
    <t>EASM, EMSM</t>
  </si>
  <si>
    <t>hrs / coil</t>
  </si>
  <si>
    <t>R&amp;D Tasks and Title III (see notes)</t>
  </si>
  <si>
    <t>hrs/setup</t>
  </si>
  <si>
    <t>Engineering Design</t>
  </si>
  <si>
    <t>Subcontractor labor rates:</t>
  </si>
  <si>
    <t xml:space="preserve">assy dwgs </t>
  </si>
  <si>
    <t>Pro-E models (avg)</t>
  </si>
  <si>
    <t>procurement/fab specifications</t>
  </si>
  <si>
    <t xml:space="preserve">Profit </t>
  </si>
  <si>
    <t>profit already included in these items</t>
  </si>
  <si>
    <t>R&amp;D labor cost =</t>
  </si>
  <si>
    <t>total R&amp;D costs</t>
  </si>
  <si>
    <t>Activity</t>
  </si>
  <si>
    <t>Duration</t>
  </si>
  <si>
    <t>Start</t>
  </si>
  <si>
    <t>End</t>
  </si>
  <si>
    <t>HP</t>
  </si>
  <si>
    <t>Safety</t>
  </si>
  <si>
    <t>IH</t>
  </si>
  <si>
    <t>QC</t>
  </si>
  <si>
    <t>M&amp;S</t>
  </si>
  <si>
    <t>Activity Description</t>
  </si>
  <si>
    <t>Engr</t>
  </si>
  <si>
    <t>Designer</t>
  </si>
  <si>
    <t>Sr. Lab</t>
  </si>
  <si>
    <t>Tech</t>
  </si>
  <si>
    <t>ID</t>
  </si>
  <si>
    <t>Days</t>
  </si>
  <si>
    <t>w/G&amp;A</t>
  </si>
  <si>
    <r>
      <t xml:space="preserve">Notes: </t>
    </r>
    <r>
      <rPr>
        <sz val="10"/>
        <rFont val="Arial"/>
        <family val="2"/>
      </rPr>
      <t>A number of activities can be performed in parallel and are not</t>
    </r>
  </si>
  <si>
    <t>series activities during the field period assemblies.</t>
  </si>
  <si>
    <t>a)  The TF coil sub-assembly</t>
  </si>
  <si>
    <t>b)  The sub-assembly of the modular coils</t>
  </si>
  <si>
    <t>c)  Preparation of the vacuum vessel for assembly</t>
  </si>
  <si>
    <t>XXXX</t>
  </si>
  <si>
    <t>P1- ?</t>
  </si>
  <si>
    <t xml:space="preserve">Sub-assembly of TF Coils </t>
  </si>
  <si>
    <t>1) Task involves assemblying together (3) TF coils and structure to form</t>
  </si>
  <si>
    <t>a TF coil set</t>
  </si>
  <si>
    <t>2) TF coil sets are required per Field Period Assembly</t>
  </si>
  <si>
    <t>Assemble (3) TF coils and structure- Right side Field Period #1</t>
  </si>
  <si>
    <t>Assemble (3) TF coils and structure- Left side Field Period #1</t>
  </si>
  <si>
    <t>Assemble (3) TF coils and structure- Right side Field Period #2</t>
  </si>
  <si>
    <t>Assemble (3) TF coils and structure- Left side Field Period #2</t>
  </si>
  <si>
    <t>Assemble (3) TF coils and structure- Right side Field Period #3</t>
  </si>
  <si>
    <t>Assemble (3) TF coils and structure- Left side Field Period #3</t>
  </si>
  <si>
    <t>Sub-assembly of Modular Coils</t>
  </si>
  <si>
    <t xml:space="preserve">1) Task involves the mounting and aligning of (3) modular coils to form </t>
  </si>
  <si>
    <t xml:space="preserve">a coil set [M1, M2, M3]. </t>
  </si>
  <si>
    <t>2) Two complete coil sets are required per complete Field Period Assy.</t>
  </si>
  <si>
    <t>P1-??</t>
  </si>
  <si>
    <t>FP#1 Mount and align right side modular coils in sub-assy fixture</t>
  </si>
  <si>
    <t>Install first M1 coil in frame</t>
  </si>
  <si>
    <t>Install M2 coil and align to M1</t>
  </si>
  <si>
    <t>Install M3 coil and align to M1 and M2</t>
  </si>
  <si>
    <t>Ready for installation</t>
  </si>
  <si>
    <t>FP#1 Mount and align left side modular coils in sub-assy fixture</t>
  </si>
  <si>
    <t>FP#2 Mount and align right side modular coils in sub-assy fixture</t>
  </si>
  <si>
    <t>FP#3 Mount and align right side modular coils in sub-assy fixture</t>
  </si>
  <si>
    <t>Assemble Field Periods</t>
  </si>
  <si>
    <t>1) Task involves assemblying the VV, Modular coils, TF coils and Trim</t>
  </si>
  <si>
    <t>coils together to complete a Field Period Assembly</t>
  </si>
  <si>
    <t xml:space="preserve">2) Includes the welding of VV ports, bakeout of VV and vacuum leak </t>
  </si>
  <si>
    <t>testing activities</t>
  </si>
  <si>
    <t>P1-???</t>
  </si>
  <si>
    <t>Assemble Field Period #1</t>
  </si>
  <si>
    <t>Assemble and align right side modular coils to vacuum vessel</t>
  </si>
  <si>
    <t>Assemble and align left side modular coils to vacuum vessel</t>
  </si>
  <si>
    <t>Position and align right side TF coils to FP #1</t>
  </si>
  <si>
    <t>Position and align left side TF coils to FP#1</t>
  </si>
  <si>
    <t>P1-191</t>
  </si>
  <si>
    <t>Position and weld port assemblies</t>
  </si>
  <si>
    <t>P1-201</t>
  </si>
  <si>
    <t>Bakeout vessel segment to 150 degrees C</t>
  </si>
  <si>
    <t>P1-211</t>
  </si>
  <si>
    <t>Perform vacuum leak check of welded assemblies</t>
  </si>
  <si>
    <t>Install external Trim coils</t>
  </si>
  <si>
    <t xml:space="preserve">Total of [8] Trim coils mounted to Modular coil shell </t>
  </si>
  <si>
    <t>Install [3] upper coils</t>
  </si>
  <si>
    <t>Install [2] Mid coils</t>
  </si>
  <si>
    <t>Install [3] lower coils</t>
  </si>
  <si>
    <t>P1-221</t>
  </si>
  <si>
    <t>Prepare field period for shipment</t>
  </si>
  <si>
    <t>P1-231</t>
  </si>
  <si>
    <t>Ship 1st. Field Period</t>
  </si>
  <si>
    <t>P1-241</t>
  </si>
  <si>
    <t>Field period ready for installation</t>
  </si>
  <si>
    <t>Assemble Field Period #2</t>
  </si>
  <si>
    <t>Position and align right side TF coils to FP #2</t>
  </si>
  <si>
    <t>Position and align left side TF coils to FP#2</t>
  </si>
  <si>
    <t>Ship 2nd. Field Period</t>
  </si>
  <si>
    <t>2nd. Field period ready for installation</t>
  </si>
  <si>
    <t>Assemble Field Period #3</t>
  </si>
  <si>
    <t>Position and align right side TF coils to FP #3</t>
  </si>
  <si>
    <t>Position and align left side TF coils to FP#3</t>
  </si>
  <si>
    <t>Ship 3rd. Field Period</t>
  </si>
  <si>
    <t>3rd. Field period ready for installation</t>
  </si>
  <si>
    <t>Rate</t>
  </si>
  <si>
    <t>per Hr</t>
  </si>
  <si>
    <t>EM</t>
  </si>
  <si>
    <t>SM</t>
  </si>
  <si>
    <t>TB</t>
  </si>
  <si>
    <t>DM</t>
  </si>
  <si>
    <t>Field Period Assembly Area Preparation</t>
  </si>
  <si>
    <t>Ref J. Chrzanowski spreadsheet, April  2003</t>
  </si>
  <si>
    <t>No R&amp;D is anticipated for this element</t>
  </si>
  <si>
    <t>WBS 185 Assembly of Field Periods</t>
  </si>
  <si>
    <t>Field period assembly</t>
  </si>
  <si>
    <t xml:space="preserve">Sub-assembly </t>
  </si>
  <si>
    <t>TF Coils, 3 coil assy - sr tech</t>
  </si>
  <si>
    <t>TF Coils, 3 coil assy - tech</t>
  </si>
  <si>
    <t>Mod coils, 3 coil assy, tech</t>
  </si>
  <si>
    <t>per assy</t>
  </si>
  <si>
    <t>Mod coils, 3 coil assy, tech, first assy</t>
  </si>
  <si>
    <t>Mod Coils, 3 coil assy, sr tech. machinist, first assy</t>
  </si>
  <si>
    <t>Mod Coils, 3 coil assy, sr tech, machinist</t>
  </si>
  <si>
    <t>assemble mod coils to VV, sr. tech, machinist</t>
  </si>
  <si>
    <t>assembly TF coils to VV, sr tech, machinist</t>
  </si>
  <si>
    <t>weld VV port assemblies, sr tech, machinist</t>
  </si>
  <si>
    <t>Bakeout and leak check, sr tech, machinist</t>
  </si>
  <si>
    <t>install external trim coils, sr tech, machinist</t>
  </si>
  <si>
    <t>ship to test cell, sr tech, machinist</t>
  </si>
  <si>
    <t>assemble mod coils to VV, tech</t>
  </si>
  <si>
    <t>assembly TF coils to VV, tech</t>
  </si>
  <si>
    <t>weld VV port assemblies, tech</t>
  </si>
  <si>
    <t>Bakeout and leak check, tech</t>
  </si>
  <si>
    <t>install external trim coils, tech</t>
  </si>
  <si>
    <t>ship to test cell, tech</t>
  </si>
  <si>
    <t>This effort covers all PPPL effort involved with actual assembly of the field periods, including sub-assembly of the modular coils and TF coils into partial field periods, assembling over the VV, welding the VV port extensions, etc.</t>
  </si>
  <si>
    <t>Engineering for this effort is covered under WBS 181</t>
  </si>
  <si>
    <t>FY2003 $$</t>
  </si>
  <si>
    <t>travel related to this task is in WBS 181</t>
  </si>
  <si>
    <t>No additional materials or supplies are required for this WBS.  They are included in WBS 12, 13, 14, 15, etc.</t>
  </si>
  <si>
    <t>pre-assemble mod coils</t>
  </si>
  <si>
    <t>lot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</si>
</sst>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dd\-mmm\-yy"/>
    <numFmt numFmtId="174" formatCode="&quot;$&quot;#,##0.0;[Red]&quot;$&quot;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 wrapText="1"/>
    </xf>
    <xf numFmtId="14" fontId="2" fillId="2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7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6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4" fontId="2" fillId="0" borderId="0" xfId="0" applyNumberFormat="1" applyFont="1" applyAlignment="1">
      <alignment/>
    </xf>
    <xf numFmtId="14" fontId="2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1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8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textRotation="90"/>
    </xf>
    <xf numFmtId="17" fontId="0" fillId="0" borderId="0" xfId="0" applyNumberForma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 horizontal="lef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/>
    </xf>
    <xf numFmtId="15" fontId="13" fillId="3" borderId="2" xfId="0" applyNumberFormat="1" applyFont="1" applyFill="1" applyBorder="1" applyAlignment="1">
      <alignment horizontal="center"/>
    </xf>
    <xf numFmtId="173" fontId="13" fillId="3" borderId="2" xfId="0" applyNumberFormat="1" applyFont="1" applyFill="1" applyBorder="1" applyAlignment="1">
      <alignment horizontal="center"/>
    </xf>
    <xf numFmtId="173" fontId="13" fillId="4" borderId="2" xfId="0" applyNumberFormat="1" applyFont="1" applyFill="1" applyBorder="1" applyAlignment="1">
      <alignment horizontal="center"/>
    </xf>
    <xf numFmtId="170" fontId="13" fillId="3" borderId="2" xfId="0" applyNumberFormat="1" applyFont="1" applyFill="1" applyBorder="1" applyAlignment="1">
      <alignment horizontal="center"/>
    </xf>
    <xf numFmtId="168" fontId="13" fillId="3" borderId="2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15" fontId="12" fillId="3" borderId="3" xfId="0" applyNumberFormat="1" applyFont="1" applyFill="1" applyBorder="1" applyAlignment="1">
      <alignment horizontal="center"/>
    </xf>
    <xf numFmtId="173" fontId="12" fillId="3" borderId="3" xfId="0" applyNumberFormat="1" applyFont="1" applyFill="1" applyBorder="1" applyAlignment="1">
      <alignment horizontal="center"/>
    </xf>
    <xf numFmtId="173" fontId="12" fillId="4" borderId="3" xfId="0" applyNumberFormat="1" applyFont="1" applyFill="1" applyBorder="1" applyAlignment="1">
      <alignment horizontal="center"/>
    </xf>
    <xf numFmtId="170" fontId="12" fillId="3" borderId="3" xfId="0" applyNumberFormat="1" applyFont="1" applyFill="1" applyBorder="1" applyAlignment="1">
      <alignment horizontal="center"/>
    </xf>
    <xf numFmtId="170" fontId="12" fillId="3" borderId="4" xfId="0" applyNumberFormat="1" applyFont="1" applyFill="1" applyBorder="1" applyAlignment="1">
      <alignment horizontal="center"/>
    </xf>
    <xf numFmtId="168" fontId="12" fillId="3" borderId="3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15" fontId="13" fillId="3" borderId="5" xfId="0" applyNumberFormat="1" applyFont="1" applyFill="1" applyBorder="1" applyAlignment="1">
      <alignment horizontal="center"/>
    </xf>
    <xf numFmtId="173" fontId="13" fillId="3" borderId="5" xfId="0" applyNumberFormat="1" applyFont="1" applyFill="1" applyBorder="1" applyAlignment="1">
      <alignment horizontal="center"/>
    </xf>
    <xf numFmtId="173" fontId="13" fillId="4" borderId="5" xfId="0" applyNumberFormat="1" applyFont="1" applyFill="1" applyBorder="1" applyAlignment="1">
      <alignment horizontal="center"/>
    </xf>
    <xf numFmtId="170" fontId="13" fillId="3" borderId="5" xfId="0" applyNumberFormat="1" applyFont="1" applyFill="1" applyBorder="1" applyAlignment="1">
      <alignment horizontal="center"/>
    </xf>
    <xf numFmtId="168" fontId="13" fillId="3" borderId="5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15" fontId="12" fillId="0" borderId="3" xfId="0" applyNumberFormat="1" applyFont="1" applyBorder="1" applyAlignment="1">
      <alignment horizontal="center"/>
    </xf>
    <xf numFmtId="170" fontId="12" fillId="0" borderId="3" xfId="0" applyNumberFormat="1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2" fillId="5" borderId="3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2" fillId="4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15" fontId="12" fillId="0" borderId="4" xfId="0" applyNumberFormat="1" applyFont="1" applyBorder="1" applyAlignment="1">
      <alignment horizontal="center"/>
    </xf>
    <xf numFmtId="170" fontId="12" fillId="0" borderId="4" xfId="0" applyNumberFormat="1" applyFon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5" fontId="12" fillId="0" borderId="6" xfId="0" applyNumberFormat="1" applyFont="1" applyBorder="1" applyAlignment="1">
      <alignment horizontal="center"/>
    </xf>
    <xf numFmtId="170" fontId="12" fillId="0" borderId="6" xfId="0" applyNumberFormat="1" applyFon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15" fontId="13" fillId="0" borderId="3" xfId="0" applyNumberFormat="1" applyFont="1" applyBorder="1" applyAlignment="1">
      <alignment horizontal="center"/>
    </xf>
    <xf numFmtId="0" fontId="0" fillId="5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5" fontId="12" fillId="0" borderId="3" xfId="0" applyNumberFormat="1" applyFont="1" applyFill="1" applyBorder="1" applyAlignment="1">
      <alignment horizontal="center"/>
    </xf>
    <xf numFmtId="170" fontId="12" fillId="0" borderId="3" xfId="0" applyNumberFormat="1" applyFont="1" applyFill="1" applyBorder="1" applyAlignment="1">
      <alignment horizontal="center"/>
    </xf>
    <xf numFmtId="170" fontId="0" fillId="0" borderId="3" xfId="0" applyNumberFormat="1" applyFill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3" xfId="0" applyFill="1" applyBorder="1" applyAlignment="1">
      <alignment horizontal="right"/>
    </xf>
    <xf numFmtId="15" fontId="13" fillId="0" borderId="3" xfId="0" applyNumberFormat="1" applyFont="1" applyFill="1" applyBorder="1" applyAlignment="1">
      <alignment horizontal="center"/>
    </xf>
    <xf numFmtId="170" fontId="0" fillId="0" borderId="3" xfId="0" applyNumberFormat="1" applyFont="1" applyFill="1" applyBorder="1" applyAlignment="1">
      <alignment horizontal="center"/>
    </xf>
    <xf numFmtId="170" fontId="0" fillId="0" borderId="3" xfId="0" applyNumberFormat="1" applyFont="1" applyFill="1" applyBorder="1" applyAlignment="1">
      <alignment horizontal="left"/>
    </xf>
    <xf numFmtId="168" fontId="0" fillId="0" borderId="3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5" fontId="13" fillId="0" borderId="4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5" fontId="13" fillId="0" borderId="6" xfId="0" applyNumberFormat="1" applyFont="1" applyBorder="1" applyAlignment="1">
      <alignment horizontal="center"/>
    </xf>
    <xf numFmtId="15" fontId="13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0" fontId="12" fillId="0" borderId="4" xfId="0" applyNumberFormat="1" applyFont="1" applyFill="1" applyBorder="1" applyAlignment="1">
      <alignment horizontal="center"/>
    </xf>
    <xf numFmtId="170" fontId="0" fillId="0" borderId="4" xfId="0" applyNumberFormat="1" applyFill="1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5" fontId="13" fillId="6" borderId="3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8" fontId="12" fillId="0" borderId="3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8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174" fontId="13" fillId="0" borderId="3" xfId="0" applyNumberFormat="1" applyFont="1" applyBorder="1" applyAlignment="1">
      <alignment horizontal="center"/>
    </xf>
    <xf numFmtId="174" fontId="12" fillId="0" borderId="3" xfId="0" applyNumberFormat="1" applyFont="1" applyBorder="1" applyAlignment="1">
      <alignment horizontal="center"/>
    </xf>
    <xf numFmtId="174" fontId="2" fillId="0" borderId="3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8" fontId="0" fillId="3" borderId="12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5" fontId="12" fillId="0" borderId="13" xfId="0" applyNumberFormat="1" applyFont="1" applyBorder="1" applyAlignment="1">
      <alignment horizontal="center"/>
    </xf>
    <xf numFmtId="170" fontId="12" fillId="0" borderId="13" xfId="0" applyNumberFormat="1" applyFon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3" xfId="0" applyFont="1" applyBorder="1" applyAlignment="1">
      <alignment horizontal="left"/>
    </xf>
    <xf numFmtId="0" fontId="0" fillId="0" borderId="3" xfId="0" applyFill="1" applyBorder="1" applyAlignment="1">
      <alignment/>
    </xf>
    <xf numFmtId="0" fontId="2" fillId="4" borderId="4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ill="1" applyBorder="1" applyAlignment="1">
      <alignment/>
    </xf>
    <xf numFmtId="0" fontId="2" fillId="6" borderId="3" xfId="0" applyFont="1" applyFill="1" applyBorder="1" applyAlignment="1">
      <alignment/>
    </xf>
    <xf numFmtId="0" fontId="0" fillId="0" borderId="13" xfId="0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workbookViewId="0" topLeftCell="A86">
      <selection activeCell="E110" sqref="E110"/>
    </sheetView>
  </sheetViews>
  <sheetFormatPr defaultColWidth="9.140625" defaultRowHeight="12.75"/>
  <cols>
    <col min="1" max="1" width="1.28515625" style="0" customWidth="1"/>
    <col min="2" max="2" width="1.57421875" style="0" customWidth="1"/>
    <col min="3" max="3" width="32.28125" style="0" customWidth="1"/>
    <col min="4" max="4" width="10.7109375" style="0" customWidth="1"/>
    <col min="5" max="5" width="11.28125" style="0" customWidth="1"/>
    <col min="6" max="6" width="10.7109375" style="0" customWidth="1"/>
    <col min="7" max="8" width="10.7109375" style="19" customWidth="1"/>
    <col min="9" max="10" width="10.7109375" style="0" customWidth="1"/>
    <col min="11" max="11" width="12.57421875" style="0" customWidth="1"/>
    <col min="12" max="12" width="12.28125" style="0" customWidth="1"/>
    <col min="13" max="13" width="11.00390625" style="0" customWidth="1"/>
    <col min="14" max="14" width="10.7109375" style="0" customWidth="1"/>
    <col min="15" max="15" width="10.28125" style="0" customWidth="1"/>
    <col min="16" max="17" width="10.140625" style="0" bestFit="1" customWidth="1"/>
    <col min="18" max="19" width="11.421875" style="0" bestFit="1" customWidth="1"/>
    <col min="20" max="20" width="9.8515625" style="0" bestFit="1" customWidth="1"/>
    <col min="21" max="21" width="10.140625" style="0" bestFit="1" customWidth="1"/>
  </cols>
  <sheetData>
    <row r="1" spans="1:20" s="2" customFormat="1" ht="20.25">
      <c r="A1" s="229" t="s">
        <v>286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">
        <v>17</v>
      </c>
      <c r="O1" s="227" t="s">
        <v>113</v>
      </c>
      <c r="P1" s="227"/>
      <c r="Q1" s="227"/>
      <c r="R1" s="227"/>
      <c r="S1" s="227"/>
      <c r="T1" s="227"/>
    </row>
    <row r="2" spans="1:20" s="2" customFormat="1" ht="15.75">
      <c r="A2" s="21"/>
      <c r="B2" s="21"/>
      <c r="C2" s="21"/>
      <c r="D2" s="21"/>
      <c r="E2" s="21"/>
      <c r="G2" s="16"/>
      <c r="H2" s="16"/>
      <c r="O2" s="25"/>
      <c r="P2" s="25"/>
      <c r="Q2" s="25"/>
      <c r="R2" s="25"/>
      <c r="S2" s="25"/>
      <c r="T2" s="25"/>
    </row>
    <row r="3" spans="1:20" s="2" customFormat="1" ht="18.75" thickBot="1">
      <c r="A3" s="228" t="s">
        <v>30</v>
      </c>
      <c r="B3" s="228"/>
      <c r="C3" s="228"/>
      <c r="D3" s="228"/>
      <c r="E3" s="75"/>
      <c r="F3" s="76"/>
      <c r="G3" s="77"/>
      <c r="H3" s="77"/>
      <c r="I3" s="76"/>
      <c r="J3" s="76"/>
      <c r="K3" s="76"/>
      <c r="O3" s="25"/>
      <c r="P3" s="25"/>
      <c r="Q3" s="25"/>
      <c r="R3" s="25"/>
      <c r="S3" s="25"/>
      <c r="T3" s="25"/>
    </row>
    <row r="4" spans="2:21" s="3" customFormat="1" ht="27.75" customHeight="1">
      <c r="B4" s="7" t="s">
        <v>0</v>
      </c>
      <c r="C4" s="7"/>
      <c r="D4" s="3" t="s">
        <v>1</v>
      </c>
      <c r="E4" s="3" t="s">
        <v>310</v>
      </c>
      <c r="F4" s="3" t="s">
        <v>3</v>
      </c>
      <c r="G4" s="17" t="s">
        <v>162</v>
      </c>
      <c r="H4" s="17" t="s">
        <v>163</v>
      </c>
      <c r="I4" s="1" t="s">
        <v>4</v>
      </c>
      <c r="J4" s="2"/>
      <c r="K4" s="2"/>
      <c r="L4" s="2"/>
      <c r="M4" s="2"/>
      <c r="N4" s="3" t="s">
        <v>109</v>
      </c>
      <c r="O4" s="17">
        <v>37530</v>
      </c>
      <c r="P4" s="17">
        <v>37895</v>
      </c>
      <c r="Q4" s="17">
        <v>38261</v>
      </c>
      <c r="R4" s="17">
        <v>38626</v>
      </c>
      <c r="S4" s="17">
        <v>38991</v>
      </c>
      <c r="T4" s="17">
        <v>39356</v>
      </c>
      <c r="U4" s="17">
        <v>39722</v>
      </c>
    </row>
    <row r="5" spans="7:13" s="4" customFormat="1" ht="12.75">
      <c r="G5" s="18"/>
      <c r="H5" s="18"/>
      <c r="L5" s="5"/>
      <c r="M5" s="5"/>
    </row>
    <row r="6" spans="1:21" ht="12.75">
      <c r="A6" s="226" t="s">
        <v>7</v>
      </c>
      <c r="B6" s="226"/>
      <c r="C6" s="226"/>
      <c r="D6" s="226"/>
      <c r="E6" s="8"/>
      <c r="I6" s="14"/>
      <c r="J6" s="14"/>
      <c r="K6" s="14"/>
      <c r="L6" s="14"/>
      <c r="M6" s="14"/>
      <c r="U6" s="30"/>
    </row>
    <row r="7" spans="3:25" ht="12.75">
      <c r="C7" t="str">
        <f>CONCATENATE("( ",ROUND(W7,0),"% of design schedule)")</f>
        <v>( 44% of design schedule)</v>
      </c>
      <c r="D7" s="31">
        <f>X7*Engr!$I$24</f>
        <v>0</v>
      </c>
      <c r="E7" s="8"/>
      <c r="F7" s="6" t="s">
        <v>9</v>
      </c>
      <c r="G7" s="34">
        <f>Engr!B$38</f>
        <v>37712</v>
      </c>
      <c r="H7" s="34">
        <f>Engr!D$38</f>
        <v>37926</v>
      </c>
      <c r="I7" s="14" t="s">
        <v>46</v>
      </c>
      <c r="J7" s="14"/>
      <c r="K7" s="14"/>
      <c r="L7" s="14"/>
      <c r="M7" s="14"/>
      <c r="N7" s="40">
        <f>(H7-G7)/7</f>
        <v>30.571428571428573</v>
      </c>
      <c r="O7" s="40">
        <f aca="true" t="shared" si="0" ref="O7:T11">(1/7)*IF((OR((O$4&gt;=$H7),(P$4&lt;=$G7))),0,IF(AND((O$4&lt;=$G7),(P$4&gt;=$H7)),($H7-$G7),IF(AND((O$4&gt;=$G7),(P$4&gt;=$H7)),($H7-O$4),IF(AND((O$4&gt;=$G7),($H7&gt;=P$4)),365,IF(AND((O$4&lt;=$G7),($H7&gt;=P$4)),(P$4-$G7))))))</f>
        <v>26.142857142857142</v>
      </c>
      <c r="P7" s="40">
        <f t="shared" si="0"/>
        <v>4.428571428571428</v>
      </c>
      <c r="Q7" s="40">
        <f t="shared" si="0"/>
        <v>0</v>
      </c>
      <c r="R7" s="40">
        <f t="shared" si="0"/>
        <v>0</v>
      </c>
      <c r="S7" s="40">
        <f t="shared" si="0"/>
        <v>0</v>
      </c>
      <c r="T7" s="40">
        <f t="shared" si="0"/>
        <v>0</v>
      </c>
      <c r="U7" s="40"/>
      <c r="W7">
        <f>100*X7</f>
        <v>43.85245901639344</v>
      </c>
      <c r="X7" s="65">
        <f>Engr!C38/(Engr!C38+Engr!C39)</f>
        <v>0.4385245901639344</v>
      </c>
      <c r="Y7" t="s">
        <v>168</v>
      </c>
    </row>
    <row r="8" spans="4:21" ht="12.75">
      <c r="D8" s="31">
        <f>X7*Engr!$K$24</f>
        <v>0</v>
      </c>
      <c r="E8" s="8"/>
      <c r="F8" s="6" t="s">
        <v>11</v>
      </c>
      <c r="G8" s="34">
        <f>Engr!B$38</f>
        <v>37712</v>
      </c>
      <c r="H8" s="34">
        <f>Engr!D$38</f>
        <v>37926</v>
      </c>
      <c r="I8" s="14" t="s">
        <v>45</v>
      </c>
      <c r="J8" s="14"/>
      <c r="K8" s="14"/>
      <c r="L8" s="14"/>
      <c r="M8" s="14"/>
      <c r="N8" s="40">
        <f>(H8-G8)/7</f>
        <v>30.571428571428573</v>
      </c>
      <c r="O8" s="40">
        <f t="shared" si="0"/>
        <v>26.142857142857142</v>
      </c>
      <c r="P8" s="40">
        <f t="shared" si="0"/>
        <v>4.428571428571428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/>
    </row>
    <row r="9" spans="4:21" ht="12.75">
      <c r="D9" s="31">
        <f>X7*Engr!$M$24</f>
        <v>0</v>
      </c>
      <c r="E9" s="8"/>
      <c r="F9" s="6" t="s">
        <v>12</v>
      </c>
      <c r="G9" s="34">
        <f>Engr!B$38</f>
        <v>37712</v>
      </c>
      <c r="H9" s="34">
        <f>Engr!D$38</f>
        <v>37926</v>
      </c>
      <c r="I9" s="14" t="s">
        <v>48</v>
      </c>
      <c r="J9" s="14"/>
      <c r="K9" s="14"/>
      <c r="L9" s="14"/>
      <c r="M9" s="14"/>
      <c r="N9" s="40">
        <f>(H9-G9)/7</f>
        <v>30.571428571428573</v>
      </c>
      <c r="O9" s="40">
        <f t="shared" si="0"/>
        <v>26.142857142857142</v>
      </c>
      <c r="P9" s="40">
        <f t="shared" si="0"/>
        <v>4.428571428571428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/>
    </row>
    <row r="10" spans="4:21" ht="12.75">
      <c r="D10" s="31">
        <f>X7*Engr!$O$24</f>
        <v>0</v>
      </c>
      <c r="E10" s="8"/>
      <c r="F10" s="6" t="s">
        <v>164</v>
      </c>
      <c r="G10" s="34">
        <f>Engr!B$38</f>
        <v>37712</v>
      </c>
      <c r="H10" s="34">
        <f>Engr!D$38</f>
        <v>37926</v>
      </c>
      <c r="I10" s="14" t="s">
        <v>97</v>
      </c>
      <c r="J10" s="14"/>
      <c r="K10" s="14"/>
      <c r="L10" s="14"/>
      <c r="M10" s="14"/>
      <c r="N10" s="40">
        <f>(H10-G10)/7</f>
        <v>30.571428571428573</v>
      </c>
      <c r="O10" s="40">
        <f t="shared" si="0"/>
        <v>26.142857142857142</v>
      </c>
      <c r="P10" s="40">
        <f t="shared" si="0"/>
        <v>4.428571428571428</v>
      </c>
      <c r="Q10" s="40">
        <f t="shared" si="0"/>
        <v>0</v>
      </c>
      <c r="R10" s="40">
        <f t="shared" si="0"/>
        <v>0</v>
      </c>
      <c r="S10" s="40">
        <f t="shared" si="0"/>
        <v>0</v>
      </c>
      <c r="T10" s="40">
        <f t="shared" si="0"/>
        <v>0</v>
      </c>
      <c r="U10" s="40"/>
    </row>
    <row r="11" spans="4:21" ht="12.75">
      <c r="D11" s="31">
        <f>X7*Engr!$Q$24</f>
        <v>0</v>
      </c>
      <c r="E11" s="8"/>
      <c r="F11" s="6" t="s">
        <v>165</v>
      </c>
      <c r="G11" s="34">
        <f>Engr!B$38</f>
        <v>37712</v>
      </c>
      <c r="H11" s="34">
        <f>Engr!D$38</f>
        <v>37926</v>
      </c>
      <c r="I11" s="14" t="s">
        <v>96</v>
      </c>
      <c r="J11" s="14"/>
      <c r="K11" s="14"/>
      <c r="L11" s="14"/>
      <c r="M11" s="14"/>
      <c r="N11" s="40">
        <f>(H11-G11)/7</f>
        <v>30.571428571428573</v>
      </c>
      <c r="O11" s="40">
        <f t="shared" si="0"/>
        <v>26.142857142857142</v>
      </c>
      <c r="P11" s="40">
        <f t="shared" si="0"/>
        <v>4.428571428571428</v>
      </c>
      <c r="Q11" s="40">
        <f t="shared" si="0"/>
        <v>0</v>
      </c>
      <c r="R11" s="40">
        <f t="shared" si="0"/>
        <v>0</v>
      </c>
      <c r="S11" s="40">
        <f t="shared" si="0"/>
        <v>0</v>
      </c>
      <c r="T11" s="40">
        <f t="shared" si="0"/>
        <v>0</v>
      </c>
      <c r="U11" s="40"/>
    </row>
    <row r="12" spans="5:21" ht="12.75">
      <c r="E12" s="8"/>
      <c r="F12" s="6"/>
      <c r="G12" s="34"/>
      <c r="H12" s="34"/>
      <c r="I12" s="14"/>
      <c r="J12" s="14"/>
      <c r="K12" s="14"/>
      <c r="L12" s="14"/>
      <c r="M12" s="14"/>
      <c r="N12" s="40" t="s">
        <v>32</v>
      </c>
      <c r="O12" s="40"/>
      <c r="P12" s="40"/>
      <c r="Q12" s="40"/>
      <c r="R12" s="40"/>
      <c r="S12" s="40"/>
      <c r="T12" s="40"/>
      <c r="U12" s="40"/>
    </row>
    <row r="13" spans="1:20" ht="12.75">
      <c r="A13" s="226" t="s">
        <v>8</v>
      </c>
      <c r="B13" s="226"/>
      <c r="C13" s="226"/>
      <c r="D13" s="226"/>
      <c r="E13" s="8"/>
      <c r="G13" s="34"/>
      <c r="H13" s="34"/>
      <c r="I13" s="14"/>
      <c r="J13" s="14"/>
      <c r="K13" s="14"/>
      <c r="L13" s="14"/>
      <c r="M13" s="14"/>
      <c r="N13" s="40"/>
      <c r="O13" s="40"/>
      <c r="P13" s="40"/>
      <c r="Q13" s="40"/>
      <c r="R13" s="40"/>
      <c r="S13" s="40"/>
      <c r="T13" s="40"/>
    </row>
    <row r="14" spans="3:25" ht="12.75">
      <c r="C14" t="str">
        <f>CONCATENATE("( ",ROUND(W14,0),"% of design schedule)")</f>
        <v>( 56% of design schedule)</v>
      </c>
      <c r="D14" s="31">
        <f>X14*Engr!$I$24</f>
        <v>0</v>
      </c>
      <c r="E14" s="8"/>
      <c r="F14" s="6" t="s">
        <v>9</v>
      </c>
      <c r="G14" s="34">
        <f>Engr!B$39</f>
        <v>37926</v>
      </c>
      <c r="H14" s="34">
        <f>Engr!D$39</f>
        <v>38200</v>
      </c>
      <c r="I14" s="14" t="s">
        <v>46</v>
      </c>
      <c r="J14" s="14"/>
      <c r="K14" s="14"/>
      <c r="L14" s="14"/>
      <c r="M14" s="14"/>
      <c r="N14" s="40">
        <f>(H14-G14)/7</f>
        <v>39.142857142857146</v>
      </c>
      <c r="O14" s="40">
        <f aca="true" t="shared" si="1" ref="O14:T18">(1/7)*IF((OR((O$4&gt;=$H14),(P$4&lt;=$G14))),0,IF(AND((O$4&lt;=$G14),(P$4&gt;=$H14)),($H14-$G14),IF(AND((O$4&gt;=$G14),(P$4&gt;=$H14)),($H14-O$4),IF(AND((O$4&gt;=$G14),($H14&gt;=P$4)),365,IF(AND((O$4&lt;=$G14),($H14&gt;=P$4)),(P$4-$G14))))))</f>
        <v>0</v>
      </c>
      <c r="P14" s="40">
        <f t="shared" si="1"/>
        <v>39.14285714285714</v>
      </c>
      <c r="Q14" s="40">
        <f t="shared" si="1"/>
        <v>0</v>
      </c>
      <c r="R14" s="40">
        <f t="shared" si="1"/>
        <v>0</v>
      </c>
      <c r="S14" s="40">
        <f t="shared" si="1"/>
        <v>0</v>
      </c>
      <c r="T14" s="40">
        <f t="shared" si="1"/>
        <v>0</v>
      </c>
      <c r="U14" s="40"/>
      <c r="W14">
        <f>100*X14</f>
        <v>56.14754098360656</v>
      </c>
      <c r="X14" s="65">
        <f>1-X7</f>
        <v>0.5614754098360656</v>
      </c>
      <c r="Y14" t="s">
        <v>169</v>
      </c>
    </row>
    <row r="15" spans="4:21" ht="12.75">
      <c r="D15" s="31">
        <f>X14*Engr!$K$24</f>
        <v>0</v>
      </c>
      <c r="E15" s="8"/>
      <c r="F15" s="6" t="s">
        <v>11</v>
      </c>
      <c r="G15" s="34">
        <f>Engr!B$39</f>
        <v>37926</v>
      </c>
      <c r="H15" s="34">
        <f>Engr!D$39</f>
        <v>38200</v>
      </c>
      <c r="I15" s="14" t="s">
        <v>45</v>
      </c>
      <c r="J15" s="14"/>
      <c r="K15" s="14"/>
      <c r="L15" s="14"/>
      <c r="M15" s="14"/>
      <c r="N15" s="40">
        <f>(H15-G15)/7</f>
        <v>39.142857142857146</v>
      </c>
      <c r="O15" s="40">
        <f t="shared" si="1"/>
        <v>0</v>
      </c>
      <c r="P15" s="40">
        <f t="shared" si="1"/>
        <v>39.14285714285714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/>
    </row>
    <row r="16" spans="4:21" ht="12.75">
      <c r="D16" s="31">
        <f>X14*Engr!$M$24</f>
        <v>0</v>
      </c>
      <c r="E16" s="8"/>
      <c r="F16" s="6" t="s">
        <v>12</v>
      </c>
      <c r="G16" s="34">
        <f>Engr!B$39</f>
        <v>37926</v>
      </c>
      <c r="H16" s="34">
        <f>Engr!D$39</f>
        <v>38200</v>
      </c>
      <c r="I16" s="14" t="s">
        <v>48</v>
      </c>
      <c r="J16" s="14"/>
      <c r="K16" s="14"/>
      <c r="L16" s="14"/>
      <c r="M16" s="14"/>
      <c r="N16" s="40">
        <f>(H16-G16)/7</f>
        <v>39.142857142857146</v>
      </c>
      <c r="O16" s="40">
        <f t="shared" si="1"/>
        <v>0</v>
      </c>
      <c r="P16" s="40">
        <f t="shared" si="1"/>
        <v>39.14285714285714</v>
      </c>
      <c r="Q16" s="40">
        <f t="shared" si="1"/>
        <v>0</v>
      </c>
      <c r="R16" s="40">
        <f t="shared" si="1"/>
        <v>0</v>
      </c>
      <c r="S16" s="40">
        <f t="shared" si="1"/>
        <v>0</v>
      </c>
      <c r="T16" s="40">
        <f t="shared" si="1"/>
        <v>0</v>
      </c>
      <c r="U16" s="40"/>
    </row>
    <row r="17" spans="4:21" ht="12.75">
      <c r="D17" s="31">
        <f>X14*Engr!$O$24</f>
        <v>0</v>
      </c>
      <c r="E17" s="8"/>
      <c r="F17" s="6" t="s">
        <v>164</v>
      </c>
      <c r="G17" s="34">
        <f>Engr!B$39</f>
        <v>37926</v>
      </c>
      <c r="H17" s="34">
        <f>Engr!D$39</f>
        <v>38200</v>
      </c>
      <c r="I17" s="14" t="s">
        <v>49</v>
      </c>
      <c r="J17" s="14"/>
      <c r="K17" s="14"/>
      <c r="L17" s="14"/>
      <c r="M17" s="14"/>
      <c r="N17" s="40">
        <f>(H17-G17)/7</f>
        <v>39.142857142857146</v>
      </c>
      <c r="O17" s="40">
        <f t="shared" si="1"/>
        <v>0</v>
      </c>
      <c r="P17" s="40">
        <f t="shared" si="1"/>
        <v>39.14285714285714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>
        <f t="shared" si="1"/>
        <v>0</v>
      </c>
      <c r="U17" s="40"/>
    </row>
    <row r="18" spans="4:21" ht="12.75">
      <c r="D18" s="31">
        <f>X14*Engr!$Q$24</f>
        <v>0</v>
      </c>
      <c r="E18" s="8"/>
      <c r="F18" s="6" t="s">
        <v>165</v>
      </c>
      <c r="G18" s="34">
        <f>Engr!B$39</f>
        <v>37926</v>
      </c>
      <c r="H18" s="34">
        <f>Engr!D$39</f>
        <v>38200</v>
      </c>
      <c r="I18" s="14" t="s">
        <v>96</v>
      </c>
      <c r="J18" s="14"/>
      <c r="K18" s="14"/>
      <c r="L18" s="14"/>
      <c r="M18" s="14"/>
      <c r="N18" s="40">
        <f>(H18-G18)/7</f>
        <v>39.142857142857146</v>
      </c>
      <c r="O18" s="40">
        <f t="shared" si="1"/>
        <v>0</v>
      </c>
      <c r="P18" s="40">
        <f t="shared" si="1"/>
        <v>39.14285714285714</v>
      </c>
      <c r="Q18" s="40">
        <f t="shared" si="1"/>
        <v>0</v>
      </c>
      <c r="R18" s="40">
        <f t="shared" si="1"/>
        <v>0</v>
      </c>
      <c r="S18" s="40">
        <f t="shared" si="1"/>
        <v>0</v>
      </c>
      <c r="T18" s="40">
        <f t="shared" si="1"/>
        <v>0</v>
      </c>
      <c r="U18" s="40"/>
    </row>
    <row r="19" spans="5:21" ht="12.75">
      <c r="E19" s="8"/>
      <c r="G19" s="34"/>
      <c r="H19" s="34"/>
      <c r="I19" s="14"/>
      <c r="J19" s="14"/>
      <c r="K19" s="14"/>
      <c r="L19" s="14"/>
      <c r="M19" s="14"/>
      <c r="N19" s="40"/>
      <c r="O19" s="40"/>
      <c r="P19" s="40"/>
      <c r="Q19" s="40"/>
      <c r="R19" s="40"/>
      <c r="S19" s="40"/>
      <c r="T19" s="40"/>
      <c r="U19" s="40"/>
    </row>
    <row r="20" spans="1:21" ht="12.75">
      <c r="A20" s="226" t="s">
        <v>114</v>
      </c>
      <c r="B20" s="226"/>
      <c r="C20" s="226"/>
      <c r="D20" s="226"/>
      <c r="E20" s="8"/>
      <c r="G20" s="34"/>
      <c r="H20" s="34"/>
      <c r="I20" s="14"/>
      <c r="J20" s="14"/>
      <c r="K20" s="14"/>
      <c r="L20" s="14"/>
      <c r="M20" s="14"/>
      <c r="N20" s="40"/>
      <c r="O20" s="40"/>
      <c r="P20" s="40"/>
      <c r="Q20" s="40"/>
      <c r="R20" s="40"/>
      <c r="S20" s="40"/>
      <c r="T20" s="40"/>
      <c r="U20" s="40"/>
    </row>
    <row r="21" spans="4:21" ht="12.75">
      <c r="D21" s="31">
        <f>'R&amp;D'!I53+'R&amp;D'!I65</f>
        <v>0</v>
      </c>
      <c r="E21" s="8"/>
      <c r="F21" s="6" t="s">
        <v>9</v>
      </c>
      <c r="G21" s="34">
        <f>Engr!B$38</f>
        <v>37712</v>
      </c>
      <c r="H21" s="34">
        <f>Engr!D$38</f>
        <v>37926</v>
      </c>
      <c r="I21" s="14" t="s">
        <v>46</v>
      </c>
      <c r="J21" s="14"/>
      <c r="K21" s="14"/>
      <c r="L21" s="14"/>
      <c r="M21" s="14"/>
      <c r="N21" s="40">
        <f>(H21-G21)/7</f>
        <v>30.571428571428573</v>
      </c>
      <c r="O21" s="40">
        <f aca="true" t="shared" si="2" ref="O21:T25">(1/7)*IF((OR((O$4&gt;=$H21),(P$4&lt;=$G21))),0,IF(AND((O$4&lt;=$G21),(P$4&gt;=$H21)),($H21-$G21),IF(AND((O$4&gt;=$G21),(P$4&gt;=$H21)),($H21-O$4),IF(AND((O$4&gt;=$G21),($H21&gt;=P$4)),365,IF(AND((O$4&lt;=$G21),($H21&gt;=P$4)),(P$4-$G21))))))</f>
        <v>26.142857142857142</v>
      </c>
      <c r="P21" s="40">
        <f t="shared" si="2"/>
        <v>4.428571428571428</v>
      </c>
      <c r="Q21" s="40">
        <f t="shared" si="2"/>
        <v>0</v>
      </c>
      <c r="R21" s="40">
        <f t="shared" si="2"/>
        <v>0</v>
      </c>
      <c r="S21" s="40">
        <f t="shared" si="2"/>
        <v>0</v>
      </c>
      <c r="T21" s="40">
        <f t="shared" si="2"/>
        <v>0</v>
      </c>
      <c r="U21" s="40"/>
    </row>
    <row r="22" spans="4:21" ht="12.75">
      <c r="D22" s="31">
        <f>'R&amp;D'!K53+'R&amp;D'!K65</f>
        <v>0</v>
      </c>
      <c r="E22" s="8"/>
      <c r="F22" s="6" t="s">
        <v>11</v>
      </c>
      <c r="G22" s="34">
        <f>Engr!B$38</f>
        <v>37712</v>
      </c>
      <c r="H22" s="34">
        <f>Engr!D$38</f>
        <v>37926</v>
      </c>
      <c r="I22" s="14" t="s">
        <v>45</v>
      </c>
      <c r="J22" s="14"/>
      <c r="K22" s="14"/>
      <c r="L22" s="14"/>
      <c r="M22" s="14"/>
      <c r="N22" s="40">
        <f>(H22-G22)/7</f>
        <v>30.571428571428573</v>
      </c>
      <c r="O22" s="40">
        <f t="shared" si="2"/>
        <v>26.142857142857142</v>
      </c>
      <c r="P22" s="40">
        <f t="shared" si="2"/>
        <v>4.428571428571428</v>
      </c>
      <c r="Q22" s="40">
        <f t="shared" si="2"/>
        <v>0</v>
      </c>
      <c r="R22" s="40">
        <f t="shared" si="2"/>
        <v>0</v>
      </c>
      <c r="S22" s="40">
        <f t="shared" si="2"/>
        <v>0</v>
      </c>
      <c r="T22" s="40">
        <f t="shared" si="2"/>
        <v>0</v>
      </c>
      <c r="U22" s="40"/>
    </row>
    <row r="23" spans="4:21" ht="12.75">
      <c r="D23" s="31">
        <f>'R&amp;D'!M53+'R&amp;D'!M65</f>
        <v>0</v>
      </c>
      <c r="E23" s="8"/>
      <c r="F23" s="6" t="s">
        <v>12</v>
      </c>
      <c r="G23" s="34">
        <f>Engr!B$38</f>
        <v>37712</v>
      </c>
      <c r="H23" s="34">
        <f>Engr!D$38</f>
        <v>37926</v>
      </c>
      <c r="I23" s="14" t="s">
        <v>48</v>
      </c>
      <c r="J23" s="14"/>
      <c r="K23" s="14"/>
      <c r="L23" s="14"/>
      <c r="M23" s="14"/>
      <c r="N23" s="40">
        <f>(H23-G23)/7</f>
        <v>30.571428571428573</v>
      </c>
      <c r="O23" s="40">
        <f t="shared" si="2"/>
        <v>26.142857142857142</v>
      </c>
      <c r="P23" s="40">
        <f t="shared" si="2"/>
        <v>4.428571428571428</v>
      </c>
      <c r="Q23" s="40">
        <f t="shared" si="2"/>
        <v>0</v>
      </c>
      <c r="R23" s="40">
        <f t="shared" si="2"/>
        <v>0</v>
      </c>
      <c r="S23" s="40">
        <f t="shared" si="2"/>
        <v>0</v>
      </c>
      <c r="T23" s="40">
        <f t="shared" si="2"/>
        <v>0</v>
      </c>
      <c r="U23" s="40"/>
    </row>
    <row r="24" spans="4:21" ht="12.75">
      <c r="D24" s="31">
        <f>'R&amp;D'!O53+'R&amp;D'!O65</f>
        <v>0</v>
      </c>
      <c r="E24" s="8"/>
      <c r="F24" s="6" t="s">
        <v>10</v>
      </c>
      <c r="G24" s="34">
        <f>Engr!B$38</f>
        <v>37712</v>
      </c>
      <c r="H24" s="34">
        <f>Engr!D$38</f>
        <v>37926</v>
      </c>
      <c r="I24" s="14" t="s">
        <v>47</v>
      </c>
      <c r="J24" s="14"/>
      <c r="K24" s="14"/>
      <c r="L24" s="14"/>
      <c r="M24" s="14"/>
      <c r="N24" s="40">
        <f>(H24-G24)/7</f>
        <v>30.571428571428573</v>
      </c>
      <c r="O24" s="40">
        <f t="shared" si="2"/>
        <v>26.142857142857142</v>
      </c>
      <c r="P24" s="40">
        <f t="shared" si="2"/>
        <v>4.428571428571428</v>
      </c>
      <c r="Q24" s="40">
        <f t="shared" si="2"/>
        <v>0</v>
      </c>
      <c r="R24" s="40">
        <f t="shared" si="2"/>
        <v>0</v>
      </c>
      <c r="S24" s="40">
        <f t="shared" si="2"/>
        <v>0</v>
      </c>
      <c r="T24" s="40">
        <f t="shared" si="2"/>
        <v>0</v>
      </c>
      <c r="U24" s="40"/>
    </row>
    <row r="25" spans="4:21" ht="12.75">
      <c r="D25" s="31">
        <f>'R&amp;D'!Q65</f>
        <v>0</v>
      </c>
      <c r="E25" s="8"/>
      <c r="F25" s="6" t="s">
        <v>111</v>
      </c>
      <c r="G25" s="34">
        <f>Engr!B$38</f>
        <v>37712</v>
      </c>
      <c r="H25" s="34">
        <f>Engr!D$38</f>
        <v>37926</v>
      </c>
      <c r="I25" s="14" t="s">
        <v>112</v>
      </c>
      <c r="J25" s="14"/>
      <c r="K25" s="14"/>
      <c r="L25" s="14"/>
      <c r="M25" s="89"/>
      <c r="N25" s="40">
        <f>(H25-G25)/7</f>
        <v>30.571428571428573</v>
      </c>
      <c r="O25" s="40">
        <f t="shared" si="2"/>
        <v>26.142857142857142</v>
      </c>
      <c r="P25" s="40">
        <f t="shared" si="2"/>
        <v>4.428571428571428</v>
      </c>
      <c r="Q25" s="40">
        <f t="shared" si="2"/>
        <v>0</v>
      </c>
      <c r="R25" s="40">
        <f t="shared" si="2"/>
        <v>0</v>
      </c>
      <c r="S25" s="40">
        <f t="shared" si="2"/>
        <v>0</v>
      </c>
      <c r="T25" s="40">
        <f t="shared" si="2"/>
        <v>0</v>
      </c>
      <c r="U25" s="40"/>
    </row>
    <row r="26" spans="5:21" ht="12.75">
      <c r="E26" s="8"/>
      <c r="F26" s="6"/>
      <c r="G26" s="34"/>
      <c r="H26" s="34"/>
      <c r="I26" s="14"/>
      <c r="J26" s="14"/>
      <c r="K26" s="14"/>
      <c r="L26" s="14"/>
      <c r="M26" s="14"/>
      <c r="N26" s="40"/>
      <c r="O26" s="40"/>
      <c r="P26" s="40"/>
      <c r="Q26" s="40"/>
      <c r="R26" s="40"/>
      <c r="S26" s="40"/>
      <c r="T26" s="40"/>
      <c r="U26" s="40"/>
    </row>
    <row r="27" spans="1:20" ht="12.75">
      <c r="A27" s="226" t="s">
        <v>29</v>
      </c>
      <c r="B27" s="226"/>
      <c r="C27" s="226"/>
      <c r="D27" s="226"/>
      <c r="E27" s="8"/>
      <c r="G27" s="34"/>
      <c r="H27" s="34"/>
      <c r="I27" s="14"/>
      <c r="J27" s="14"/>
      <c r="K27" s="14"/>
      <c r="L27" s="14"/>
      <c r="M27" s="14"/>
      <c r="N27" s="40"/>
      <c r="O27" s="40"/>
      <c r="P27" s="40"/>
      <c r="Q27" s="40"/>
      <c r="R27" s="40"/>
      <c r="S27" s="40"/>
      <c r="T27" s="40"/>
    </row>
    <row r="28" spans="4:20" ht="12.75">
      <c r="D28" s="31">
        <f>Engr!I34+Fab_assy!J18+Fab_assy!J34</f>
        <v>21</v>
      </c>
      <c r="E28" s="8"/>
      <c r="F28" s="6" t="s">
        <v>9</v>
      </c>
      <c r="G28" s="34">
        <f>Engr!B$40</f>
        <v>38169</v>
      </c>
      <c r="H28" s="34">
        <f>Engr!D$42</f>
        <v>38991</v>
      </c>
      <c r="I28" s="14" t="s">
        <v>46</v>
      </c>
      <c r="J28" s="14"/>
      <c r="K28" s="14"/>
      <c r="L28" s="14"/>
      <c r="M28" s="14"/>
      <c r="N28" s="40">
        <f>(H28-G28)/7</f>
        <v>117.42857142857143</v>
      </c>
      <c r="O28" s="40">
        <f aca="true" t="shared" si="3" ref="O28:T28">(1/7)*IF((OR((O$4&gt;=$H28),(P$4&lt;=$G28))),0,IF(AND((O$4&lt;=$G28),(P$4&gt;=$H28)),($H28-$G28),IF(AND((O$4&gt;=$G28),(P$4&gt;=$H28)),($H28-O$4),IF(AND((O$4&gt;=$G28),($H28&gt;=P$4)),365,IF(AND((O$4&lt;=$G28),($H28&gt;=P$4)),(P$4-$G28))))))</f>
        <v>0</v>
      </c>
      <c r="P28" s="40">
        <f t="shared" si="3"/>
        <v>13.142857142857142</v>
      </c>
      <c r="Q28" s="40">
        <f t="shared" si="3"/>
        <v>52.14285714285714</v>
      </c>
      <c r="R28" s="40">
        <f t="shared" si="3"/>
        <v>52.14285714285714</v>
      </c>
      <c r="S28" s="40">
        <f t="shared" si="3"/>
        <v>0</v>
      </c>
      <c r="T28" s="40">
        <f t="shared" si="3"/>
        <v>0</v>
      </c>
    </row>
    <row r="29" spans="4:20" ht="12.75">
      <c r="D29" s="31">
        <f>Engr!M34+Fab_assy!P18+Fab_assy!P34</f>
        <v>0</v>
      </c>
      <c r="E29" s="8"/>
      <c r="F29" s="6" t="s">
        <v>11</v>
      </c>
      <c r="G29" s="34">
        <f>Engr!B$40</f>
        <v>38169</v>
      </c>
      <c r="H29" s="34">
        <f>Engr!D$42</f>
        <v>38991</v>
      </c>
      <c r="I29" s="14" t="s">
        <v>45</v>
      </c>
      <c r="J29" s="14"/>
      <c r="K29" s="14"/>
      <c r="L29" s="14"/>
      <c r="M29" s="14"/>
      <c r="N29" s="40">
        <f>(H29-G29)/7</f>
        <v>117.42857142857143</v>
      </c>
      <c r="O29" s="40">
        <f aca="true" t="shared" si="4" ref="O29:T32">(1/7)*IF((OR((O$4&gt;=$H29),(P$4&lt;=$G29))),0,IF(AND((O$4&lt;=$G29),(P$4&gt;=$H29)),($H29-$G29),IF(AND((O$4&gt;=$G29),(P$4&gt;=$H29)),($H29-O$4),IF(AND((O$4&gt;=$G29),($H29&gt;=P$4)),365,IF(AND((O$4&lt;=$G29),($H29&gt;=P$4)),(P$4-$G29))))))</f>
        <v>0</v>
      </c>
      <c r="P29" s="40">
        <f t="shared" si="4"/>
        <v>13.142857142857142</v>
      </c>
      <c r="Q29" s="40">
        <f t="shared" si="4"/>
        <v>52.14285714285714</v>
      </c>
      <c r="R29" s="40">
        <f t="shared" si="4"/>
        <v>52.14285714285714</v>
      </c>
      <c r="S29" s="40">
        <f t="shared" si="4"/>
        <v>0</v>
      </c>
      <c r="T29" s="40">
        <f t="shared" si="4"/>
        <v>0</v>
      </c>
    </row>
    <row r="30" spans="4:20" ht="12.75">
      <c r="D30" s="31">
        <f>Engr!O34</f>
        <v>0</v>
      </c>
      <c r="E30" s="8"/>
      <c r="F30" s="6" t="s">
        <v>12</v>
      </c>
      <c r="G30" s="34">
        <f>Engr!B$40</f>
        <v>38169</v>
      </c>
      <c r="H30" s="34">
        <f>Engr!D$42</f>
        <v>38991</v>
      </c>
      <c r="I30" s="14" t="s">
        <v>48</v>
      </c>
      <c r="J30" s="14"/>
      <c r="K30" s="14"/>
      <c r="L30" s="14"/>
      <c r="M30" s="14"/>
      <c r="N30" s="40">
        <f>(H30-G30)/7</f>
        <v>117.42857142857143</v>
      </c>
      <c r="O30" s="40">
        <f t="shared" si="4"/>
        <v>0</v>
      </c>
      <c r="P30" s="40">
        <f t="shared" si="4"/>
        <v>13.142857142857142</v>
      </c>
      <c r="Q30" s="40">
        <f t="shared" si="4"/>
        <v>52.14285714285714</v>
      </c>
      <c r="R30" s="40">
        <f t="shared" si="4"/>
        <v>52.14285714285714</v>
      </c>
      <c r="S30" s="40">
        <f t="shared" si="4"/>
        <v>0</v>
      </c>
      <c r="T30" s="40">
        <f t="shared" si="4"/>
        <v>0</v>
      </c>
    </row>
    <row r="31" spans="4:20" ht="12.75">
      <c r="D31" s="31">
        <f>Engr!K34+Fab_assy!L18+Fab_assy!L34</f>
        <v>4194</v>
      </c>
      <c r="E31" s="8"/>
      <c r="F31" s="6" t="s">
        <v>10</v>
      </c>
      <c r="G31" s="34">
        <f>Engr!B$40</f>
        <v>38169</v>
      </c>
      <c r="H31" s="34">
        <f>Engr!D$42</f>
        <v>38991</v>
      </c>
      <c r="I31" s="14" t="s">
        <v>47</v>
      </c>
      <c r="J31" s="14"/>
      <c r="K31" s="14"/>
      <c r="L31" s="14"/>
      <c r="M31" s="14"/>
      <c r="N31" s="40">
        <f>(H31-G31)/7</f>
        <v>117.42857142857143</v>
      </c>
      <c r="O31" s="40">
        <f t="shared" si="4"/>
        <v>0</v>
      </c>
      <c r="P31" s="40">
        <f t="shared" si="4"/>
        <v>13.142857142857142</v>
      </c>
      <c r="Q31" s="40">
        <f t="shared" si="4"/>
        <v>52.14285714285714</v>
      </c>
      <c r="R31" s="40">
        <f t="shared" si="4"/>
        <v>52.14285714285714</v>
      </c>
      <c r="S31" s="40">
        <f t="shared" si="4"/>
        <v>0</v>
      </c>
      <c r="T31" s="40">
        <f t="shared" si="4"/>
        <v>0</v>
      </c>
    </row>
    <row r="32" spans="4:20" ht="12.75">
      <c r="D32" s="31">
        <f>Fab_assy!N18+Fab_assy!N34</f>
        <v>10899</v>
      </c>
      <c r="E32" s="8"/>
      <c r="F32" s="6" t="s">
        <v>111</v>
      </c>
      <c r="G32" s="34">
        <f>Engr!B$40</f>
        <v>38169</v>
      </c>
      <c r="H32" s="34">
        <f>Engr!D$42</f>
        <v>38991</v>
      </c>
      <c r="I32" s="14" t="s">
        <v>112</v>
      </c>
      <c r="J32" s="14"/>
      <c r="K32" s="14"/>
      <c r="L32" s="14"/>
      <c r="M32" s="14"/>
      <c r="N32" s="40">
        <f>(H32-G32)/7</f>
        <v>117.42857142857143</v>
      </c>
      <c r="O32" s="40">
        <f t="shared" si="4"/>
        <v>0</v>
      </c>
      <c r="P32" s="40">
        <f t="shared" si="4"/>
        <v>13.142857142857142</v>
      </c>
      <c r="Q32" s="40">
        <f t="shared" si="4"/>
        <v>52.14285714285714</v>
      </c>
      <c r="R32" s="40">
        <f t="shared" si="4"/>
        <v>52.14285714285714</v>
      </c>
      <c r="S32" s="40">
        <f t="shared" si="4"/>
        <v>0</v>
      </c>
      <c r="T32" s="40">
        <f t="shared" si="4"/>
        <v>0</v>
      </c>
    </row>
    <row r="33" spans="4:19" ht="12.75">
      <c r="D33" s="31"/>
      <c r="E33" s="52"/>
      <c r="F33" s="6"/>
      <c r="G33" s="34"/>
      <c r="H33" s="34"/>
      <c r="I33" s="14"/>
      <c r="J33" s="14"/>
      <c r="K33" s="14"/>
      <c r="L33" s="14"/>
      <c r="M33" s="14"/>
      <c r="N33" s="31"/>
      <c r="O33" s="40"/>
      <c r="P33" s="40"/>
      <c r="Q33" s="40"/>
      <c r="R33" s="40"/>
      <c r="S33" s="40"/>
    </row>
    <row r="34" spans="4:19" ht="12.75">
      <c r="D34" s="31"/>
      <c r="E34" s="52"/>
      <c r="F34" s="6"/>
      <c r="G34" s="34"/>
      <c r="H34" s="34"/>
      <c r="I34" s="41"/>
      <c r="J34" s="41"/>
      <c r="K34" s="41"/>
      <c r="L34" s="41"/>
      <c r="M34" s="41"/>
      <c r="N34" s="31"/>
      <c r="O34" s="40"/>
      <c r="P34" s="40"/>
      <c r="Q34" s="40"/>
      <c r="R34" s="40"/>
      <c r="S34" s="40"/>
    </row>
    <row r="35" spans="1:19" ht="18.75" thickBot="1">
      <c r="A35" s="228" t="s">
        <v>30</v>
      </c>
      <c r="B35" s="228"/>
      <c r="C35" s="228"/>
      <c r="D35" s="228"/>
      <c r="E35" s="81"/>
      <c r="F35" s="82"/>
      <c r="G35" s="83"/>
      <c r="H35" s="83"/>
      <c r="I35" s="84"/>
      <c r="J35" s="84"/>
      <c r="K35" s="84"/>
      <c r="L35" s="41"/>
      <c r="M35" s="41"/>
      <c r="N35" s="31" t="s">
        <v>190</v>
      </c>
      <c r="O35" s="40"/>
      <c r="P35" s="40">
        <f>D21*O41+D22*O43+D23*O45+D24*O47+D25*O49</f>
        <v>0</v>
      </c>
      <c r="Q35" s="40"/>
      <c r="R35" s="40"/>
      <c r="S35" s="40"/>
    </row>
    <row r="36" spans="1:19" ht="18">
      <c r="A36" s="80"/>
      <c r="B36" s="80"/>
      <c r="C36" s="80"/>
      <c r="D36" s="80"/>
      <c r="E36" s="85"/>
      <c r="F36" s="86"/>
      <c r="G36" s="87"/>
      <c r="H36" s="87"/>
      <c r="I36" s="88"/>
      <c r="J36" s="88"/>
      <c r="K36" s="88"/>
      <c r="L36" s="41"/>
      <c r="M36" s="41"/>
      <c r="N36" s="31" t="s">
        <v>191</v>
      </c>
      <c r="O36" s="40"/>
      <c r="P36" s="40">
        <f>P35+E65</f>
        <v>0</v>
      </c>
      <c r="Q36" s="40"/>
      <c r="R36" s="40"/>
      <c r="S36" s="40"/>
    </row>
    <row r="37" spans="5:12" ht="12.75">
      <c r="E37" s="231" t="s">
        <v>136</v>
      </c>
      <c r="F37" s="231"/>
      <c r="G37" s="231"/>
      <c r="H37" s="231"/>
      <c r="I37" s="231"/>
      <c r="J37" s="231"/>
      <c r="K37" s="231"/>
      <c r="L37" s="6"/>
    </row>
    <row r="38" spans="1:12" ht="15">
      <c r="A38" s="57"/>
      <c r="B38" s="57"/>
      <c r="C38" s="57"/>
      <c r="D38" s="57"/>
      <c r="E38" s="70"/>
      <c r="F38" s="70"/>
      <c r="G38" s="70"/>
      <c r="H38" s="70"/>
      <c r="I38" s="70"/>
      <c r="J38" s="70"/>
      <c r="K38" s="70"/>
      <c r="L38" s="6"/>
    </row>
    <row r="39" spans="1:19" ht="12.75">
      <c r="A39" s="1" t="s">
        <v>33</v>
      </c>
      <c r="E39" s="1" t="s">
        <v>35</v>
      </c>
      <c r="F39" s="1" t="s">
        <v>36</v>
      </c>
      <c r="G39" s="1" t="s">
        <v>37</v>
      </c>
      <c r="H39" s="1" t="s">
        <v>38</v>
      </c>
      <c r="I39" s="1" t="s">
        <v>39</v>
      </c>
      <c r="J39" s="1" t="s">
        <v>110</v>
      </c>
      <c r="K39" s="25" t="s">
        <v>141</v>
      </c>
      <c r="S39" s="31"/>
    </row>
    <row r="40" spans="1:19" ht="12.75">
      <c r="A40" s="53"/>
      <c r="B40" s="8"/>
      <c r="C40" s="8"/>
      <c r="D40" s="8"/>
      <c r="E40" s="8"/>
      <c r="F40" s="8"/>
      <c r="G40" s="54"/>
      <c r="H40" s="54"/>
      <c r="I40" s="8"/>
      <c r="J40" s="8"/>
      <c r="K40" s="8"/>
      <c r="L40" s="66"/>
      <c r="S40" s="31"/>
    </row>
    <row r="41" spans="2:19" ht="12.75">
      <c r="B41" t="s">
        <v>46</v>
      </c>
      <c r="D41" s="6" t="s">
        <v>9</v>
      </c>
      <c r="E41" s="40">
        <f aca="true" t="shared" si="5" ref="E41:J41">O7*$D7/$N7+O14*$D14/$N14+O21*$D21/$N21+O28*$D28/$N28</f>
        <v>0</v>
      </c>
      <c r="F41" s="40">
        <f t="shared" si="5"/>
        <v>2.3503649635036497</v>
      </c>
      <c r="G41" s="40">
        <f t="shared" si="5"/>
        <v>9.324817518248175</v>
      </c>
      <c r="H41" s="40">
        <f t="shared" si="5"/>
        <v>9.324817518248175</v>
      </c>
      <c r="I41" s="40">
        <f t="shared" si="5"/>
        <v>0</v>
      </c>
      <c r="J41" s="40">
        <f t="shared" si="5"/>
        <v>0</v>
      </c>
      <c r="K41" s="71">
        <f>SUM(E41:J41)</f>
        <v>21</v>
      </c>
      <c r="N41" s="43">
        <f>K41*O41</f>
        <v>3213</v>
      </c>
      <c r="O41" s="44">
        <v>153</v>
      </c>
      <c r="P41" s="19" t="s">
        <v>116</v>
      </c>
      <c r="S41" s="31"/>
    </row>
    <row r="42" spans="4:19" ht="12.75">
      <c r="D42" s="6"/>
      <c r="E42" s="40"/>
      <c r="F42" s="40"/>
      <c r="G42" s="40"/>
      <c r="H42" s="40"/>
      <c r="I42" s="40"/>
      <c r="J42" s="40"/>
      <c r="K42" s="71"/>
      <c r="N42" s="43"/>
      <c r="O42" s="44"/>
      <c r="P42" s="19"/>
      <c r="S42" s="31"/>
    </row>
    <row r="43" spans="2:16" ht="12.75">
      <c r="B43" t="s">
        <v>45</v>
      </c>
      <c r="D43" s="6" t="s">
        <v>11</v>
      </c>
      <c r="E43" s="40">
        <f aca="true" t="shared" si="6" ref="E43:J43">O8*$D8/$N8+O15*$D15/$N15+O22*$D22/$N22+O29*$D29/$N29</f>
        <v>0</v>
      </c>
      <c r="F43" s="40">
        <f t="shared" si="6"/>
        <v>0</v>
      </c>
      <c r="G43" s="40">
        <f t="shared" si="6"/>
        <v>0</v>
      </c>
      <c r="H43" s="40">
        <f t="shared" si="6"/>
        <v>0</v>
      </c>
      <c r="I43" s="40">
        <f t="shared" si="6"/>
        <v>0</v>
      </c>
      <c r="J43" s="40">
        <f t="shared" si="6"/>
        <v>0</v>
      </c>
      <c r="K43" s="71">
        <f aca="true" t="shared" si="7" ref="K43:K53">SUM(E43:J43)</f>
        <v>0</v>
      </c>
      <c r="N43" s="43">
        <f>K43*O43</f>
        <v>0</v>
      </c>
      <c r="O43" s="44">
        <v>100</v>
      </c>
      <c r="P43" s="19" t="s">
        <v>116</v>
      </c>
    </row>
    <row r="44" spans="4:16" ht="12.75">
      <c r="D44" s="6"/>
      <c r="E44" s="40"/>
      <c r="F44" s="40"/>
      <c r="G44" s="40"/>
      <c r="H44" s="40"/>
      <c r="I44" s="40"/>
      <c r="J44" s="40"/>
      <c r="K44" s="71"/>
      <c r="N44" s="43"/>
      <c r="O44" s="44"/>
      <c r="P44" s="19"/>
    </row>
    <row r="45" spans="2:16" ht="12.75">
      <c r="B45" t="s">
        <v>48</v>
      </c>
      <c r="D45" s="6" t="s">
        <v>12</v>
      </c>
      <c r="E45" s="40">
        <f aca="true" t="shared" si="8" ref="E45:J45">O9*$D9/$N9+O16*$D16/$N16+O23*$D23/$N23+O30*$D30/$N30</f>
        <v>0</v>
      </c>
      <c r="F45" s="40">
        <f t="shared" si="8"/>
        <v>0</v>
      </c>
      <c r="G45" s="40">
        <f t="shared" si="8"/>
        <v>0</v>
      </c>
      <c r="H45" s="40">
        <f t="shared" si="8"/>
        <v>0</v>
      </c>
      <c r="I45" s="40">
        <f t="shared" si="8"/>
        <v>0</v>
      </c>
      <c r="J45" s="40">
        <f t="shared" si="8"/>
        <v>0</v>
      </c>
      <c r="K45" s="71">
        <f t="shared" si="7"/>
        <v>0</v>
      </c>
      <c r="N45" s="43">
        <f>K45*O45</f>
        <v>0</v>
      </c>
      <c r="O45" s="44">
        <v>130</v>
      </c>
      <c r="P45" s="19" t="s">
        <v>116</v>
      </c>
    </row>
    <row r="46" spans="4:16" ht="12.75">
      <c r="D46" s="6"/>
      <c r="E46" s="40"/>
      <c r="F46" s="40"/>
      <c r="G46" s="40"/>
      <c r="H46" s="40"/>
      <c r="I46" s="40"/>
      <c r="J46" s="40"/>
      <c r="K46" s="71"/>
      <c r="N46" s="43"/>
      <c r="O46" s="44"/>
      <c r="P46" s="19"/>
    </row>
    <row r="47" spans="2:16" ht="12.75">
      <c r="B47" t="s">
        <v>47</v>
      </c>
      <c r="D47" s="6" t="s">
        <v>10</v>
      </c>
      <c r="E47" s="40">
        <f aca="true" t="shared" si="9" ref="E47:J47">O24*$D24/$N24+O31*$D31/$N31</f>
        <v>0</v>
      </c>
      <c r="F47" s="40">
        <f t="shared" si="9"/>
        <v>469.40145985401455</v>
      </c>
      <c r="G47" s="40">
        <f t="shared" si="9"/>
        <v>1862.2992700729926</v>
      </c>
      <c r="H47" s="40">
        <f t="shared" si="9"/>
        <v>1862.2992700729926</v>
      </c>
      <c r="I47" s="40">
        <f t="shared" si="9"/>
        <v>0</v>
      </c>
      <c r="J47" s="40">
        <f t="shared" si="9"/>
        <v>0</v>
      </c>
      <c r="K47" s="71">
        <f t="shared" si="7"/>
        <v>4194</v>
      </c>
      <c r="N47" s="43">
        <f>K47*O47</f>
        <v>419400</v>
      </c>
      <c r="O47" s="44">
        <v>100</v>
      </c>
      <c r="P47" s="19" t="s">
        <v>116</v>
      </c>
    </row>
    <row r="48" spans="4:16" ht="12.75">
      <c r="D48" s="6"/>
      <c r="E48" s="40"/>
      <c r="F48" s="40"/>
      <c r="G48" s="40"/>
      <c r="H48" s="40"/>
      <c r="I48" s="40"/>
      <c r="J48" s="40"/>
      <c r="K48" s="71"/>
      <c r="N48" s="43"/>
      <c r="O48" s="44"/>
      <c r="P48" s="19"/>
    </row>
    <row r="49" spans="2:16" ht="12.75">
      <c r="B49" t="s">
        <v>112</v>
      </c>
      <c r="D49" s="6" t="s">
        <v>111</v>
      </c>
      <c r="E49" s="40">
        <f aca="true" t="shared" si="10" ref="E49:J49">O25*$D25/$N25+O32*$D32/$N32</f>
        <v>0</v>
      </c>
      <c r="F49" s="40">
        <f t="shared" si="10"/>
        <v>1219.8394160583941</v>
      </c>
      <c r="G49" s="40">
        <f t="shared" si="10"/>
        <v>4839.580291970803</v>
      </c>
      <c r="H49" s="40">
        <f t="shared" si="10"/>
        <v>4839.580291970803</v>
      </c>
      <c r="I49" s="40">
        <f t="shared" si="10"/>
        <v>0</v>
      </c>
      <c r="J49" s="40">
        <f t="shared" si="10"/>
        <v>0</v>
      </c>
      <c r="K49" s="71">
        <f t="shared" si="7"/>
        <v>10899</v>
      </c>
      <c r="N49" s="43">
        <f>K49*O49</f>
        <v>795627</v>
      </c>
      <c r="O49" s="44">
        <v>73</v>
      </c>
      <c r="P49" s="19" t="s">
        <v>116</v>
      </c>
    </row>
    <row r="50" spans="4:16" ht="12.75">
      <c r="D50" s="6"/>
      <c r="E50" s="40"/>
      <c r="F50" s="40"/>
      <c r="G50" s="40"/>
      <c r="H50" s="40"/>
      <c r="I50" s="40"/>
      <c r="J50" s="40"/>
      <c r="K50" s="71"/>
      <c r="N50" s="43"/>
      <c r="O50" s="44"/>
      <c r="P50" s="19"/>
    </row>
    <row r="51" spans="2:16" ht="12.75">
      <c r="B51" t="s">
        <v>97</v>
      </c>
      <c r="D51" s="6" t="s">
        <v>166</v>
      </c>
      <c r="E51" s="40">
        <f aca="true" t="shared" si="11" ref="E51:J51">O10*$D10/$N10+O17*$D17/$N17</f>
        <v>0</v>
      </c>
      <c r="F51" s="40">
        <f t="shared" si="11"/>
        <v>0</v>
      </c>
      <c r="G51" s="40">
        <f t="shared" si="11"/>
        <v>0</v>
      </c>
      <c r="H51" s="40">
        <f t="shared" si="11"/>
        <v>0</v>
      </c>
      <c r="I51" s="40">
        <f t="shared" si="11"/>
        <v>0</v>
      </c>
      <c r="J51" s="40">
        <f t="shared" si="11"/>
        <v>0</v>
      </c>
      <c r="K51" s="71">
        <f t="shared" si="7"/>
        <v>0</v>
      </c>
      <c r="N51" s="43">
        <f>K51*O51</f>
        <v>0</v>
      </c>
      <c r="O51" s="44">
        <v>160</v>
      </c>
      <c r="P51" s="19" t="s">
        <v>116</v>
      </c>
    </row>
    <row r="52" spans="4:16" ht="12.75">
      <c r="D52" s="6"/>
      <c r="E52" s="40"/>
      <c r="F52" s="40"/>
      <c r="G52" s="40"/>
      <c r="H52" s="40"/>
      <c r="I52" s="40"/>
      <c r="J52" s="40"/>
      <c r="K52" s="71"/>
      <c r="N52" s="43"/>
      <c r="O52" s="44"/>
      <c r="P52" s="19"/>
    </row>
    <row r="53" spans="2:16" ht="12.75">
      <c r="B53" t="s">
        <v>96</v>
      </c>
      <c r="D53" s="6" t="s">
        <v>167</v>
      </c>
      <c r="E53" s="40">
        <f aca="true" t="shared" si="12" ref="E53:J53">O11*$D11/$N11+O18*$D18/$N18</f>
        <v>0</v>
      </c>
      <c r="F53" s="40">
        <f t="shared" si="12"/>
        <v>0</v>
      </c>
      <c r="G53" s="40">
        <f t="shared" si="12"/>
        <v>0</v>
      </c>
      <c r="H53" s="40">
        <f t="shared" si="12"/>
        <v>0</v>
      </c>
      <c r="I53" s="40">
        <f t="shared" si="12"/>
        <v>0</v>
      </c>
      <c r="J53" s="40">
        <f t="shared" si="12"/>
        <v>0</v>
      </c>
      <c r="K53" s="71">
        <f t="shared" si="7"/>
        <v>0</v>
      </c>
      <c r="N53" s="43">
        <f>K53*O53</f>
        <v>0</v>
      </c>
      <c r="O53" s="44">
        <v>141</v>
      </c>
      <c r="P53" s="19" t="s">
        <v>116</v>
      </c>
    </row>
    <row r="54" spans="5:12" ht="12.75">
      <c r="E54" s="52"/>
      <c r="F54" s="6"/>
      <c r="G54" s="40"/>
      <c r="H54" s="40"/>
      <c r="I54" s="40"/>
      <c r="J54" s="40"/>
      <c r="K54" s="40"/>
      <c r="L54" s="40"/>
    </row>
    <row r="55" spans="1:16" ht="12.75">
      <c r="A55" s="8"/>
      <c r="B55" s="8"/>
      <c r="C55" s="8"/>
      <c r="D55" s="8"/>
      <c r="E55" s="8"/>
      <c r="F55" s="55"/>
      <c r="G55" s="56"/>
      <c r="H55" s="56"/>
      <c r="I55" s="56"/>
      <c r="J55" s="56"/>
      <c r="K55" s="56"/>
      <c r="L55" s="67"/>
      <c r="M55" s="52"/>
      <c r="N55" s="58">
        <f>K41+K43+K47+K49+K53</f>
        <v>15114</v>
      </c>
      <c r="O55" s="43">
        <f>N41+N43+N47+N49+N53</f>
        <v>1218240</v>
      </c>
      <c r="P55" s="19" t="s">
        <v>155</v>
      </c>
    </row>
    <row r="56" spans="5:16" ht="12.75">
      <c r="E56" s="52"/>
      <c r="N56" s="58">
        <f>K45+K51</f>
        <v>0</v>
      </c>
      <c r="O56" s="43">
        <f>N45+N51</f>
        <v>0</v>
      </c>
      <c r="P56" s="19" t="s">
        <v>156</v>
      </c>
    </row>
    <row r="57" spans="1:11" ht="18.75" thickBot="1">
      <c r="A57" s="228" t="s">
        <v>14</v>
      </c>
      <c r="B57" s="228"/>
      <c r="C57" s="228"/>
      <c r="D57" s="228"/>
      <c r="E57" s="73"/>
      <c r="F57" s="73"/>
      <c r="G57" s="78"/>
      <c r="H57" s="78"/>
      <c r="I57" s="73"/>
      <c r="J57" s="73"/>
      <c r="K57" s="73"/>
    </row>
    <row r="58" spans="1:4" ht="15">
      <c r="A58" s="57"/>
      <c r="B58" s="57"/>
      <c r="C58" s="57"/>
      <c r="D58" s="57"/>
    </row>
    <row r="59" spans="1:13" ht="12.75">
      <c r="A59" s="3"/>
      <c r="B59" s="7" t="s">
        <v>0</v>
      </c>
      <c r="C59" s="7"/>
      <c r="D59" s="3"/>
      <c r="E59" s="3" t="s">
        <v>310</v>
      </c>
      <c r="G59" s="68" t="s">
        <v>142</v>
      </c>
      <c r="H59" s="68"/>
      <c r="I59" s="68"/>
      <c r="J59" s="68"/>
      <c r="K59" s="68"/>
      <c r="L59" s="68"/>
      <c r="M59" s="68"/>
    </row>
    <row r="60" spans="1:13" ht="12.75">
      <c r="A60" s="4"/>
      <c r="B60" s="4"/>
      <c r="C60" s="4"/>
      <c r="D60" s="4"/>
      <c r="E60" s="4"/>
      <c r="F60" s="8"/>
      <c r="G60" s="54"/>
      <c r="H60" s="54"/>
      <c r="I60" s="8"/>
      <c r="J60" s="8"/>
      <c r="K60" s="8"/>
      <c r="L60" s="52"/>
      <c r="M60" s="52"/>
    </row>
    <row r="61" spans="1:8" ht="12.75">
      <c r="A61" s="12"/>
      <c r="B61" s="13" t="s">
        <v>115</v>
      </c>
      <c r="C61" s="11"/>
      <c r="D61" s="8"/>
      <c r="G61"/>
      <c r="H61"/>
    </row>
    <row r="62" spans="1:8" ht="12.75">
      <c r="A62" s="12"/>
      <c r="B62" s="13"/>
      <c r="C62" s="14" t="s">
        <v>16</v>
      </c>
      <c r="D62" s="8"/>
      <c r="E62" s="45">
        <f>'R&amp;D'!B10</f>
        <v>0</v>
      </c>
      <c r="G62"/>
      <c r="H62"/>
    </row>
    <row r="63" spans="1:8" ht="12.75">
      <c r="A63" s="12"/>
      <c r="B63" s="13"/>
      <c r="C63" s="14" t="s">
        <v>15</v>
      </c>
      <c r="D63" s="8"/>
      <c r="E63" s="45">
        <f>'R&amp;D'!B21</f>
        <v>0</v>
      </c>
      <c r="G63"/>
      <c r="H63"/>
    </row>
    <row r="64" spans="1:8" ht="12.75">
      <c r="A64" s="12"/>
      <c r="B64" s="10"/>
      <c r="C64" t="s">
        <v>188</v>
      </c>
      <c r="D64" s="8"/>
      <c r="E64" s="51">
        <v>0</v>
      </c>
      <c r="G64" t="s">
        <v>189</v>
      </c>
      <c r="H64"/>
    </row>
    <row r="65" spans="1:8" ht="12.75">
      <c r="A65" s="12"/>
      <c r="B65" s="10"/>
      <c r="C65" s="27" t="s">
        <v>135</v>
      </c>
      <c r="D65" s="8"/>
      <c r="E65" s="43">
        <f>SUM(E62:E64)</f>
        <v>0</v>
      </c>
      <c r="G65" t="s">
        <v>125</v>
      </c>
      <c r="H65"/>
    </row>
    <row r="66" spans="1:8" ht="12.75">
      <c r="A66" s="12"/>
      <c r="B66" s="10"/>
      <c r="C66" s="27"/>
      <c r="D66" s="8"/>
      <c r="E66" s="43"/>
      <c r="G66"/>
      <c r="H66"/>
    </row>
    <row r="67" spans="2:8" ht="12.75">
      <c r="B67" s="1" t="s">
        <v>15</v>
      </c>
      <c r="D67" s="8"/>
      <c r="G67"/>
      <c r="H67"/>
    </row>
    <row r="68" spans="2:8" ht="12.75">
      <c r="B68" s="1"/>
      <c r="C68">
        <f>'M&amp;S'!A14</f>
        <v>0</v>
      </c>
      <c r="D68" s="8"/>
      <c r="E68" s="45">
        <f>'M&amp;S'!B14</f>
        <v>0</v>
      </c>
      <c r="G68"/>
      <c r="H68"/>
    </row>
    <row r="69" spans="2:8" ht="12.75">
      <c r="B69" s="1"/>
      <c r="C69">
        <f>'M&amp;S'!A15</f>
        <v>0</v>
      </c>
      <c r="D69" s="8"/>
      <c r="E69" s="45">
        <f>'M&amp;S'!B15</f>
        <v>0</v>
      </c>
      <c r="G69"/>
      <c r="H69"/>
    </row>
    <row r="70" spans="2:8" ht="12.75">
      <c r="B70" s="1"/>
      <c r="C70">
        <f>'M&amp;S'!A21</f>
        <v>0</v>
      </c>
      <c r="D70" s="8"/>
      <c r="E70" s="45">
        <f>'M&amp;S'!B21</f>
        <v>0</v>
      </c>
      <c r="G70"/>
      <c r="H70"/>
    </row>
    <row r="71" spans="2:8" ht="12.75">
      <c r="B71" s="1"/>
      <c r="C71">
        <f>'M&amp;S'!A22</f>
        <v>0</v>
      </c>
      <c r="D71" s="8"/>
      <c r="E71" s="45">
        <f>'M&amp;S'!B22</f>
        <v>0</v>
      </c>
      <c r="G71"/>
      <c r="H71"/>
    </row>
    <row r="72" spans="2:8" ht="12.75">
      <c r="B72" s="1"/>
      <c r="C72">
        <f>'M&amp;S'!A23</f>
        <v>0</v>
      </c>
      <c r="D72" s="8"/>
      <c r="E72" s="45">
        <f>'M&amp;S'!B23</f>
        <v>0</v>
      </c>
      <c r="G72"/>
      <c r="H72"/>
    </row>
    <row r="73" spans="2:8" ht="12.75">
      <c r="B73" s="1"/>
      <c r="C73">
        <f>'M&amp;S'!A24</f>
        <v>0</v>
      </c>
      <c r="D73" s="8"/>
      <c r="E73" s="45">
        <f>'M&amp;S'!B24</f>
        <v>0</v>
      </c>
      <c r="G73"/>
      <c r="H73"/>
    </row>
    <row r="74" spans="2:8" ht="12.75">
      <c r="B74" s="1"/>
      <c r="C74" t="str">
        <f>'M&amp;S'!A16</f>
        <v>subtotal, purchased parts</v>
      </c>
      <c r="D74" s="8"/>
      <c r="E74" s="45">
        <f>'M&amp;S'!B25</f>
        <v>0</v>
      </c>
      <c r="G74"/>
      <c r="H74"/>
    </row>
    <row r="75" spans="2:8" ht="12.75">
      <c r="B75" s="1"/>
      <c r="C75" t="s">
        <v>129</v>
      </c>
      <c r="D75" s="8"/>
      <c r="E75" s="51">
        <f>E74*0.1</f>
        <v>0</v>
      </c>
      <c r="G75"/>
      <c r="H75"/>
    </row>
    <row r="76" spans="2:8" ht="12.75">
      <c r="B76" s="1"/>
      <c r="C76" s="27" t="s">
        <v>134</v>
      </c>
      <c r="D76" s="8"/>
      <c r="E76" s="43">
        <f>SUM(E68:E75)</f>
        <v>0</v>
      </c>
      <c r="G76" t="s">
        <v>125</v>
      </c>
      <c r="H76"/>
    </row>
    <row r="77" spans="3:8" ht="12.75">
      <c r="C77" s="1"/>
      <c r="D77" s="8"/>
      <c r="G77"/>
      <c r="H77"/>
    </row>
    <row r="78" spans="2:8" ht="12.75">
      <c r="B78" s="1" t="s">
        <v>16</v>
      </c>
      <c r="D78" s="8"/>
      <c r="E78" s="43">
        <v>0</v>
      </c>
      <c r="G78" t="s">
        <v>143</v>
      </c>
      <c r="H78"/>
    </row>
    <row r="79" spans="4:8" ht="12.75">
      <c r="D79" s="8"/>
      <c r="G79"/>
      <c r="H79"/>
    </row>
    <row r="80" spans="2:8" ht="12.75">
      <c r="B80" s="1" t="s">
        <v>17</v>
      </c>
      <c r="D80" s="8"/>
      <c r="E80" s="43">
        <v>0</v>
      </c>
      <c r="G80" t="s">
        <v>144</v>
      </c>
      <c r="H80"/>
    </row>
    <row r="81" spans="4:8" ht="12.75">
      <c r="D81" s="8"/>
      <c r="G81"/>
      <c r="H81"/>
    </row>
    <row r="82" spans="4:13" ht="12.75">
      <c r="D82" s="52"/>
      <c r="G82" s="59"/>
      <c r="H82" s="59"/>
      <c r="I82" s="59"/>
      <c r="J82" s="59"/>
      <c r="K82" s="59"/>
      <c r="L82" s="59"/>
      <c r="M82" s="59"/>
    </row>
    <row r="83" spans="1:13" ht="18.75" thickBot="1">
      <c r="A83" s="228" t="s">
        <v>26</v>
      </c>
      <c r="B83" s="228"/>
      <c r="C83" s="228"/>
      <c r="D83" s="228"/>
      <c r="E83" s="73"/>
      <c r="F83" s="73"/>
      <c r="G83" s="79"/>
      <c r="H83" s="79"/>
      <c r="I83" s="79"/>
      <c r="J83" s="79"/>
      <c r="K83" s="79"/>
      <c r="L83" s="59"/>
      <c r="M83" s="59"/>
    </row>
    <row r="84" spans="1:13" ht="15">
      <c r="A84" s="57"/>
      <c r="B84" s="57"/>
      <c r="C84" s="57"/>
      <c r="D84" s="57"/>
      <c r="G84" s="59"/>
      <c r="H84" s="59"/>
      <c r="I84" s="59"/>
      <c r="J84" s="59"/>
      <c r="K84" s="59"/>
      <c r="L84" s="59"/>
      <c r="M84" s="59"/>
    </row>
    <row r="85" spans="1:13" ht="12.75">
      <c r="A85" s="3"/>
      <c r="B85" s="7" t="s">
        <v>0</v>
      </c>
      <c r="C85" s="7"/>
      <c r="D85" s="3"/>
      <c r="E85" s="3" t="s">
        <v>310</v>
      </c>
      <c r="G85" s="59" t="s">
        <v>142</v>
      </c>
      <c r="H85" s="59"/>
      <c r="I85" s="59"/>
      <c r="J85" s="59"/>
      <c r="K85" s="59"/>
      <c r="L85" s="59"/>
      <c r="M85" s="59"/>
    </row>
    <row r="86" spans="1:13" ht="12.75">
      <c r="A86" s="4"/>
      <c r="B86" s="4"/>
      <c r="C86" s="4"/>
      <c r="D86" s="4"/>
      <c r="E86" s="4"/>
      <c r="F86" s="8"/>
      <c r="G86" s="69"/>
      <c r="H86" s="69"/>
      <c r="I86" s="69"/>
      <c r="J86" s="69"/>
      <c r="K86" s="69"/>
      <c r="L86" s="59"/>
      <c r="M86" s="59"/>
    </row>
    <row r="87" spans="4:13" ht="12.75">
      <c r="D87" s="8"/>
      <c r="G87" s="59"/>
      <c r="H87" s="59"/>
      <c r="I87" s="59"/>
      <c r="J87" s="59"/>
      <c r="K87" s="59"/>
      <c r="L87" s="59"/>
      <c r="M87" s="59"/>
    </row>
    <row r="88" spans="2:13" ht="12.75">
      <c r="B88" s="1" t="s">
        <v>27</v>
      </c>
      <c r="D88" s="8"/>
      <c r="E88" s="43">
        <v>0</v>
      </c>
      <c r="G88" s="108" t="s">
        <v>311</v>
      </c>
      <c r="H88" s="59"/>
      <c r="I88" s="59"/>
      <c r="J88" s="59"/>
      <c r="K88" s="59"/>
      <c r="L88" s="59"/>
      <c r="M88" s="59"/>
    </row>
    <row r="89" spans="4:13" ht="12.75">
      <c r="D89" s="52"/>
      <c r="G89" s="59"/>
      <c r="H89" s="59"/>
      <c r="I89" s="59"/>
      <c r="J89" s="59"/>
      <c r="K89" s="59"/>
      <c r="L89" s="59"/>
      <c r="M89" s="59"/>
    </row>
    <row r="90" spans="1:11" ht="18.75" thickBot="1">
      <c r="A90" s="228" t="s">
        <v>145</v>
      </c>
      <c r="B90" s="228"/>
      <c r="C90" s="228"/>
      <c r="D90" s="228"/>
      <c r="E90" s="73"/>
      <c r="F90" s="73"/>
      <c r="G90" s="78"/>
      <c r="H90" s="78"/>
      <c r="I90" s="73"/>
      <c r="J90" s="73"/>
      <c r="K90" s="73"/>
    </row>
    <row r="91" spans="1:4" ht="15">
      <c r="A91" s="57"/>
      <c r="B91" s="57"/>
      <c r="C91" s="57"/>
      <c r="D91" s="57"/>
    </row>
    <row r="92" spans="1:13" ht="12.75">
      <c r="A92" s="3"/>
      <c r="B92" s="7" t="s">
        <v>0</v>
      </c>
      <c r="C92" s="7"/>
      <c r="D92" s="3" t="s">
        <v>1</v>
      </c>
      <c r="E92" s="3" t="s">
        <v>310</v>
      </c>
      <c r="G92" s="59" t="s">
        <v>142</v>
      </c>
      <c r="H92" s="59"/>
      <c r="I92" s="59"/>
      <c r="J92" s="59"/>
      <c r="K92" s="59"/>
      <c r="L92" s="59"/>
      <c r="M92" s="59"/>
    </row>
    <row r="93" spans="1:13" ht="12.75">
      <c r="A93" s="4"/>
      <c r="B93" s="4"/>
      <c r="C93" s="4"/>
      <c r="D93" s="4"/>
      <c r="E93" s="4"/>
      <c r="F93" s="8"/>
      <c r="G93" s="69"/>
      <c r="H93" s="69"/>
      <c r="I93" s="69"/>
      <c r="J93" s="69"/>
      <c r="K93" s="69"/>
      <c r="L93" s="59"/>
      <c r="M93" s="59"/>
    </row>
    <row r="94" spans="1:13" ht="12.75">
      <c r="A94" s="5"/>
      <c r="B94" s="5"/>
      <c r="C94" s="5"/>
      <c r="D94" s="5"/>
      <c r="E94" s="5"/>
      <c r="F94" s="52"/>
      <c r="G94" s="60"/>
      <c r="H94" s="60"/>
      <c r="I94" s="52"/>
      <c r="J94" s="52"/>
      <c r="K94" s="52"/>
      <c r="L94" s="52"/>
      <c r="M94" s="52"/>
    </row>
    <row r="95" spans="2:11" ht="12.75" customHeight="1">
      <c r="B95" s="1" t="s">
        <v>30</v>
      </c>
      <c r="I95" s="22"/>
      <c r="J95" s="22"/>
      <c r="K95" s="22"/>
    </row>
    <row r="96" spans="2:10" ht="12.75">
      <c r="B96" t="s">
        <v>157</v>
      </c>
      <c r="D96" s="62">
        <f>N55</f>
        <v>15114</v>
      </c>
      <c r="E96" s="43">
        <f>O55</f>
        <v>1218240</v>
      </c>
      <c r="G96" s="230" t="s">
        <v>161</v>
      </c>
      <c r="H96" s="230"/>
      <c r="I96" s="27" t="s">
        <v>10</v>
      </c>
      <c r="J96" s="64" t="str">
        <f>CONCATENATE(O47," $/hr")</f>
        <v>100 $/hr</v>
      </c>
    </row>
    <row r="97" spans="2:10" ht="12.75">
      <c r="B97" t="s">
        <v>158</v>
      </c>
      <c r="D97" s="62">
        <f>N56</f>
        <v>0</v>
      </c>
      <c r="E97" s="43">
        <f>O56</f>
        <v>0</v>
      </c>
      <c r="G97" s="27" t="s">
        <v>9</v>
      </c>
      <c r="H97" s="64" t="str">
        <f>CONCATENATE(O41," $/hr")</f>
        <v>153 $/hr</v>
      </c>
      <c r="I97" s="27" t="s">
        <v>111</v>
      </c>
      <c r="J97" s="64" t="str">
        <f>CONCATENATE(O49," $/hr")</f>
        <v>73 $/hr</v>
      </c>
    </row>
    <row r="98" spans="3:10" ht="12.75">
      <c r="C98" t="s">
        <v>147</v>
      </c>
      <c r="D98" s="62">
        <f>SUM(D96:D97)</f>
        <v>15114</v>
      </c>
      <c r="E98" s="43">
        <f>SUM(E96:E97)</f>
        <v>1218240</v>
      </c>
      <c r="G98" s="27" t="s">
        <v>11</v>
      </c>
      <c r="H98" s="64" t="str">
        <f>CONCATENATE(O43," $/hr")</f>
        <v>100 $/hr</v>
      </c>
      <c r="I98" s="42" t="s">
        <v>160</v>
      </c>
      <c r="J98" s="64" t="str">
        <f>CONCATENATE(O53," $/hr")</f>
        <v>141 $/hr</v>
      </c>
    </row>
    <row r="99" spans="4:10" ht="12.75">
      <c r="D99" s="31"/>
      <c r="E99" s="43"/>
      <c r="G99" s="27" t="s">
        <v>12</v>
      </c>
      <c r="H99" s="64" t="str">
        <f>CONCATENATE(O45," $/hr")</f>
        <v>130 $/hr</v>
      </c>
      <c r="I99" s="42" t="s">
        <v>159</v>
      </c>
      <c r="J99" s="64" t="str">
        <f>CONCATENATE(O51," $/hr")</f>
        <v>160 $/hr</v>
      </c>
    </row>
    <row r="100" ht="12.75">
      <c r="B100" s="1" t="s">
        <v>146</v>
      </c>
    </row>
    <row r="101" spans="2:5" ht="12.75">
      <c r="B101" s="61" t="s">
        <v>115</v>
      </c>
      <c r="C101" s="14"/>
      <c r="D101" s="8"/>
      <c r="E101" s="43">
        <f>E65</f>
        <v>0</v>
      </c>
    </row>
    <row r="102" spans="2:5" ht="12.75">
      <c r="B102" s="14" t="s">
        <v>15</v>
      </c>
      <c r="C102" s="14"/>
      <c r="D102" s="8"/>
      <c r="E102" s="43">
        <f>E76</f>
        <v>0</v>
      </c>
    </row>
    <row r="103" spans="2:5" ht="12.75">
      <c r="B103" s="14" t="s">
        <v>16</v>
      </c>
      <c r="C103" s="14"/>
      <c r="D103" s="8"/>
      <c r="E103" s="43">
        <f>E78</f>
        <v>0</v>
      </c>
    </row>
    <row r="104" spans="2:5" ht="12.75">
      <c r="B104" s="14" t="s">
        <v>17</v>
      </c>
      <c r="C104" s="14"/>
      <c r="D104" s="8"/>
      <c r="E104" s="43">
        <f>E80</f>
        <v>0</v>
      </c>
    </row>
    <row r="105" spans="2:5" ht="12.75">
      <c r="B105" s="14" t="s">
        <v>27</v>
      </c>
      <c r="C105" s="14"/>
      <c r="D105" s="8"/>
      <c r="E105" s="43">
        <f>E88</f>
        <v>0</v>
      </c>
    </row>
    <row r="106" spans="3:5" ht="12.75">
      <c r="C106" t="s">
        <v>148</v>
      </c>
      <c r="E106" s="43">
        <f>SUM(E101:E105)</f>
        <v>0</v>
      </c>
    </row>
    <row r="108" spans="2:8" ht="12.75">
      <c r="B108" s="1" t="s">
        <v>149</v>
      </c>
      <c r="E108" s="43">
        <f>G108*E106</f>
        <v>0</v>
      </c>
      <c r="G108" s="29">
        <v>0.25</v>
      </c>
      <c r="H108" s="19" t="s">
        <v>150</v>
      </c>
    </row>
    <row r="110" spans="2:5" ht="12.75">
      <c r="B110" s="1" t="s">
        <v>151</v>
      </c>
      <c r="E110" s="43">
        <f>E108+E106+E98</f>
        <v>1218240</v>
      </c>
    </row>
    <row r="111" ht="12.75">
      <c r="B111" s="1"/>
    </row>
    <row r="112" spans="2:8" ht="12.75">
      <c r="B112" s="1" t="s">
        <v>152</v>
      </c>
      <c r="E112" s="43">
        <f>E110*G112</f>
        <v>487296</v>
      </c>
      <c r="G112" s="29">
        <v>0.4</v>
      </c>
      <c r="H112" s="19" t="s">
        <v>154</v>
      </c>
    </row>
    <row r="113" ht="12.75">
      <c r="B113" s="1"/>
    </row>
    <row r="114" spans="2:5" ht="12.75">
      <c r="B114" s="1" t="s">
        <v>153</v>
      </c>
      <c r="E114" s="43">
        <f>E112+E110</f>
        <v>1705536</v>
      </c>
    </row>
    <row r="116" spans="1:11" ht="12.75">
      <c r="A116" s="8"/>
      <c r="B116" s="8"/>
      <c r="C116" s="8"/>
      <c r="D116" s="8"/>
      <c r="E116" s="8"/>
      <c r="F116" s="8"/>
      <c r="G116" s="54"/>
      <c r="H116" s="54"/>
      <c r="I116" s="8"/>
      <c r="J116" s="8"/>
      <c r="K116" s="8"/>
    </row>
  </sheetData>
  <mergeCells count="13">
    <mergeCell ref="A90:D90"/>
    <mergeCell ref="G96:H96"/>
    <mergeCell ref="E37:K37"/>
    <mergeCell ref="A35:D35"/>
    <mergeCell ref="A83:D83"/>
    <mergeCell ref="A57:D57"/>
    <mergeCell ref="A13:D13"/>
    <mergeCell ref="A20:D20"/>
    <mergeCell ref="A27:D27"/>
    <mergeCell ref="O1:T1"/>
    <mergeCell ref="A6:D6"/>
    <mergeCell ref="A3:D3"/>
    <mergeCell ref="A1:K1"/>
  </mergeCells>
  <printOptions/>
  <pageMargins left="0.75" right="0.5" top="1" bottom="1" header="0.5" footer="0.5"/>
  <pageSetup fitToHeight="0" horizontalDpi="600" verticalDpi="600" orientation="landscape" scale="98" r:id="rId1"/>
  <headerFooter alignWithMargins="0">
    <oddHeader>&amp;C&amp;"Arial,Bold"&amp;14NCSX Fabrication Project Cost and Schedule  Estimating Form&amp;"Arial,Regular"&amp;10
</oddHeader>
    <oddFooter>&amp;C&amp;"Arial,Bold"&amp;P</oddFooter>
  </headerFooter>
  <rowBreaks count="3" manualBreakCount="3">
    <brk id="33" max="10" man="1"/>
    <brk id="55" max="10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2">
      <pane ySplit="1365" topLeftCell="BM1" activePane="bottomLeft" state="split"/>
      <selection pane="topLeft" activeCell="C3" sqref="C3"/>
      <selection pane="bottomLeft" activeCell="C1" sqref="C1"/>
    </sheetView>
  </sheetViews>
  <sheetFormatPr defaultColWidth="9.140625" defaultRowHeight="12.75"/>
  <cols>
    <col min="1" max="1" width="3.7109375" style="0" customWidth="1"/>
    <col min="2" max="2" width="3.28125" style="0" customWidth="1"/>
    <col min="3" max="3" width="33.28125" style="0" customWidth="1"/>
    <col min="4" max="4" width="10.421875" style="0" customWidth="1"/>
    <col min="6" max="6" width="10.57421875" style="0" customWidth="1"/>
    <col min="7" max="7" width="11.140625" style="19" customWidth="1"/>
    <col min="8" max="8" width="11.7109375" style="19" customWidth="1"/>
    <col min="9" max="9" width="41.8515625" style="0" customWidth="1"/>
  </cols>
  <sheetData>
    <row r="1" spans="3:9" s="2" customFormat="1" ht="15.75">
      <c r="C1" s="2" t="str">
        <f>CONCATENATE("1808-NCSX-",'Fab Project'!L1,"01")</f>
        <v>1808-NCSX-1701</v>
      </c>
      <c r="G1" s="16"/>
      <c r="H1" s="16"/>
      <c r="I1" s="2" t="s">
        <v>44</v>
      </c>
    </row>
    <row r="2" spans="2:9" s="3" customFormat="1" ht="38.25">
      <c r="B2" s="7" t="s">
        <v>0</v>
      </c>
      <c r="C2" s="7"/>
      <c r="D2" s="3" t="s">
        <v>1</v>
      </c>
      <c r="E2" s="3" t="s">
        <v>2</v>
      </c>
      <c r="F2" s="3" t="s">
        <v>3</v>
      </c>
      <c r="G2" s="17" t="s">
        <v>5</v>
      </c>
      <c r="H2" s="17" t="s">
        <v>6</v>
      </c>
      <c r="I2" s="3" t="s">
        <v>4</v>
      </c>
    </row>
    <row r="3" spans="7:8" s="4" customFormat="1" ht="12.75">
      <c r="G3" s="18"/>
      <c r="H3" s="18"/>
    </row>
    <row r="4" spans="1:9" ht="12.75">
      <c r="A4" s="1" t="s">
        <v>33</v>
      </c>
      <c r="E4" s="8"/>
      <c r="I4" s="1" t="s">
        <v>40</v>
      </c>
    </row>
    <row r="5" spans="1:5" ht="12.75">
      <c r="A5" s="1"/>
      <c r="B5" t="s">
        <v>35</v>
      </c>
      <c r="E5" s="8"/>
    </row>
    <row r="6" spans="5:9" ht="12.75">
      <c r="E6" s="8"/>
      <c r="F6" s="6" t="s">
        <v>18</v>
      </c>
      <c r="I6" s="6" t="s">
        <v>13</v>
      </c>
    </row>
    <row r="7" spans="5:9" ht="12.75">
      <c r="E7" s="8"/>
      <c r="F7" s="6" t="s">
        <v>34</v>
      </c>
      <c r="I7" s="6" t="s">
        <v>13</v>
      </c>
    </row>
    <row r="8" spans="2:9" ht="12.75">
      <c r="B8" t="s">
        <v>36</v>
      </c>
      <c r="E8" s="8"/>
      <c r="F8" s="6"/>
      <c r="I8" s="6"/>
    </row>
    <row r="9" spans="5:9" ht="12.75">
      <c r="E9" s="8"/>
      <c r="F9" s="6"/>
      <c r="I9" s="6"/>
    </row>
    <row r="10" spans="5:9" ht="12.75">
      <c r="E10" s="8"/>
      <c r="F10" s="6"/>
      <c r="I10" s="6"/>
    </row>
    <row r="11" spans="2:9" ht="12.75">
      <c r="B11" t="s">
        <v>37</v>
      </c>
      <c r="E11" s="8"/>
      <c r="F11" s="6"/>
      <c r="I11" s="6"/>
    </row>
    <row r="12" spans="5:9" ht="12.75">
      <c r="E12" s="8"/>
      <c r="F12" s="6"/>
      <c r="I12" s="6"/>
    </row>
    <row r="13" spans="5:9" ht="12.75">
      <c r="E13" s="8"/>
      <c r="F13" s="6"/>
      <c r="I13" s="6"/>
    </row>
    <row r="14" spans="2:9" ht="12.75">
      <c r="B14" t="s">
        <v>38</v>
      </c>
      <c r="E14" s="8"/>
      <c r="F14" s="6"/>
      <c r="I14" s="6"/>
    </row>
    <row r="15" spans="5:9" ht="12.75">
      <c r="E15" s="8"/>
      <c r="F15" s="6"/>
      <c r="I15" s="6"/>
    </row>
    <row r="16" spans="5:9" ht="12.75">
      <c r="E16" s="8"/>
      <c r="F16" s="6"/>
      <c r="I16" s="6"/>
    </row>
    <row r="17" spans="2:5" ht="12.75">
      <c r="B17" t="s">
        <v>39</v>
      </c>
      <c r="E17" s="8"/>
    </row>
    <row r="18" ht="12.75">
      <c r="E18" s="8"/>
    </row>
    <row r="19" ht="12.75">
      <c r="E19" s="8"/>
    </row>
    <row r="20" spans="2:5" ht="12.75">
      <c r="B20" s="1" t="s">
        <v>19</v>
      </c>
      <c r="E20" s="8"/>
    </row>
    <row r="21" spans="1:5" ht="12.75">
      <c r="A21" s="1"/>
      <c r="B21" t="s">
        <v>35</v>
      </c>
      <c r="E21" s="8"/>
    </row>
    <row r="22" spans="5:9" ht="12.75">
      <c r="E22" s="8"/>
      <c r="F22" s="6" t="s">
        <v>18</v>
      </c>
      <c r="I22" s="6" t="s">
        <v>13</v>
      </c>
    </row>
    <row r="23" spans="5:9" ht="12.75">
      <c r="E23" s="8"/>
      <c r="F23" s="6" t="s">
        <v>34</v>
      </c>
      <c r="I23" s="6" t="s">
        <v>13</v>
      </c>
    </row>
    <row r="24" spans="2:9" ht="12.75">
      <c r="B24" t="s">
        <v>36</v>
      </c>
      <c r="E24" s="8"/>
      <c r="F24" s="6"/>
      <c r="I24" s="6"/>
    </row>
    <row r="25" spans="5:9" ht="12.75">
      <c r="E25" s="8"/>
      <c r="F25" s="6"/>
      <c r="I25" s="6"/>
    </row>
    <row r="26" spans="5:9" ht="12.75">
      <c r="E26" s="8"/>
      <c r="F26" s="6"/>
      <c r="I26" s="6"/>
    </row>
    <row r="27" spans="2:9" ht="12.75">
      <c r="B27" t="s">
        <v>37</v>
      </c>
      <c r="E27" s="8"/>
      <c r="F27" s="6"/>
      <c r="I27" s="6"/>
    </row>
    <row r="28" spans="5:9" ht="12.75">
      <c r="E28" s="8"/>
      <c r="F28" s="6"/>
      <c r="I28" s="6"/>
    </row>
    <row r="29" spans="5:9" ht="12.75">
      <c r="E29" s="8"/>
      <c r="F29" s="6"/>
      <c r="I29" s="6"/>
    </row>
    <row r="30" spans="2:9" ht="12.75">
      <c r="B30" t="s">
        <v>38</v>
      </c>
      <c r="E30" s="8"/>
      <c r="F30" s="6"/>
      <c r="I30" s="6"/>
    </row>
    <row r="31" spans="5:9" ht="12.75">
      <c r="E31" s="8"/>
      <c r="F31" s="6"/>
      <c r="I31" s="6"/>
    </row>
    <row r="32" spans="5:9" ht="12.75">
      <c r="E32" s="8"/>
      <c r="F32" s="6"/>
      <c r="I32" s="6"/>
    </row>
    <row r="33" spans="2:5" ht="12.75">
      <c r="B33" t="s">
        <v>39</v>
      </c>
      <c r="E33" s="8"/>
    </row>
    <row r="34" ht="12.75">
      <c r="E34" s="8"/>
    </row>
    <row r="35" ht="12.75">
      <c r="E35" s="8"/>
    </row>
    <row r="36" ht="12.75">
      <c r="E36" s="8"/>
    </row>
    <row r="37" spans="2:4" ht="12.75">
      <c r="B37" s="1" t="s">
        <v>20</v>
      </c>
      <c r="D37" s="8"/>
    </row>
    <row r="38" ht="12.75">
      <c r="D38" s="8"/>
    </row>
    <row r="39" spans="1:4" ht="12.75">
      <c r="A39" s="12" t="s">
        <v>14</v>
      </c>
      <c r="B39" s="10"/>
      <c r="C39" s="11"/>
      <c r="D39" s="8"/>
    </row>
    <row r="40" spans="1:4" ht="12.75">
      <c r="A40" s="12"/>
      <c r="B40" s="13" t="s">
        <v>31</v>
      </c>
      <c r="C40" s="11"/>
      <c r="D40" s="8"/>
    </row>
    <row r="41" spans="1:4" ht="12.75">
      <c r="A41" s="12"/>
      <c r="B41" s="13"/>
      <c r="C41" s="14" t="s">
        <v>16</v>
      </c>
      <c r="D41" s="8"/>
    </row>
    <row r="42" spans="1:4" ht="12.75">
      <c r="A42" s="12"/>
      <c r="B42" s="13"/>
      <c r="C42" s="11"/>
      <c r="D42" s="8"/>
    </row>
    <row r="43" spans="1:9" ht="12.75">
      <c r="A43" s="12"/>
      <c r="B43" s="10"/>
      <c r="C43" s="14" t="s">
        <v>15</v>
      </c>
      <c r="D43" s="8"/>
      <c r="I43" s="6" t="s">
        <v>43</v>
      </c>
    </row>
    <row r="44" spans="1:4" ht="12.75">
      <c r="A44" s="12"/>
      <c r="B44" s="10"/>
      <c r="C44" s="11"/>
      <c r="D44" s="8"/>
    </row>
    <row r="45" spans="2:9" ht="25.5">
      <c r="B45" s="1" t="s">
        <v>15</v>
      </c>
      <c r="D45" s="8"/>
      <c r="I45" s="15" t="s">
        <v>41</v>
      </c>
    </row>
    <row r="46" ht="12.75">
      <c r="D46" s="8"/>
    </row>
    <row r="47" spans="2:4" ht="12.75">
      <c r="B47" s="1" t="s">
        <v>16</v>
      </c>
      <c r="D47" s="8"/>
    </row>
    <row r="48" ht="12.75">
      <c r="D48" s="8"/>
    </row>
    <row r="49" spans="2:4" ht="12.75">
      <c r="B49" s="1" t="s">
        <v>17</v>
      </c>
      <c r="D49" s="8"/>
    </row>
    <row r="50" ht="12.75">
      <c r="D50" s="8"/>
    </row>
    <row r="51" ht="12.75">
      <c r="D51" s="8"/>
    </row>
    <row r="52" ht="12.75">
      <c r="D52" s="8"/>
    </row>
    <row r="53" spans="2:4" ht="12.75">
      <c r="B53" s="1" t="s">
        <v>26</v>
      </c>
      <c r="D53" s="8"/>
    </row>
    <row r="54" spans="3:4" ht="12.75">
      <c r="C54" t="s">
        <v>27</v>
      </c>
      <c r="D54" s="8"/>
    </row>
    <row r="55" spans="1:5" ht="12.75">
      <c r="A55" s="1"/>
      <c r="B55" t="s">
        <v>35</v>
      </c>
      <c r="E55" s="8"/>
    </row>
    <row r="56" spans="5:9" ht="12.75">
      <c r="E56" s="8"/>
      <c r="F56" s="6" t="s">
        <v>18</v>
      </c>
      <c r="I56" s="6" t="s">
        <v>13</v>
      </c>
    </row>
    <row r="57" spans="5:9" ht="12.75">
      <c r="E57" s="8"/>
      <c r="F57" s="6" t="s">
        <v>34</v>
      </c>
      <c r="I57" s="6" t="s">
        <v>13</v>
      </c>
    </row>
    <row r="58" spans="2:9" ht="12.75">
      <c r="B58" t="s">
        <v>36</v>
      </c>
      <c r="E58" s="8"/>
      <c r="F58" s="6"/>
      <c r="I58" s="6"/>
    </row>
    <row r="59" spans="5:9" ht="12.75">
      <c r="E59" s="8"/>
      <c r="F59" s="6"/>
      <c r="I59" s="6"/>
    </row>
    <row r="60" spans="5:9" ht="12.75">
      <c r="E60" s="8"/>
      <c r="F60" s="6"/>
      <c r="I60" s="6"/>
    </row>
    <row r="61" spans="2:9" ht="12.75">
      <c r="B61" t="s">
        <v>37</v>
      </c>
      <c r="E61" s="8"/>
      <c r="F61" s="6"/>
      <c r="I61" s="6"/>
    </row>
    <row r="62" spans="5:9" ht="12.75">
      <c r="E62" s="8"/>
      <c r="F62" s="6"/>
      <c r="I62" s="6"/>
    </row>
    <row r="63" spans="5:9" ht="12.75">
      <c r="E63" s="8"/>
      <c r="F63" s="6"/>
      <c r="I63" s="6"/>
    </row>
    <row r="64" spans="2:9" ht="12.75">
      <c r="B64" t="s">
        <v>38</v>
      </c>
      <c r="E64" s="8"/>
      <c r="F64" s="6"/>
      <c r="I64" s="6"/>
    </row>
    <row r="65" spans="5:9" ht="12.75">
      <c r="E65" s="8"/>
      <c r="F65" s="6"/>
      <c r="I65" s="6"/>
    </row>
    <row r="66" spans="5:9" ht="12.75">
      <c r="E66" s="8"/>
      <c r="F66" s="6"/>
      <c r="I66" s="6"/>
    </row>
    <row r="67" spans="2:5" ht="12.75">
      <c r="B67" t="s">
        <v>39</v>
      </c>
      <c r="E67" s="8"/>
    </row>
    <row r="68" ht="12.75">
      <c r="D68" s="8"/>
    </row>
    <row r="69" spans="3:4" ht="12.75">
      <c r="C69" t="s">
        <v>28</v>
      </c>
      <c r="D69" s="8"/>
    </row>
    <row r="72" ht="12.75">
      <c r="B72" s="9" t="s">
        <v>21</v>
      </c>
    </row>
    <row r="73" ht="12.75">
      <c r="C73" t="s">
        <v>22</v>
      </c>
    </row>
    <row r="74" ht="12.75">
      <c r="C74" t="s">
        <v>25</v>
      </c>
    </row>
    <row r="75" ht="12.75">
      <c r="C75" t="s">
        <v>23</v>
      </c>
    </row>
    <row r="76" ht="12.75">
      <c r="C76" t="s">
        <v>24</v>
      </c>
    </row>
  </sheetData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&amp;C&amp;"Arial,Bold"&amp;14NCSX Other CostsCost and Schedule  Estimating Form&amp;"Arial,Regular"&amp;10
&amp;"Arial,Bold"&amp;12(Attachment 1c - OTHER)</oddHeader>
    <oddFooter>&amp;C&amp;"Arial,Bold"&amp;P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B15" sqref="B15"/>
    </sheetView>
  </sheetViews>
  <sheetFormatPr defaultColWidth="9.140625" defaultRowHeight="12.75"/>
  <cols>
    <col min="1" max="1" width="28.57421875" style="0" customWidth="1"/>
    <col min="2" max="2" width="9.8515625" style="0" customWidth="1"/>
    <col min="5" max="5" width="8.00390625" style="0" customWidth="1"/>
    <col min="6" max="6" width="2.57421875" style="0" customWidth="1"/>
    <col min="7" max="7" width="7.00390625" style="0" customWidth="1"/>
    <col min="8" max="17" width="5.7109375" style="0" customWidth="1"/>
  </cols>
  <sheetData>
    <row r="1" ht="20.25">
      <c r="A1" s="63" t="str">
        <f>'Fab Project'!A1</f>
        <v>WBS 185 Assembly of Field Periods</v>
      </c>
    </row>
    <row r="3" spans="1:17" ht="18.75" thickBot="1">
      <c r="A3" s="72" t="s">
        <v>62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ht="12.75">
      <c r="A4" s="1"/>
    </row>
    <row r="5" ht="12.75">
      <c r="A5" s="1" t="s">
        <v>71</v>
      </c>
    </row>
    <row r="6" spans="1:17" ht="42.75" customHeight="1">
      <c r="A6" s="234" t="s">
        <v>309</v>
      </c>
      <c r="B6" s="234"/>
      <c r="C6" s="234"/>
      <c r="D6" s="234"/>
      <c r="E6" s="234"/>
      <c r="F6" s="234"/>
      <c r="G6" s="227" t="s">
        <v>98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ht="34.5" customHeight="1">
      <c r="A7" s="234"/>
      <c r="B7" s="234"/>
      <c r="C7" s="234"/>
      <c r="D7" s="234"/>
      <c r="E7" s="234"/>
      <c r="F7" s="234"/>
      <c r="G7" s="39" t="s">
        <v>93</v>
      </c>
      <c r="H7" s="232" t="s">
        <v>9</v>
      </c>
      <c r="I7" s="232"/>
      <c r="J7" s="232" t="s">
        <v>11</v>
      </c>
      <c r="K7" s="232"/>
      <c r="L7" s="232" t="s">
        <v>12</v>
      </c>
      <c r="M7" s="232"/>
      <c r="N7" s="232" t="s">
        <v>42</v>
      </c>
      <c r="O7" s="232"/>
      <c r="P7" s="232" t="s">
        <v>69</v>
      </c>
      <c r="Q7" s="232"/>
    </row>
    <row r="8" spans="2:17" ht="12.75">
      <c r="B8" s="25" t="s">
        <v>54</v>
      </c>
      <c r="C8" s="25" t="s">
        <v>55</v>
      </c>
      <c r="D8" s="25" t="s">
        <v>56</v>
      </c>
      <c r="E8" s="233" t="s">
        <v>94</v>
      </c>
      <c r="F8" s="233"/>
      <c r="H8" s="22" t="s">
        <v>92</v>
      </c>
      <c r="I8" s="22" t="s">
        <v>63</v>
      </c>
      <c r="J8" s="22" t="s">
        <v>92</v>
      </c>
      <c r="K8" s="22" t="s">
        <v>63</v>
      </c>
      <c r="L8" s="22" t="s">
        <v>92</v>
      </c>
      <c r="M8" s="22" t="s">
        <v>63</v>
      </c>
      <c r="N8" s="22" t="s">
        <v>92</v>
      </c>
      <c r="O8" s="22" t="s">
        <v>63</v>
      </c>
      <c r="P8" s="22" t="s">
        <v>92</v>
      </c>
      <c r="Q8" s="22" t="s">
        <v>63</v>
      </c>
    </row>
    <row r="9" ht="12.75">
      <c r="A9" s="1" t="s">
        <v>64</v>
      </c>
    </row>
    <row r="10" spans="1:17" ht="12.75">
      <c r="A10" s="20" t="s">
        <v>186</v>
      </c>
      <c r="B10" s="23">
        <v>8</v>
      </c>
      <c r="C10" s="22" t="s">
        <v>57</v>
      </c>
      <c r="D10" s="26">
        <f>B50</f>
        <v>0</v>
      </c>
      <c r="E10" s="36">
        <f>D10*$B10</f>
        <v>0</v>
      </c>
      <c r="F10" s="36"/>
      <c r="G10" s="30">
        <f>H10+J10+L10+N10+P10</f>
        <v>1</v>
      </c>
      <c r="H10" s="32">
        <v>0</v>
      </c>
      <c r="I10" s="31">
        <f>$E10*H10</f>
        <v>0</v>
      </c>
      <c r="J10" s="32">
        <v>0</v>
      </c>
      <c r="K10" s="31">
        <f aca="true" t="shared" si="0" ref="K10:K22">$E10*J10</f>
        <v>0</v>
      </c>
      <c r="L10" s="32">
        <v>1</v>
      </c>
      <c r="M10" s="31">
        <f aca="true" t="shared" si="1" ref="M10:M22">$E10*L10</f>
        <v>0</v>
      </c>
      <c r="N10" s="32">
        <v>0</v>
      </c>
      <c r="O10" s="31">
        <f aca="true" t="shared" si="2" ref="O10:O22">$E10*N10</f>
        <v>0</v>
      </c>
      <c r="P10" s="32">
        <v>0</v>
      </c>
      <c r="Q10" s="31">
        <f aca="true" t="shared" si="3" ref="Q10:Q22">$E10*P10</f>
        <v>0</v>
      </c>
    </row>
    <row r="11" spans="1:17" ht="12.75">
      <c r="A11" s="20" t="s">
        <v>185</v>
      </c>
      <c r="B11" s="23">
        <v>40</v>
      </c>
      <c r="C11" s="22" t="s">
        <v>58</v>
      </c>
      <c r="D11" s="26">
        <f aca="true" t="shared" si="4" ref="D11:D21">B51</f>
        <v>0</v>
      </c>
      <c r="E11" s="36">
        <f aca="true" t="shared" si="5" ref="E11:E22">D11*$B11</f>
        <v>0</v>
      </c>
      <c r="F11" s="36"/>
      <c r="G11" s="30">
        <f aca="true" t="shared" si="6" ref="G11:G22">H11+J11+L11+N11+P11</f>
        <v>1</v>
      </c>
      <c r="H11" s="32">
        <v>0</v>
      </c>
      <c r="I11" s="31">
        <f aca="true" t="shared" si="7" ref="I11:I22">$E11*H11</f>
        <v>0</v>
      </c>
      <c r="J11" s="32">
        <v>0</v>
      </c>
      <c r="K11" s="31">
        <f t="shared" si="0"/>
        <v>0</v>
      </c>
      <c r="L11" s="32">
        <v>1</v>
      </c>
      <c r="M11" s="31">
        <f t="shared" si="1"/>
        <v>0</v>
      </c>
      <c r="N11" s="32">
        <v>0</v>
      </c>
      <c r="O11" s="31">
        <f t="shared" si="2"/>
        <v>0</v>
      </c>
      <c r="P11" s="32">
        <v>0</v>
      </c>
      <c r="Q11" s="31">
        <f t="shared" si="3"/>
        <v>0</v>
      </c>
    </row>
    <row r="12" spans="1:17" ht="12.75">
      <c r="A12" s="20" t="s">
        <v>52</v>
      </c>
      <c r="B12" s="23">
        <v>20</v>
      </c>
      <c r="C12" s="22" t="s">
        <v>58</v>
      </c>
      <c r="D12" s="26">
        <f t="shared" si="4"/>
        <v>0</v>
      </c>
      <c r="E12" s="36">
        <f t="shared" si="5"/>
        <v>0</v>
      </c>
      <c r="F12" s="36"/>
      <c r="G12" s="30">
        <f t="shared" si="6"/>
        <v>1</v>
      </c>
      <c r="H12" s="32">
        <v>0</v>
      </c>
      <c r="I12" s="31">
        <f t="shared" si="7"/>
        <v>0</v>
      </c>
      <c r="J12" s="32">
        <v>0</v>
      </c>
      <c r="K12" s="31">
        <f t="shared" si="0"/>
        <v>0</v>
      </c>
      <c r="L12" s="32">
        <v>1</v>
      </c>
      <c r="M12" s="31">
        <f t="shared" si="1"/>
        <v>0</v>
      </c>
      <c r="N12" s="32">
        <v>0</v>
      </c>
      <c r="O12" s="31">
        <f t="shared" si="2"/>
        <v>0</v>
      </c>
      <c r="P12" s="32">
        <v>0</v>
      </c>
      <c r="Q12" s="31">
        <f t="shared" si="3"/>
        <v>0</v>
      </c>
    </row>
    <row r="13" spans="1:17" ht="12.75">
      <c r="A13" s="20" t="s">
        <v>53</v>
      </c>
      <c r="B13" s="23">
        <v>40</v>
      </c>
      <c r="C13" s="22" t="s">
        <v>58</v>
      </c>
      <c r="D13" s="26">
        <f t="shared" si="4"/>
        <v>0</v>
      </c>
      <c r="E13" s="36">
        <f t="shared" si="5"/>
        <v>0</v>
      </c>
      <c r="F13" s="36"/>
      <c r="G13" s="30">
        <f t="shared" si="6"/>
        <v>1</v>
      </c>
      <c r="H13" s="32">
        <v>0</v>
      </c>
      <c r="I13" s="31">
        <f t="shared" si="7"/>
        <v>0</v>
      </c>
      <c r="J13" s="32">
        <v>0</v>
      </c>
      <c r="K13" s="31">
        <f t="shared" si="0"/>
        <v>0</v>
      </c>
      <c r="L13" s="32">
        <v>1</v>
      </c>
      <c r="M13" s="31">
        <f t="shared" si="1"/>
        <v>0</v>
      </c>
      <c r="N13" s="32">
        <v>0</v>
      </c>
      <c r="O13" s="31">
        <f t="shared" si="2"/>
        <v>0</v>
      </c>
      <c r="P13" s="32">
        <v>0</v>
      </c>
      <c r="Q13" s="31">
        <f t="shared" si="3"/>
        <v>0</v>
      </c>
    </row>
    <row r="14" spans="1:17" ht="12.75">
      <c r="A14" s="20" t="s">
        <v>81</v>
      </c>
      <c r="B14" s="23">
        <v>20</v>
      </c>
      <c r="C14" s="22" t="s">
        <v>58</v>
      </c>
      <c r="D14" s="26">
        <f t="shared" si="4"/>
        <v>0</v>
      </c>
      <c r="E14" s="36">
        <f t="shared" si="5"/>
        <v>0</v>
      </c>
      <c r="F14" s="36"/>
      <c r="G14" s="30">
        <f t="shared" si="6"/>
        <v>1</v>
      </c>
      <c r="H14" s="32">
        <v>0</v>
      </c>
      <c r="I14" s="31">
        <f t="shared" si="7"/>
        <v>0</v>
      </c>
      <c r="J14" s="32">
        <v>0</v>
      </c>
      <c r="K14" s="31">
        <f t="shared" si="0"/>
        <v>0</v>
      </c>
      <c r="L14" s="32">
        <v>1</v>
      </c>
      <c r="M14" s="31">
        <f t="shared" si="1"/>
        <v>0</v>
      </c>
      <c r="N14" s="32">
        <v>0</v>
      </c>
      <c r="O14" s="31">
        <f t="shared" si="2"/>
        <v>0</v>
      </c>
      <c r="P14" s="32">
        <v>0</v>
      </c>
      <c r="Q14" s="31">
        <f t="shared" si="3"/>
        <v>0</v>
      </c>
    </row>
    <row r="15" spans="1:17" ht="12.75">
      <c r="A15" s="20" t="s">
        <v>82</v>
      </c>
      <c r="B15" s="23">
        <v>20</v>
      </c>
      <c r="C15" s="22" t="s">
        <v>58</v>
      </c>
      <c r="D15" s="26">
        <f t="shared" si="4"/>
        <v>0</v>
      </c>
      <c r="E15" s="36">
        <f t="shared" si="5"/>
        <v>0</v>
      </c>
      <c r="F15" s="36"/>
      <c r="G15" s="30">
        <f t="shared" si="6"/>
        <v>1</v>
      </c>
      <c r="H15" s="32">
        <v>0</v>
      </c>
      <c r="I15" s="31">
        <f t="shared" si="7"/>
        <v>0</v>
      </c>
      <c r="J15" s="32">
        <v>0</v>
      </c>
      <c r="K15" s="31">
        <f t="shared" si="0"/>
        <v>0</v>
      </c>
      <c r="L15" s="32">
        <v>1</v>
      </c>
      <c r="M15" s="31">
        <f t="shared" si="1"/>
        <v>0</v>
      </c>
      <c r="N15" s="32">
        <v>0</v>
      </c>
      <c r="O15" s="31">
        <f t="shared" si="2"/>
        <v>0</v>
      </c>
      <c r="P15" s="32">
        <v>0</v>
      </c>
      <c r="Q15" s="31">
        <f t="shared" si="3"/>
        <v>0</v>
      </c>
    </row>
    <row r="16" spans="1:17" ht="12.75">
      <c r="A16" s="20" t="s">
        <v>83</v>
      </c>
      <c r="B16" s="23">
        <v>20</v>
      </c>
      <c r="C16" s="22" t="s">
        <v>58</v>
      </c>
      <c r="D16" s="26">
        <f t="shared" si="4"/>
        <v>0</v>
      </c>
      <c r="E16" s="36">
        <f t="shared" si="5"/>
        <v>0</v>
      </c>
      <c r="F16" s="36"/>
      <c r="G16" s="30">
        <f t="shared" si="6"/>
        <v>1</v>
      </c>
      <c r="H16" s="32">
        <v>0</v>
      </c>
      <c r="I16" s="31">
        <f t="shared" si="7"/>
        <v>0</v>
      </c>
      <c r="J16" s="32">
        <v>0</v>
      </c>
      <c r="K16" s="31">
        <f t="shared" si="0"/>
        <v>0</v>
      </c>
      <c r="L16" s="32">
        <v>1</v>
      </c>
      <c r="M16" s="31">
        <f t="shared" si="1"/>
        <v>0</v>
      </c>
      <c r="N16" s="32">
        <v>0</v>
      </c>
      <c r="O16" s="31">
        <f t="shared" si="2"/>
        <v>0</v>
      </c>
      <c r="P16" s="32">
        <v>0</v>
      </c>
      <c r="Q16" s="31">
        <f t="shared" si="3"/>
        <v>0</v>
      </c>
    </row>
    <row r="17" spans="1:17" ht="12.75">
      <c r="A17" s="20" t="s">
        <v>85</v>
      </c>
      <c r="B17" s="23">
        <v>40</v>
      </c>
      <c r="C17" s="22" t="s">
        <v>59</v>
      </c>
      <c r="D17" s="26">
        <f t="shared" si="4"/>
        <v>0</v>
      </c>
      <c r="E17" s="36">
        <f t="shared" si="5"/>
        <v>0</v>
      </c>
      <c r="F17" s="36"/>
      <c r="G17" s="30">
        <f t="shared" si="6"/>
        <v>1</v>
      </c>
      <c r="H17" s="32">
        <v>0</v>
      </c>
      <c r="I17" s="31">
        <f t="shared" si="7"/>
        <v>0</v>
      </c>
      <c r="J17" s="32">
        <v>0</v>
      </c>
      <c r="K17" s="31">
        <f t="shared" si="0"/>
        <v>0</v>
      </c>
      <c r="L17" s="32">
        <v>1</v>
      </c>
      <c r="M17" s="31">
        <f t="shared" si="1"/>
        <v>0</v>
      </c>
      <c r="N17" s="32">
        <v>0</v>
      </c>
      <c r="O17" s="31">
        <f t="shared" si="2"/>
        <v>0</v>
      </c>
      <c r="P17" s="32">
        <v>0</v>
      </c>
      <c r="Q17" s="31">
        <f t="shared" si="3"/>
        <v>0</v>
      </c>
    </row>
    <row r="18" spans="1:17" ht="12.75">
      <c r="A18" s="20" t="s">
        <v>86</v>
      </c>
      <c r="B18" s="23">
        <v>40</v>
      </c>
      <c r="C18" s="22" t="s">
        <v>59</v>
      </c>
      <c r="D18" s="26">
        <f t="shared" si="4"/>
        <v>0</v>
      </c>
      <c r="E18" s="36">
        <f t="shared" si="5"/>
        <v>0</v>
      </c>
      <c r="F18" s="36"/>
      <c r="G18" s="30">
        <f t="shared" si="6"/>
        <v>1</v>
      </c>
      <c r="H18" s="32">
        <v>0</v>
      </c>
      <c r="I18" s="31">
        <f t="shared" si="7"/>
        <v>0</v>
      </c>
      <c r="J18" s="32">
        <v>0</v>
      </c>
      <c r="K18" s="31">
        <f t="shared" si="0"/>
        <v>0</v>
      </c>
      <c r="L18" s="32">
        <v>1</v>
      </c>
      <c r="M18" s="31">
        <f t="shared" si="1"/>
        <v>0</v>
      </c>
      <c r="N18" s="32">
        <v>0</v>
      </c>
      <c r="O18" s="31">
        <f t="shared" si="2"/>
        <v>0</v>
      </c>
      <c r="P18" s="32">
        <v>0</v>
      </c>
      <c r="Q18" s="31">
        <f t="shared" si="3"/>
        <v>0</v>
      </c>
    </row>
    <row r="19" spans="1:17" ht="25.5">
      <c r="A19" s="20" t="s">
        <v>170</v>
      </c>
      <c r="B19" s="23">
        <v>160</v>
      </c>
      <c r="C19" s="22" t="s">
        <v>59</v>
      </c>
      <c r="D19" s="26">
        <f t="shared" si="4"/>
        <v>0</v>
      </c>
      <c r="E19" s="36">
        <f t="shared" si="5"/>
        <v>0</v>
      </c>
      <c r="F19" s="36"/>
      <c r="G19" s="30">
        <f t="shared" si="6"/>
        <v>1</v>
      </c>
      <c r="H19" s="32">
        <v>0</v>
      </c>
      <c r="I19" s="31">
        <f t="shared" si="7"/>
        <v>0</v>
      </c>
      <c r="J19" s="32">
        <v>0</v>
      </c>
      <c r="K19" s="31">
        <f t="shared" si="0"/>
        <v>0</v>
      </c>
      <c r="L19" s="32">
        <v>0</v>
      </c>
      <c r="M19" s="31">
        <f t="shared" si="1"/>
        <v>0</v>
      </c>
      <c r="N19" s="32">
        <v>1</v>
      </c>
      <c r="O19" s="31">
        <f t="shared" si="2"/>
        <v>0</v>
      </c>
      <c r="P19" s="32">
        <v>0</v>
      </c>
      <c r="Q19" s="31">
        <f t="shared" si="3"/>
        <v>0</v>
      </c>
    </row>
    <row r="20" spans="1:17" ht="12.75">
      <c r="A20" s="20" t="s">
        <v>187</v>
      </c>
      <c r="B20" s="23">
        <v>160</v>
      </c>
      <c r="C20" s="22" t="s">
        <v>60</v>
      </c>
      <c r="D20" s="26">
        <f t="shared" si="4"/>
        <v>0</v>
      </c>
      <c r="E20" s="36">
        <f t="shared" si="5"/>
        <v>0</v>
      </c>
      <c r="F20" s="36"/>
      <c r="G20" s="30">
        <f t="shared" si="6"/>
        <v>1</v>
      </c>
      <c r="H20" s="32">
        <v>0.75</v>
      </c>
      <c r="I20" s="31">
        <f t="shared" si="7"/>
        <v>0</v>
      </c>
      <c r="J20" s="32">
        <v>0</v>
      </c>
      <c r="K20" s="31">
        <f t="shared" si="0"/>
        <v>0</v>
      </c>
      <c r="L20" s="32">
        <v>0.25</v>
      </c>
      <c r="M20" s="31">
        <f t="shared" si="1"/>
        <v>0</v>
      </c>
      <c r="N20" s="32">
        <v>0</v>
      </c>
      <c r="O20" s="31">
        <f t="shared" si="2"/>
        <v>0</v>
      </c>
      <c r="P20" s="32">
        <v>0</v>
      </c>
      <c r="Q20" s="31">
        <f t="shared" si="3"/>
        <v>0</v>
      </c>
    </row>
    <row r="21" spans="1:17" ht="25.5">
      <c r="A21" s="20" t="s">
        <v>87</v>
      </c>
      <c r="B21" s="23">
        <v>80</v>
      </c>
      <c r="C21" s="22" t="s">
        <v>88</v>
      </c>
      <c r="D21" s="26">
        <f t="shared" si="4"/>
        <v>0</v>
      </c>
      <c r="E21" s="36">
        <f t="shared" si="5"/>
        <v>0</v>
      </c>
      <c r="F21" s="36"/>
      <c r="G21" s="30">
        <f t="shared" si="6"/>
        <v>1</v>
      </c>
      <c r="H21" s="32">
        <v>0</v>
      </c>
      <c r="I21" s="31">
        <f t="shared" si="7"/>
        <v>0</v>
      </c>
      <c r="J21" s="32">
        <v>0</v>
      </c>
      <c r="K21" s="31">
        <f t="shared" si="0"/>
        <v>0</v>
      </c>
      <c r="L21" s="32">
        <v>1</v>
      </c>
      <c r="M21" s="31">
        <f t="shared" si="1"/>
        <v>0</v>
      </c>
      <c r="N21" s="32">
        <v>0</v>
      </c>
      <c r="O21" s="31">
        <f t="shared" si="2"/>
        <v>0</v>
      </c>
      <c r="P21" s="32">
        <v>0</v>
      </c>
      <c r="Q21" s="31">
        <f t="shared" si="3"/>
        <v>0</v>
      </c>
    </row>
    <row r="22" spans="1:17" ht="12.75">
      <c r="A22" s="20" t="s">
        <v>89</v>
      </c>
      <c r="B22" s="28">
        <v>0.1</v>
      </c>
      <c r="C22" s="22" t="s">
        <v>90</v>
      </c>
      <c r="D22" s="101">
        <f>SUM(E10:E21)</f>
        <v>0</v>
      </c>
      <c r="E22" s="36">
        <f t="shared" si="5"/>
        <v>0</v>
      </c>
      <c r="F22" s="36"/>
      <c r="G22" s="30">
        <f t="shared" si="6"/>
        <v>1</v>
      </c>
      <c r="H22" s="32">
        <v>0</v>
      </c>
      <c r="I22" s="31">
        <f t="shared" si="7"/>
        <v>0</v>
      </c>
      <c r="J22" s="32">
        <v>0</v>
      </c>
      <c r="K22" s="31">
        <f t="shared" si="0"/>
        <v>0</v>
      </c>
      <c r="L22" s="32">
        <v>1</v>
      </c>
      <c r="M22" s="31">
        <f t="shared" si="1"/>
        <v>0</v>
      </c>
      <c r="N22" s="32">
        <v>0</v>
      </c>
      <c r="O22" s="31">
        <f t="shared" si="2"/>
        <v>0</v>
      </c>
      <c r="P22" s="32">
        <v>0</v>
      </c>
      <c r="Q22" s="31">
        <f t="shared" si="3"/>
        <v>0</v>
      </c>
    </row>
    <row r="23" spans="5:6" ht="12.75">
      <c r="E23" s="36"/>
      <c r="F23" s="36"/>
    </row>
    <row r="24" spans="1:17" ht="12.75">
      <c r="A24" s="27" t="s">
        <v>70</v>
      </c>
      <c r="E24" s="37">
        <f>SUM(E10:E23)</f>
        <v>0</v>
      </c>
      <c r="F24" s="37"/>
      <c r="G24" s="37"/>
      <c r="H24" s="37"/>
      <c r="I24" s="37">
        <f>SUM(I10:I23)</f>
        <v>0</v>
      </c>
      <c r="J24" s="37"/>
      <c r="K24" s="37">
        <f>SUM(K10:K23)</f>
        <v>0</v>
      </c>
      <c r="L24" s="37"/>
      <c r="M24" s="37">
        <f>SUM(M10:M23)</f>
        <v>0</v>
      </c>
      <c r="N24" s="37"/>
      <c r="O24" s="37">
        <f>SUM(O10:O23)</f>
        <v>0</v>
      </c>
      <c r="P24" s="37"/>
      <c r="Q24" s="37">
        <f>SUM(Q10:Q23)</f>
        <v>0</v>
      </c>
    </row>
    <row r="25" spans="1:17" ht="12.75">
      <c r="A25" s="27"/>
      <c r="E25" s="37"/>
      <c r="F25" s="37"/>
      <c r="I25" s="27"/>
      <c r="K25" s="27"/>
      <c r="M25" s="27"/>
      <c r="O25" s="27"/>
      <c r="Q25" s="27"/>
    </row>
    <row r="26" spans="1:17" ht="25.5" customHeight="1">
      <c r="A26" s="27"/>
      <c r="E26" s="37"/>
      <c r="F26" s="37"/>
      <c r="G26" s="39" t="s">
        <v>93</v>
      </c>
      <c r="H26" s="232" t="s">
        <v>9</v>
      </c>
      <c r="I26" s="232"/>
      <c r="J26" s="232" t="s">
        <v>10</v>
      </c>
      <c r="K26" s="232"/>
      <c r="L26" s="232" t="s">
        <v>11</v>
      </c>
      <c r="M26" s="232"/>
      <c r="N26" s="232" t="s">
        <v>12</v>
      </c>
      <c r="O26" s="232"/>
      <c r="Q26" s="27"/>
    </row>
    <row r="27" spans="1:15" ht="12.75">
      <c r="A27" s="1" t="s">
        <v>65</v>
      </c>
      <c r="H27" s="22" t="s">
        <v>92</v>
      </c>
      <c r="I27" s="22" t="s">
        <v>63</v>
      </c>
      <c r="J27" s="22" t="s">
        <v>92</v>
      </c>
      <c r="K27" s="22" t="s">
        <v>63</v>
      </c>
      <c r="L27" s="22" t="s">
        <v>92</v>
      </c>
      <c r="M27" s="22" t="s">
        <v>63</v>
      </c>
      <c r="N27" s="22" t="s">
        <v>92</v>
      </c>
      <c r="O27" s="22" t="s">
        <v>63</v>
      </c>
    </row>
    <row r="28" spans="1:15" ht="12.75">
      <c r="A28" s="1"/>
      <c r="H28" s="22"/>
      <c r="I28" s="22"/>
      <c r="J28" s="22"/>
      <c r="K28" s="22"/>
      <c r="L28" s="22"/>
      <c r="M28" s="22"/>
      <c r="N28" s="22"/>
      <c r="O28" s="22"/>
    </row>
    <row r="29" spans="1:17" ht="12.75">
      <c r="A29" s="20" t="s">
        <v>67</v>
      </c>
      <c r="B29" s="23">
        <v>0</v>
      </c>
      <c r="C29" s="22" t="s">
        <v>61</v>
      </c>
      <c r="D29" s="101">
        <f>C40</f>
        <v>22.142857142857142</v>
      </c>
      <c r="E29" s="101">
        <f>D29*$B29</f>
        <v>0</v>
      </c>
      <c r="G29" s="30">
        <f>H29+J29+L29+N29+P29</f>
        <v>1</v>
      </c>
      <c r="H29" s="32">
        <v>0.5</v>
      </c>
      <c r="I29" s="31">
        <f>$E29*H29</f>
        <v>0</v>
      </c>
      <c r="J29" s="32">
        <v>0</v>
      </c>
      <c r="K29" s="31">
        <f>$E29*J29</f>
        <v>0</v>
      </c>
      <c r="L29" s="32">
        <v>0</v>
      </c>
      <c r="M29" s="31">
        <f>$E29*L29</f>
        <v>0</v>
      </c>
      <c r="N29" s="32">
        <v>0.5</v>
      </c>
      <c r="O29" s="31">
        <f>$E29*N29</f>
        <v>0</v>
      </c>
      <c r="P29" s="32"/>
      <c r="Q29" s="31"/>
    </row>
    <row r="30" spans="1:17" ht="25.5">
      <c r="A30" s="20" t="s">
        <v>68</v>
      </c>
      <c r="B30" s="23">
        <v>0</v>
      </c>
      <c r="C30" s="22" t="s">
        <v>61</v>
      </c>
      <c r="D30" s="101">
        <f>SUM(C40:C42)</f>
        <v>147.14285714285714</v>
      </c>
      <c r="E30" s="101">
        <f>D30*$B30</f>
        <v>0</v>
      </c>
      <c r="G30" s="30">
        <f>H30+J30+L30+N30+P30</f>
        <v>1</v>
      </c>
      <c r="H30" s="32">
        <v>0.2</v>
      </c>
      <c r="I30" s="31">
        <f>$E30*H30</f>
        <v>0</v>
      </c>
      <c r="J30" s="32">
        <v>0</v>
      </c>
      <c r="K30" s="31">
        <f>$E30*J30</f>
        <v>0</v>
      </c>
      <c r="L30" s="32">
        <v>0</v>
      </c>
      <c r="M30" s="31">
        <f>$E30*L30</f>
        <v>0</v>
      </c>
      <c r="N30" s="32">
        <v>0.8</v>
      </c>
      <c r="O30" s="31">
        <f>$E30*N30</f>
        <v>0</v>
      </c>
      <c r="P30" s="32"/>
      <c r="Q30" s="31"/>
    </row>
    <row r="31" spans="1:17" ht="12.75">
      <c r="A31" t="s">
        <v>66</v>
      </c>
      <c r="B31" s="23">
        <v>0</v>
      </c>
      <c r="C31" s="22" t="s">
        <v>58</v>
      </c>
      <c r="D31" s="101">
        <f>D11+D12+D13+D14</f>
        <v>0</v>
      </c>
      <c r="E31" s="101">
        <f>D31*$B31</f>
        <v>0</v>
      </c>
      <c r="G31" s="30">
        <f>H31+J31+L31+N31+P31</f>
        <v>1</v>
      </c>
      <c r="H31" s="32">
        <v>0</v>
      </c>
      <c r="I31" s="31">
        <f>$E31*H31</f>
        <v>0</v>
      </c>
      <c r="J31" s="32">
        <v>0</v>
      </c>
      <c r="K31" s="31">
        <f>$E31*J31</f>
        <v>0</v>
      </c>
      <c r="L31" s="32">
        <v>0</v>
      </c>
      <c r="M31" s="31">
        <f>$E31*L31</f>
        <v>0</v>
      </c>
      <c r="N31" s="32">
        <v>1</v>
      </c>
      <c r="O31" s="31">
        <f>$E31*N31</f>
        <v>0</v>
      </c>
      <c r="P31" s="32"/>
      <c r="Q31" s="31"/>
    </row>
    <row r="32" spans="1:17" ht="25.5">
      <c r="A32" s="20" t="s">
        <v>80</v>
      </c>
      <c r="B32" s="23">
        <v>0</v>
      </c>
      <c r="C32" s="22" t="s">
        <v>61</v>
      </c>
      <c r="D32" s="101">
        <f>C42</f>
        <v>52.57142857142857</v>
      </c>
      <c r="E32" s="101">
        <f>D32*$B32</f>
        <v>0</v>
      </c>
      <c r="G32" s="30">
        <f>H32+J32+L32+N32+P32</f>
        <v>1</v>
      </c>
      <c r="H32" s="32">
        <v>0.25</v>
      </c>
      <c r="I32" s="31">
        <f>$E32*H32</f>
        <v>0</v>
      </c>
      <c r="J32" s="32">
        <v>0.75</v>
      </c>
      <c r="K32" s="31">
        <f>$E32*J32</f>
        <v>0</v>
      </c>
      <c r="L32" s="32">
        <v>0</v>
      </c>
      <c r="M32" s="31">
        <f>$E32*L32</f>
        <v>0</v>
      </c>
      <c r="N32" s="32">
        <v>0</v>
      </c>
      <c r="O32" s="31">
        <f>$E32*N32</f>
        <v>0</v>
      </c>
      <c r="P32" s="32"/>
      <c r="Q32" s="31"/>
    </row>
    <row r="34" spans="1:17" ht="12.75">
      <c r="A34" s="27" t="s">
        <v>70</v>
      </c>
      <c r="E34" s="37">
        <f>SUM(E29:E33)</f>
        <v>0</v>
      </c>
      <c r="F34" s="37"/>
      <c r="G34" s="37"/>
      <c r="H34" s="37"/>
      <c r="I34" s="37">
        <f>SUM(I29:I33)</f>
        <v>0</v>
      </c>
      <c r="J34" s="37"/>
      <c r="K34" s="37">
        <f>SUM(K29:K33)</f>
        <v>0</v>
      </c>
      <c r="L34" s="37"/>
      <c r="M34" s="37">
        <f>SUM(M29:M33)</f>
        <v>0</v>
      </c>
      <c r="N34" s="37"/>
      <c r="O34" s="37">
        <f>SUM(O29:O33)</f>
        <v>0</v>
      </c>
      <c r="Q34" s="27"/>
    </row>
    <row r="37" spans="1:4" ht="25.5">
      <c r="A37" s="1" t="s">
        <v>72</v>
      </c>
      <c r="B37" s="25" t="s">
        <v>77</v>
      </c>
      <c r="C37" s="3" t="s">
        <v>79</v>
      </c>
      <c r="D37" s="25" t="s">
        <v>78</v>
      </c>
    </row>
    <row r="38" spans="1:14" ht="12.75">
      <c r="A38" t="s">
        <v>171</v>
      </c>
      <c r="B38" s="33">
        <v>37712</v>
      </c>
      <c r="C38" s="101">
        <f>(D38-B38)/7</f>
        <v>30.571428571428573</v>
      </c>
      <c r="D38" s="34">
        <v>37926</v>
      </c>
      <c r="K38" s="232"/>
      <c r="L38" s="232"/>
      <c r="M38" s="232"/>
      <c r="N38" s="232"/>
    </row>
    <row r="39" spans="1:4" ht="12.75">
      <c r="A39" t="s">
        <v>73</v>
      </c>
      <c r="B39" s="34">
        <f>D38</f>
        <v>37926</v>
      </c>
      <c r="C39" s="101">
        <f>(D39-B39)/7</f>
        <v>39.142857142857146</v>
      </c>
      <c r="D39" s="34">
        <v>38200</v>
      </c>
    </row>
    <row r="40" spans="1:4" ht="12.75">
      <c r="A40" t="s">
        <v>74</v>
      </c>
      <c r="B40" s="34">
        <v>38169</v>
      </c>
      <c r="C40" s="101">
        <f>(D40-B40)/7</f>
        <v>22.142857142857142</v>
      </c>
      <c r="D40" s="34">
        <v>38324</v>
      </c>
    </row>
    <row r="41" spans="1:4" ht="12.75">
      <c r="A41" t="s">
        <v>76</v>
      </c>
      <c r="B41" s="34">
        <v>38353</v>
      </c>
      <c r="C41" s="101">
        <f>(D41-B41)/7</f>
        <v>72.42857142857143</v>
      </c>
      <c r="D41" s="34">
        <v>38860</v>
      </c>
    </row>
    <row r="42" spans="1:4" ht="12.75">
      <c r="A42" t="s">
        <v>75</v>
      </c>
      <c r="B42" s="34">
        <v>38623</v>
      </c>
      <c r="C42" s="101">
        <f>(D42-B42)/7</f>
        <v>52.57142857142857</v>
      </c>
      <c r="D42" s="35">
        <v>38991</v>
      </c>
    </row>
    <row r="46" ht="12.75">
      <c r="A46" s="1" t="s">
        <v>95</v>
      </c>
    </row>
    <row r="48" ht="12.75">
      <c r="A48" s="1"/>
    </row>
    <row r="49" spans="2:11" ht="12.75">
      <c r="B49" t="s">
        <v>174</v>
      </c>
      <c r="D49" s="106"/>
      <c r="E49" s="106"/>
      <c r="F49" s="106"/>
      <c r="G49" s="106"/>
      <c r="H49" s="106"/>
      <c r="I49" s="106"/>
      <c r="J49" s="105"/>
      <c r="K49" s="105"/>
    </row>
    <row r="50" spans="1:2" ht="12.75">
      <c r="A50" t="s">
        <v>50</v>
      </c>
      <c r="B50">
        <f>3*C50</f>
        <v>0</v>
      </c>
    </row>
    <row r="51" spans="1:2" ht="12.75">
      <c r="A51" t="s">
        <v>51</v>
      </c>
      <c r="B51">
        <f aca="true" t="shared" si="8" ref="B51:B58">3*C51</f>
        <v>0</v>
      </c>
    </row>
    <row r="52" spans="1:2" ht="12.75">
      <c r="A52" t="s">
        <v>52</v>
      </c>
      <c r="B52">
        <f t="shared" si="8"/>
        <v>0</v>
      </c>
    </row>
    <row r="53" spans="1:2" ht="12.75">
      <c r="A53" t="s">
        <v>53</v>
      </c>
      <c r="B53">
        <f t="shared" si="8"/>
        <v>0</v>
      </c>
    </row>
    <row r="54" spans="1:2" ht="12.75">
      <c r="A54" t="s">
        <v>81</v>
      </c>
      <c r="B54">
        <f t="shared" si="8"/>
        <v>0</v>
      </c>
    </row>
    <row r="55" spans="1:2" ht="12.75">
      <c r="A55" t="s">
        <v>82</v>
      </c>
      <c r="B55">
        <f t="shared" si="8"/>
        <v>0</v>
      </c>
    </row>
    <row r="56" spans="1:2" ht="12.75">
      <c r="A56" t="s">
        <v>83</v>
      </c>
      <c r="B56">
        <f t="shared" si="8"/>
        <v>0</v>
      </c>
    </row>
    <row r="57" spans="1:2" ht="12.75">
      <c r="A57" s="20" t="s">
        <v>85</v>
      </c>
      <c r="B57">
        <f t="shared" si="8"/>
        <v>0</v>
      </c>
    </row>
    <row r="58" spans="1:2" ht="12.75">
      <c r="A58" s="20" t="s">
        <v>86</v>
      </c>
      <c r="B58">
        <f t="shared" si="8"/>
        <v>0</v>
      </c>
    </row>
    <row r="59" spans="1:2" ht="12.75">
      <c r="A59" t="s">
        <v>84</v>
      </c>
      <c r="B59">
        <v>0</v>
      </c>
    </row>
    <row r="60" spans="1:2" ht="12.75">
      <c r="A60" t="s">
        <v>91</v>
      </c>
      <c r="B60">
        <v>0</v>
      </c>
    </row>
    <row r="61" spans="1:2" ht="12.75">
      <c r="A61" t="s">
        <v>87</v>
      </c>
      <c r="B61">
        <v>0</v>
      </c>
    </row>
    <row r="62" spans="1:2" ht="12.75">
      <c r="A62" t="s">
        <v>89</v>
      </c>
      <c r="B62" s="29">
        <v>0.15</v>
      </c>
    </row>
    <row r="66" ht="12.75">
      <c r="A66" s="20"/>
    </row>
    <row r="67" ht="12.75">
      <c r="A67" s="20"/>
    </row>
  </sheetData>
  <mergeCells count="14">
    <mergeCell ref="H26:I26"/>
    <mergeCell ref="E8:F8"/>
    <mergeCell ref="A6:F7"/>
    <mergeCell ref="G6:Q6"/>
    <mergeCell ref="N7:O7"/>
    <mergeCell ref="P7:Q7"/>
    <mergeCell ref="H7:I7"/>
    <mergeCell ref="J7:K7"/>
    <mergeCell ref="L7:M7"/>
    <mergeCell ref="K38:L38"/>
    <mergeCell ref="M38:N38"/>
    <mergeCell ref="J26:K26"/>
    <mergeCell ref="L26:M26"/>
    <mergeCell ref="N26:O26"/>
  </mergeCells>
  <printOptions/>
  <pageMargins left="0.75" right="0.75" top="1" bottom="1" header="0.5" footer="0.5"/>
  <pageSetup fitToHeight="2" horizontalDpi="300" verticalDpi="300" orientation="landscape" scale="87" r:id="rId1"/>
  <headerFooter alignWithMargins="0">
    <oddHeader xml:space="preserve">&amp;C&amp;"Arial,Bold"&amp;14NCSX Fabrication Project Cost and Schedule  </oddHeader>
    <oddFooter>&amp;C&amp;"Arial,Bold"&amp;P</oddFooter>
  </headerFooter>
  <rowBreaks count="2" manualBreakCount="2">
    <brk id="25" max="16" man="1"/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95"/>
  <sheetViews>
    <sheetView workbookViewId="0" topLeftCell="A1">
      <selection activeCell="E104" sqref="E104"/>
    </sheetView>
  </sheetViews>
  <sheetFormatPr defaultColWidth="9.140625" defaultRowHeight="12.75"/>
  <cols>
    <col min="1" max="1" width="29.57421875" style="0" customWidth="1"/>
    <col min="2" max="2" width="8.7109375" style="0" customWidth="1"/>
    <col min="4" max="4" width="7.140625" style="0" customWidth="1"/>
    <col min="5" max="5" width="6.28125" style="0" customWidth="1"/>
    <col min="6" max="6" width="2.28125" style="0" customWidth="1"/>
    <col min="7" max="7" width="6.7109375" style="0" customWidth="1"/>
    <col min="8" max="8" width="5.7109375" style="0" customWidth="1"/>
    <col min="9" max="9" width="5.00390625" style="0" customWidth="1"/>
    <col min="10" max="10" width="5.7109375" style="0" customWidth="1"/>
    <col min="11" max="11" width="5.00390625" style="0" customWidth="1"/>
    <col min="12" max="12" width="5.7109375" style="0" customWidth="1"/>
    <col min="13" max="13" width="4.7109375" style="0" customWidth="1"/>
    <col min="14" max="14" width="5.7109375" style="0" customWidth="1"/>
    <col min="15" max="15" width="5.140625" style="0" customWidth="1"/>
    <col min="16" max="16" width="5.7109375" style="0" customWidth="1"/>
    <col min="17" max="17" width="5.140625" style="0" customWidth="1"/>
    <col min="18" max="19" width="5.7109375" style="0" customWidth="1"/>
  </cols>
  <sheetData>
    <row r="1" ht="20.25">
      <c r="A1" s="63" t="str">
        <f>'Fab Project'!A1</f>
        <v>WBS 185 Assembly of Field Periods</v>
      </c>
    </row>
    <row r="3" spans="1:17" ht="18.75" thickBot="1">
      <c r="A3" s="72" t="s">
        <v>99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ht="12.75">
      <c r="A4" s="1"/>
    </row>
    <row r="5" ht="12.75">
      <c r="A5" s="1" t="s">
        <v>71</v>
      </c>
    </row>
    <row r="6" spans="1:5" ht="21.75" customHeight="1">
      <c r="A6" s="234" t="s">
        <v>285</v>
      </c>
      <c r="B6" s="234"/>
      <c r="C6" s="234"/>
      <c r="D6" s="234"/>
      <c r="E6" s="234"/>
    </row>
    <row r="7" spans="1:5" ht="39" customHeight="1">
      <c r="A7" s="234"/>
      <c r="B7" s="234"/>
      <c r="C7" s="234"/>
      <c r="D7" s="234"/>
      <c r="E7" s="234"/>
    </row>
    <row r="8" spans="1:27" ht="12.75">
      <c r="A8" s="13" t="s">
        <v>105</v>
      </c>
      <c r="B8" s="38"/>
      <c r="C8" s="26"/>
      <c r="D8" s="26"/>
      <c r="E8" s="26"/>
      <c r="F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102"/>
    </row>
    <row r="9" spans="6:20" ht="12.75">
      <c r="F9" s="234"/>
      <c r="G9" s="234"/>
      <c r="P9" s="26"/>
      <c r="Q9" s="26"/>
      <c r="R9" s="26"/>
      <c r="S9" s="26"/>
      <c r="T9" s="102"/>
    </row>
    <row r="10" spans="1:19" ht="12.75">
      <c r="A10" s="14" t="s">
        <v>16</v>
      </c>
      <c r="B10" s="49"/>
      <c r="C10" s="47"/>
      <c r="F10" s="24"/>
      <c r="G10" s="24"/>
      <c r="P10" s="38"/>
      <c r="Q10" s="38"/>
      <c r="R10" s="38"/>
      <c r="S10" s="38"/>
    </row>
    <row r="11" spans="1:19" ht="12.75">
      <c r="A11" s="14"/>
      <c r="B11" s="49"/>
      <c r="C11" s="47"/>
      <c r="F11" s="24"/>
      <c r="G11" s="24"/>
      <c r="P11" s="38"/>
      <c r="Q11" s="38"/>
      <c r="R11" s="38"/>
      <c r="S11" s="38"/>
    </row>
    <row r="12" spans="1:19" ht="12.75">
      <c r="A12" s="14"/>
      <c r="B12" s="49"/>
      <c r="C12" s="47"/>
      <c r="F12" s="24"/>
      <c r="G12" s="24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.75">
      <c r="A13" s="27" t="s">
        <v>70</v>
      </c>
      <c r="B13" s="49">
        <f>ROUND(SUM(B11:B12),-1)</f>
        <v>0</v>
      </c>
      <c r="C13" s="47" t="s">
        <v>125</v>
      </c>
      <c r="F13" s="24"/>
      <c r="G13" s="2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2:19" ht="12.75">
      <c r="B14" s="48"/>
      <c r="F14" s="24"/>
      <c r="G14" s="2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2.75">
      <c r="A15" s="14" t="s">
        <v>15</v>
      </c>
      <c r="F15" s="234"/>
      <c r="G15" s="234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2.75">
      <c r="A16" s="14"/>
      <c r="B16" s="49"/>
      <c r="F16" s="24"/>
      <c r="G16" s="24"/>
      <c r="H16" s="61"/>
      <c r="I16" s="38"/>
      <c r="J16" s="103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2.75">
      <c r="A17" s="14"/>
      <c r="B17" s="49"/>
      <c r="F17" s="24"/>
      <c r="G17" s="24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.75">
      <c r="A18" s="14"/>
      <c r="B18" s="49"/>
      <c r="F18" s="24"/>
      <c r="G18" s="2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.75">
      <c r="A19" s="14"/>
      <c r="B19" s="49"/>
      <c r="F19" s="24"/>
      <c r="G19" s="2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.75">
      <c r="A20" s="14"/>
      <c r="B20" s="49"/>
      <c r="F20" s="24"/>
      <c r="G20" s="2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.75">
      <c r="A21" s="27" t="s">
        <v>70</v>
      </c>
      <c r="B21" s="109">
        <f>ROUND(SUM(B16:B20),-1)</f>
        <v>0</v>
      </c>
      <c r="C21" t="s">
        <v>125</v>
      </c>
      <c r="F21" s="24"/>
      <c r="G21" s="24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.75">
      <c r="A22" s="27"/>
      <c r="B22" s="49"/>
      <c r="F22" s="24"/>
      <c r="G22" s="24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.75">
      <c r="A23" s="27"/>
      <c r="B23" s="49"/>
      <c r="F23" s="24"/>
      <c r="G23" s="24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.75">
      <c r="A24" s="13" t="s">
        <v>184</v>
      </c>
      <c r="B24" s="26"/>
      <c r="C24" s="26"/>
      <c r="D24" s="26"/>
      <c r="E24" s="26"/>
      <c r="F24" s="26"/>
      <c r="G24" s="26"/>
      <c r="H24" s="26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.75">
      <c r="A25" s="61" t="s">
        <v>178</v>
      </c>
      <c r="B25" s="48">
        <f>'M&amp;S'!B8</f>
        <v>120</v>
      </c>
      <c r="C25" t="s">
        <v>116</v>
      </c>
      <c r="D25" s="26"/>
      <c r="H25" s="2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.75">
      <c r="A26" s="14" t="s">
        <v>123</v>
      </c>
      <c r="B26" s="48">
        <f>'M&amp;S'!B9</f>
        <v>60</v>
      </c>
      <c r="C26" t="s">
        <v>116</v>
      </c>
      <c r="D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.75">
      <c r="A27" s="14" t="s">
        <v>124</v>
      </c>
      <c r="B27" s="48">
        <f>'M&amp;S'!B10</f>
        <v>80</v>
      </c>
      <c r="C27" t="s">
        <v>116</v>
      </c>
      <c r="D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.75">
      <c r="A28" s="27"/>
      <c r="B28" s="49"/>
      <c r="F28" s="24"/>
      <c r="G28" s="2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>
      <c r="A29" s="14"/>
      <c r="B29" s="49"/>
      <c r="F29" s="24"/>
      <c r="G29" s="2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.75">
      <c r="A30" s="14"/>
      <c r="B30" s="49"/>
      <c r="F30" s="24"/>
      <c r="G30" s="2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>
      <c r="A31" s="14"/>
      <c r="F31" s="24"/>
      <c r="G31" s="2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>
      <c r="A32" s="14"/>
      <c r="B32" s="49"/>
      <c r="F32" s="24"/>
      <c r="G32" s="24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6:7" ht="12.75">
      <c r="F33" s="234"/>
      <c r="G33" s="234"/>
    </row>
    <row r="34" spans="6:17" ht="12.75">
      <c r="F34" s="227" t="s">
        <v>98</v>
      </c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</row>
    <row r="35" spans="1:17" ht="20.25" customHeight="1">
      <c r="A35" s="1" t="s">
        <v>106</v>
      </c>
      <c r="B35" s="11"/>
      <c r="C35" s="24"/>
      <c r="D35" s="24"/>
      <c r="E35" s="24"/>
      <c r="G35" s="238" t="s">
        <v>93</v>
      </c>
      <c r="H35" s="237" t="s">
        <v>9</v>
      </c>
      <c r="I35" s="237"/>
      <c r="J35" s="237" t="s">
        <v>11</v>
      </c>
      <c r="K35" s="237"/>
      <c r="L35" s="237" t="s">
        <v>12</v>
      </c>
      <c r="M35" s="237"/>
      <c r="N35" s="237" t="s">
        <v>10</v>
      </c>
      <c r="O35" s="237"/>
      <c r="P35" s="237" t="s">
        <v>104</v>
      </c>
      <c r="Q35" s="237"/>
    </row>
    <row r="36" spans="1:17" ht="12.75">
      <c r="A36" s="10"/>
      <c r="C36" s="25" t="s">
        <v>55</v>
      </c>
      <c r="D36" s="25" t="s">
        <v>56</v>
      </c>
      <c r="E36" s="233" t="s">
        <v>94</v>
      </c>
      <c r="F36" s="233"/>
      <c r="G36" s="238"/>
      <c r="H36" s="22" t="s">
        <v>92</v>
      </c>
      <c r="I36" s="22" t="s">
        <v>63</v>
      </c>
      <c r="J36" s="22" t="s">
        <v>92</v>
      </c>
      <c r="K36" s="22" t="s">
        <v>63</v>
      </c>
      <c r="L36" s="22" t="s">
        <v>92</v>
      </c>
      <c r="M36" s="22" t="s">
        <v>63</v>
      </c>
      <c r="N36" s="22" t="s">
        <v>92</v>
      </c>
      <c r="O36" s="22" t="s">
        <v>63</v>
      </c>
      <c r="P36" s="22" t="s">
        <v>92</v>
      </c>
      <c r="Q36" s="22" t="s">
        <v>63</v>
      </c>
    </row>
    <row r="37" ht="12.75">
      <c r="A37" s="1" t="s">
        <v>100</v>
      </c>
    </row>
    <row r="38" spans="1:17" ht="12.75">
      <c r="A38" t="s">
        <v>50</v>
      </c>
      <c r="B38" s="23">
        <v>12</v>
      </c>
      <c r="C38" s="22" t="s">
        <v>57</v>
      </c>
      <c r="D38" s="23">
        <f>B82</f>
        <v>0</v>
      </c>
      <c r="E38" s="36">
        <f>D38*$B38</f>
        <v>0</v>
      </c>
      <c r="F38" s="36"/>
      <c r="G38" s="30">
        <f>H38+J38+L38+N38+P38+Q38</f>
        <v>1</v>
      </c>
      <c r="H38" s="32">
        <v>0</v>
      </c>
      <c r="I38" s="31">
        <f>$E38*H38</f>
        <v>0</v>
      </c>
      <c r="J38" s="32">
        <v>0</v>
      </c>
      <c r="K38" s="31">
        <f>$E38*J38</f>
        <v>0</v>
      </c>
      <c r="L38" s="32">
        <v>1</v>
      </c>
      <c r="M38" s="31">
        <f>$E38*L38</f>
        <v>0</v>
      </c>
      <c r="N38" s="32">
        <v>0</v>
      </c>
      <c r="O38" s="31">
        <f>$E38*N38</f>
        <v>0</v>
      </c>
      <c r="P38" s="32">
        <v>0</v>
      </c>
      <c r="Q38" s="31">
        <f aca="true" t="shared" si="0" ref="Q38:Q51">$E38*P38</f>
        <v>0</v>
      </c>
    </row>
    <row r="39" spans="1:17" ht="12.75">
      <c r="A39" t="s">
        <v>51</v>
      </c>
      <c r="B39" s="23">
        <v>20</v>
      </c>
      <c r="C39" s="22" t="s">
        <v>58</v>
      </c>
      <c r="D39" s="23">
        <f aca="true" t="shared" si="1" ref="D39:D46">B83</f>
        <v>0</v>
      </c>
      <c r="E39" s="36">
        <f aca="true" t="shared" si="2" ref="E39:E51">D39*$B39</f>
        <v>0</v>
      </c>
      <c r="F39" s="36"/>
      <c r="G39" s="30">
        <f aca="true" t="shared" si="3" ref="G39:G51">H39+J39+L39+N39+P39+Q39</f>
        <v>1</v>
      </c>
      <c r="H39" s="32">
        <v>0</v>
      </c>
      <c r="I39" s="31">
        <f aca="true" t="shared" si="4" ref="I39:K51">$E39*H39</f>
        <v>0</v>
      </c>
      <c r="J39" s="32">
        <v>0</v>
      </c>
      <c r="K39" s="31">
        <f t="shared" si="4"/>
        <v>0</v>
      </c>
      <c r="L39" s="32">
        <v>1</v>
      </c>
      <c r="M39" s="31">
        <f aca="true" t="shared" si="5" ref="M39:M51">$E39*L39</f>
        <v>0</v>
      </c>
      <c r="N39" s="32">
        <v>0</v>
      </c>
      <c r="O39" s="31">
        <f aca="true" t="shared" si="6" ref="O39:O51">$E39*N39</f>
        <v>0</v>
      </c>
      <c r="P39" s="32">
        <v>0</v>
      </c>
      <c r="Q39" s="31">
        <f t="shared" si="0"/>
        <v>0</v>
      </c>
    </row>
    <row r="40" spans="1:17" ht="12.75">
      <c r="A40" t="s">
        <v>52</v>
      </c>
      <c r="B40" s="23">
        <v>8</v>
      </c>
      <c r="C40" s="22" t="s">
        <v>58</v>
      </c>
      <c r="D40" s="23">
        <f t="shared" si="1"/>
        <v>0</v>
      </c>
      <c r="E40" s="36">
        <f t="shared" si="2"/>
        <v>0</v>
      </c>
      <c r="F40" s="36"/>
      <c r="G40" s="30">
        <f t="shared" si="3"/>
        <v>1</v>
      </c>
      <c r="H40" s="32">
        <v>0</v>
      </c>
      <c r="I40" s="31">
        <f t="shared" si="4"/>
        <v>0</v>
      </c>
      <c r="J40" s="32">
        <v>0</v>
      </c>
      <c r="K40" s="31">
        <f t="shared" si="4"/>
        <v>0</v>
      </c>
      <c r="L40" s="32">
        <v>1</v>
      </c>
      <c r="M40" s="31">
        <f t="shared" si="5"/>
        <v>0</v>
      </c>
      <c r="N40" s="32">
        <v>0</v>
      </c>
      <c r="O40" s="31">
        <f t="shared" si="6"/>
        <v>0</v>
      </c>
      <c r="P40" s="32">
        <v>0</v>
      </c>
      <c r="Q40" s="31">
        <f t="shared" si="0"/>
        <v>0</v>
      </c>
    </row>
    <row r="41" spans="1:17" ht="12.75">
      <c r="A41" t="s">
        <v>53</v>
      </c>
      <c r="B41" s="23">
        <v>0</v>
      </c>
      <c r="C41" s="22" t="s">
        <v>58</v>
      </c>
      <c r="D41" s="23">
        <f t="shared" si="1"/>
        <v>0</v>
      </c>
      <c r="E41" s="36">
        <f t="shared" si="2"/>
        <v>0</v>
      </c>
      <c r="F41" s="36"/>
      <c r="G41" s="30">
        <f t="shared" si="3"/>
        <v>1</v>
      </c>
      <c r="H41" s="32">
        <v>0</v>
      </c>
      <c r="I41" s="31">
        <f t="shared" si="4"/>
        <v>0</v>
      </c>
      <c r="J41" s="32">
        <v>0</v>
      </c>
      <c r="K41" s="31">
        <f t="shared" si="4"/>
        <v>0</v>
      </c>
      <c r="L41" s="32">
        <v>1</v>
      </c>
      <c r="M41" s="31">
        <f t="shared" si="5"/>
        <v>0</v>
      </c>
      <c r="N41" s="32">
        <v>0</v>
      </c>
      <c r="O41" s="31">
        <f t="shared" si="6"/>
        <v>0</v>
      </c>
      <c r="P41" s="32">
        <v>0</v>
      </c>
      <c r="Q41" s="31">
        <f t="shared" si="0"/>
        <v>0</v>
      </c>
    </row>
    <row r="42" spans="1:17" ht="12.75">
      <c r="A42" t="s">
        <v>81</v>
      </c>
      <c r="B42" s="23">
        <v>0</v>
      </c>
      <c r="C42" s="22" t="s">
        <v>58</v>
      </c>
      <c r="D42" s="23">
        <f t="shared" si="1"/>
        <v>0</v>
      </c>
      <c r="E42" s="36">
        <f t="shared" si="2"/>
        <v>0</v>
      </c>
      <c r="F42" s="36"/>
      <c r="G42" s="30">
        <f t="shared" si="3"/>
        <v>1</v>
      </c>
      <c r="H42" s="32">
        <v>0</v>
      </c>
      <c r="I42" s="31">
        <f t="shared" si="4"/>
        <v>0</v>
      </c>
      <c r="J42" s="32">
        <v>0</v>
      </c>
      <c r="K42" s="31">
        <f t="shared" si="4"/>
        <v>0</v>
      </c>
      <c r="L42" s="32">
        <v>1</v>
      </c>
      <c r="M42" s="31">
        <f t="shared" si="5"/>
        <v>0</v>
      </c>
      <c r="N42" s="32">
        <v>0</v>
      </c>
      <c r="O42" s="31">
        <f t="shared" si="6"/>
        <v>0</v>
      </c>
      <c r="P42" s="32">
        <v>0</v>
      </c>
      <c r="Q42" s="31">
        <f t="shared" si="0"/>
        <v>0</v>
      </c>
    </row>
    <row r="43" spans="1:17" ht="12.75">
      <c r="A43" t="s">
        <v>82</v>
      </c>
      <c r="B43" s="23">
        <v>0</v>
      </c>
      <c r="C43" s="22" t="s">
        <v>58</v>
      </c>
      <c r="D43" s="23">
        <f t="shared" si="1"/>
        <v>0</v>
      </c>
      <c r="E43" s="36">
        <f t="shared" si="2"/>
        <v>0</v>
      </c>
      <c r="F43" s="36"/>
      <c r="G43" s="30">
        <f t="shared" si="3"/>
        <v>1</v>
      </c>
      <c r="H43" s="32">
        <v>0</v>
      </c>
      <c r="I43" s="31">
        <f t="shared" si="4"/>
        <v>0</v>
      </c>
      <c r="J43" s="32">
        <v>0</v>
      </c>
      <c r="K43" s="31">
        <f t="shared" si="4"/>
        <v>0</v>
      </c>
      <c r="L43" s="32">
        <v>1</v>
      </c>
      <c r="M43" s="31">
        <f t="shared" si="5"/>
        <v>0</v>
      </c>
      <c r="N43" s="32">
        <v>0</v>
      </c>
      <c r="O43" s="31">
        <f t="shared" si="6"/>
        <v>0</v>
      </c>
      <c r="P43" s="32">
        <v>0</v>
      </c>
      <c r="Q43" s="31">
        <f t="shared" si="0"/>
        <v>0</v>
      </c>
    </row>
    <row r="44" spans="1:17" ht="12.75">
      <c r="A44" t="s">
        <v>83</v>
      </c>
      <c r="B44" s="23">
        <v>0</v>
      </c>
      <c r="C44" s="22" t="s">
        <v>58</v>
      </c>
      <c r="D44" s="23">
        <f t="shared" si="1"/>
        <v>0</v>
      </c>
      <c r="E44" s="36">
        <f t="shared" si="2"/>
        <v>0</v>
      </c>
      <c r="F44" s="36"/>
      <c r="G44" s="30">
        <f t="shared" si="3"/>
        <v>1</v>
      </c>
      <c r="H44" s="32">
        <v>0</v>
      </c>
      <c r="I44" s="31">
        <f t="shared" si="4"/>
        <v>0</v>
      </c>
      <c r="J44" s="32">
        <v>0</v>
      </c>
      <c r="K44" s="31">
        <f t="shared" si="4"/>
        <v>0</v>
      </c>
      <c r="L44" s="32">
        <v>1</v>
      </c>
      <c r="M44" s="31">
        <f t="shared" si="5"/>
        <v>0</v>
      </c>
      <c r="N44" s="32">
        <v>0</v>
      </c>
      <c r="O44" s="31">
        <f t="shared" si="6"/>
        <v>0</v>
      </c>
      <c r="P44" s="32">
        <v>0</v>
      </c>
      <c r="Q44" s="31">
        <f t="shared" si="0"/>
        <v>0</v>
      </c>
    </row>
    <row r="45" spans="1:17" ht="12.75">
      <c r="A45" t="s">
        <v>84</v>
      </c>
      <c r="B45" s="23">
        <v>0</v>
      </c>
      <c r="C45" s="22" t="s">
        <v>59</v>
      </c>
      <c r="D45" s="23">
        <f t="shared" si="1"/>
        <v>0</v>
      </c>
      <c r="E45" s="36">
        <f t="shared" si="2"/>
        <v>0</v>
      </c>
      <c r="F45" s="36"/>
      <c r="G45" s="30">
        <f t="shared" si="3"/>
        <v>1</v>
      </c>
      <c r="H45" s="32">
        <v>0</v>
      </c>
      <c r="I45" s="31">
        <f t="shared" si="4"/>
        <v>0</v>
      </c>
      <c r="J45" s="32">
        <v>0</v>
      </c>
      <c r="K45" s="31">
        <f t="shared" si="4"/>
        <v>0</v>
      </c>
      <c r="L45" s="32">
        <v>1</v>
      </c>
      <c r="M45" s="31">
        <f t="shared" si="5"/>
        <v>0</v>
      </c>
      <c r="N45" s="32">
        <v>0</v>
      </c>
      <c r="O45" s="31">
        <f t="shared" si="6"/>
        <v>0</v>
      </c>
      <c r="P45" s="32">
        <v>0</v>
      </c>
      <c r="Q45" s="31">
        <f t="shared" si="0"/>
        <v>0</v>
      </c>
    </row>
    <row r="46" spans="1:17" ht="12.75">
      <c r="A46" t="s">
        <v>91</v>
      </c>
      <c r="B46" s="23">
        <v>40</v>
      </c>
      <c r="C46" s="22" t="s">
        <v>60</v>
      </c>
      <c r="D46" s="23">
        <f t="shared" si="1"/>
        <v>0</v>
      </c>
      <c r="E46" s="36">
        <f t="shared" si="2"/>
        <v>0</v>
      </c>
      <c r="F46" s="36"/>
      <c r="G46" s="30">
        <f t="shared" si="3"/>
        <v>1</v>
      </c>
      <c r="H46" s="32">
        <v>0</v>
      </c>
      <c r="I46" s="31">
        <f t="shared" si="4"/>
        <v>0</v>
      </c>
      <c r="J46" s="32">
        <v>0</v>
      </c>
      <c r="K46" s="31">
        <f t="shared" si="4"/>
        <v>0</v>
      </c>
      <c r="L46" s="32">
        <v>1</v>
      </c>
      <c r="M46" s="31">
        <f t="shared" si="5"/>
        <v>0</v>
      </c>
      <c r="N46" s="32">
        <v>0</v>
      </c>
      <c r="O46" s="31">
        <f t="shared" si="6"/>
        <v>0</v>
      </c>
      <c r="P46" s="32">
        <v>0</v>
      </c>
      <c r="Q46" s="31">
        <f t="shared" si="0"/>
        <v>0</v>
      </c>
    </row>
    <row r="47" spans="1:17" ht="12.75">
      <c r="A47" t="s">
        <v>130</v>
      </c>
      <c r="B47" s="23">
        <v>0</v>
      </c>
      <c r="C47" s="22" t="s">
        <v>58</v>
      </c>
      <c r="D47" s="23">
        <v>0</v>
      </c>
      <c r="E47" s="36">
        <f>D47*$B47</f>
        <v>0</v>
      </c>
      <c r="F47" s="36"/>
      <c r="G47" s="30">
        <f>H47+J47+L47+N47+P47</f>
        <v>1</v>
      </c>
      <c r="H47" s="32"/>
      <c r="I47" s="31"/>
      <c r="J47" s="32"/>
      <c r="K47" s="31"/>
      <c r="L47" s="32"/>
      <c r="M47" s="31"/>
      <c r="N47" s="32"/>
      <c r="O47" s="31"/>
      <c r="P47" s="32">
        <v>1</v>
      </c>
      <c r="Q47" s="31">
        <f t="shared" si="0"/>
        <v>0</v>
      </c>
    </row>
    <row r="48" spans="1:17" ht="12.75">
      <c r="A48" t="s">
        <v>131</v>
      </c>
      <c r="B48" s="23">
        <v>0</v>
      </c>
      <c r="C48" s="22" t="s">
        <v>57</v>
      </c>
      <c r="D48" s="23">
        <v>0</v>
      </c>
      <c r="E48" s="36">
        <f>D48*$B48</f>
        <v>0</v>
      </c>
      <c r="F48" s="36"/>
      <c r="G48" s="30">
        <f>H48+J48+L48+N48+P48</f>
        <v>1</v>
      </c>
      <c r="H48" s="32"/>
      <c r="I48" s="31"/>
      <c r="J48" s="32"/>
      <c r="K48" s="31"/>
      <c r="L48" s="32"/>
      <c r="M48" s="31"/>
      <c r="N48" s="32"/>
      <c r="O48" s="31"/>
      <c r="P48" s="32">
        <v>1</v>
      </c>
      <c r="Q48" s="31">
        <f t="shared" si="0"/>
        <v>0</v>
      </c>
    </row>
    <row r="49" spans="1:17" ht="12.75">
      <c r="A49" t="s">
        <v>132</v>
      </c>
      <c r="B49" s="28">
        <v>0</v>
      </c>
      <c r="C49" s="22" t="s">
        <v>90</v>
      </c>
      <c r="D49" s="50">
        <f>(E47+E48)</f>
        <v>0</v>
      </c>
      <c r="E49" s="36">
        <f>0.2*D49</f>
        <v>0</v>
      </c>
      <c r="F49" s="36"/>
      <c r="G49" s="30">
        <f>H49+J49+L49+N49+P49</f>
        <v>1</v>
      </c>
      <c r="H49" s="32"/>
      <c r="I49" s="31"/>
      <c r="J49" s="32"/>
      <c r="K49" s="31"/>
      <c r="L49" s="32"/>
      <c r="M49" s="31"/>
      <c r="N49" s="32"/>
      <c r="O49" s="31"/>
      <c r="P49" s="32">
        <v>1</v>
      </c>
      <c r="Q49" s="31">
        <f t="shared" si="0"/>
        <v>0</v>
      </c>
    </row>
    <row r="50" spans="1:17" ht="12.75">
      <c r="A50" t="s">
        <v>87</v>
      </c>
      <c r="B50" s="23">
        <v>40</v>
      </c>
      <c r="C50" s="22" t="s">
        <v>88</v>
      </c>
      <c r="D50" s="23">
        <v>0</v>
      </c>
      <c r="E50" s="36">
        <f t="shared" si="2"/>
        <v>0</v>
      </c>
      <c r="F50" s="36"/>
      <c r="G50" s="30">
        <f t="shared" si="3"/>
        <v>1</v>
      </c>
      <c r="H50" s="32">
        <v>0</v>
      </c>
      <c r="I50" s="31">
        <f t="shared" si="4"/>
        <v>0</v>
      </c>
      <c r="J50" s="32">
        <v>0</v>
      </c>
      <c r="K50" s="31">
        <f t="shared" si="4"/>
        <v>0</v>
      </c>
      <c r="L50" s="32">
        <v>1</v>
      </c>
      <c r="M50" s="31">
        <f t="shared" si="5"/>
        <v>0</v>
      </c>
      <c r="N50" s="32">
        <v>0</v>
      </c>
      <c r="O50" s="31">
        <f t="shared" si="6"/>
        <v>0</v>
      </c>
      <c r="P50" s="32">
        <v>0</v>
      </c>
      <c r="Q50" s="31">
        <f t="shared" si="0"/>
        <v>0</v>
      </c>
    </row>
    <row r="51" spans="1:17" ht="12.75">
      <c r="A51" t="s">
        <v>89</v>
      </c>
      <c r="B51" s="28">
        <v>0.2</v>
      </c>
      <c r="C51" s="22" t="s">
        <v>90</v>
      </c>
      <c r="D51" s="50">
        <f>SUM(E38:E50)-SUM(E47:E49)</f>
        <v>0</v>
      </c>
      <c r="E51" s="36">
        <f t="shared" si="2"/>
        <v>0</v>
      </c>
      <c r="F51" s="36"/>
      <c r="G51" s="30">
        <f t="shared" si="3"/>
        <v>1</v>
      </c>
      <c r="H51" s="32">
        <v>0</v>
      </c>
      <c r="I51" s="31">
        <f t="shared" si="4"/>
        <v>0</v>
      </c>
      <c r="J51" s="32">
        <v>0</v>
      </c>
      <c r="K51" s="31">
        <f t="shared" si="4"/>
        <v>0</v>
      </c>
      <c r="L51" s="32">
        <v>1</v>
      </c>
      <c r="M51" s="31">
        <f t="shared" si="5"/>
        <v>0</v>
      </c>
      <c r="N51" s="32">
        <v>0</v>
      </c>
      <c r="O51" s="31">
        <f t="shared" si="6"/>
        <v>0</v>
      </c>
      <c r="P51" s="32">
        <v>0</v>
      </c>
      <c r="Q51" s="31">
        <f t="shared" si="0"/>
        <v>0</v>
      </c>
    </row>
    <row r="52" spans="5:6" ht="12.75">
      <c r="E52" s="36"/>
      <c r="F52" s="36"/>
    </row>
    <row r="53" spans="1:17" ht="12.75">
      <c r="A53" s="27" t="s">
        <v>70</v>
      </c>
      <c r="E53" s="37">
        <f>SUM(E38:E52)</f>
        <v>0</v>
      </c>
      <c r="F53" s="37"/>
      <c r="G53" s="37"/>
      <c r="H53" s="37"/>
      <c r="I53" s="37">
        <f>SUM(I38:I52)</f>
        <v>0</v>
      </c>
      <c r="J53" s="37"/>
      <c r="K53" s="37">
        <f>SUM(K38:K52)</f>
        <v>0</v>
      </c>
      <c r="L53" s="37"/>
      <c r="M53" s="37">
        <f>SUM(M38:M52)</f>
        <v>0</v>
      </c>
      <c r="N53" s="37"/>
      <c r="O53" s="37">
        <f>SUM(O38:O52)</f>
        <v>0</v>
      </c>
      <c r="P53" s="37"/>
      <c r="Q53" s="37">
        <f>SUM(Q38:Q52)</f>
        <v>0</v>
      </c>
    </row>
    <row r="54" spans="1:19" ht="12.75">
      <c r="A54" s="27"/>
      <c r="E54" s="37"/>
      <c r="F54" s="37"/>
      <c r="I54" s="27"/>
      <c r="K54" s="27"/>
      <c r="M54" s="27"/>
      <c r="O54" s="27"/>
      <c r="Q54" s="27"/>
      <c r="S54" s="27"/>
    </row>
    <row r="55" spans="1:19" ht="24" customHeight="1">
      <c r="A55" s="27"/>
      <c r="E55" s="37"/>
      <c r="F55" s="236" t="s">
        <v>93</v>
      </c>
      <c r="G55" s="236"/>
      <c r="H55" s="232" t="s">
        <v>9</v>
      </c>
      <c r="I55" s="232"/>
      <c r="J55" s="232" t="s">
        <v>11</v>
      </c>
      <c r="K55" s="232"/>
      <c r="L55" s="232" t="s">
        <v>12</v>
      </c>
      <c r="M55" s="232"/>
      <c r="N55" s="232" t="s">
        <v>179</v>
      </c>
      <c r="O55" s="232"/>
      <c r="P55" s="235" t="s">
        <v>111</v>
      </c>
      <c r="Q55" s="235"/>
      <c r="R55" s="235"/>
      <c r="S55" s="235"/>
    </row>
    <row r="56" spans="1:19" ht="12.75">
      <c r="A56" s="27"/>
      <c r="E56" s="37"/>
      <c r="F56" s="236"/>
      <c r="G56" s="236"/>
      <c r="H56" s="22" t="s">
        <v>92</v>
      </c>
      <c r="I56" s="22" t="s">
        <v>63</v>
      </c>
      <c r="J56" s="22" t="s">
        <v>92</v>
      </c>
      <c r="K56" s="22" t="s">
        <v>63</v>
      </c>
      <c r="L56" s="22" t="s">
        <v>92</v>
      </c>
      <c r="M56" s="22" t="s">
        <v>63</v>
      </c>
      <c r="N56" s="22" t="s">
        <v>92</v>
      </c>
      <c r="O56" s="22" t="s">
        <v>63</v>
      </c>
      <c r="P56" s="22" t="s">
        <v>92</v>
      </c>
      <c r="Q56" s="22" t="s">
        <v>63</v>
      </c>
      <c r="S56" s="27"/>
    </row>
    <row r="57" ht="12.75">
      <c r="A57" s="1" t="s">
        <v>181</v>
      </c>
    </row>
    <row r="58" spans="1:19" ht="12.75">
      <c r="A58" s="20"/>
      <c r="B58" s="50"/>
      <c r="C58" s="22"/>
      <c r="D58" s="26"/>
      <c r="G58" s="30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  <c r="S58" s="31"/>
    </row>
    <row r="59" spans="1:19" ht="12.75">
      <c r="A59" s="20"/>
      <c r="B59" s="50">
        <v>0</v>
      </c>
      <c r="C59" s="22" t="s">
        <v>63</v>
      </c>
      <c r="D59" s="26">
        <v>1</v>
      </c>
      <c r="E59">
        <f>D59*$B59</f>
        <v>0</v>
      </c>
      <c r="G59" s="30">
        <f>H59+J59+L59+N59+P59+R59</f>
        <v>0</v>
      </c>
      <c r="H59" s="32">
        <v>0</v>
      </c>
      <c r="I59" s="31">
        <f>$E59*H59</f>
        <v>0</v>
      </c>
      <c r="J59" s="32">
        <v>0</v>
      </c>
      <c r="K59" s="31">
        <f>$E59*J59</f>
        <v>0</v>
      </c>
      <c r="L59" s="32">
        <v>0</v>
      </c>
      <c r="M59" s="31">
        <f>$E59*L59</f>
        <v>0</v>
      </c>
      <c r="N59" s="32">
        <v>0</v>
      </c>
      <c r="O59" s="31">
        <f>$E59*N59</f>
        <v>0</v>
      </c>
      <c r="P59" s="32">
        <v>0</v>
      </c>
      <c r="Q59" s="31">
        <f>$E59*P59</f>
        <v>0</v>
      </c>
      <c r="R59" s="32"/>
      <c r="S59" s="31"/>
    </row>
    <row r="60" spans="1:19" ht="12.75">
      <c r="A60" s="20"/>
      <c r="B60" s="50">
        <v>0</v>
      </c>
      <c r="C60" s="22" t="s">
        <v>182</v>
      </c>
      <c r="D60" s="26">
        <v>1</v>
      </c>
      <c r="E60">
        <f>D60*$B60</f>
        <v>0</v>
      </c>
      <c r="G60" s="30">
        <f>H60+J60+L60+N60+P60+R60</f>
        <v>0</v>
      </c>
      <c r="H60" s="32">
        <v>0</v>
      </c>
      <c r="I60" s="31">
        <f>$E60*H60</f>
        <v>0</v>
      </c>
      <c r="J60" s="32">
        <v>0</v>
      </c>
      <c r="K60" s="31">
        <f>$E60*J60</f>
        <v>0</v>
      </c>
      <c r="L60" s="32">
        <v>0</v>
      </c>
      <c r="M60" s="31">
        <f>$E60*L60</f>
        <v>0</v>
      </c>
      <c r="N60" s="32">
        <v>0</v>
      </c>
      <c r="O60" s="31">
        <f>$E60*N60</f>
        <v>0</v>
      </c>
      <c r="P60" s="32">
        <v>0</v>
      </c>
      <c r="Q60" s="31">
        <f>$E60*P60</f>
        <v>0</v>
      </c>
      <c r="R60" s="32"/>
      <c r="S60" s="31"/>
    </row>
    <row r="61" spans="1:19" ht="12.75">
      <c r="A61" s="20"/>
      <c r="B61" s="50">
        <v>0</v>
      </c>
      <c r="C61" s="22" t="s">
        <v>182</v>
      </c>
      <c r="D61" s="26">
        <v>1</v>
      </c>
      <c r="E61">
        <f>D61*$B61</f>
        <v>0</v>
      </c>
      <c r="G61" s="30">
        <f>H61+J61+L61+N61+P61+R61</f>
        <v>0</v>
      </c>
      <c r="H61" s="32">
        <v>0</v>
      </c>
      <c r="I61" s="31">
        <f>$E61*H61</f>
        <v>0</v>
      </c>
      <c r="J61" s="32">
        <v>0</v>
      </c>
      <c r="K61" s="31">
        <f>$E61*J61</f>
        <v>0</v>
      </c>
      <c r="L61" s="32">
        <v>0</v>
      </c>
      <c r="M61" s="31">
        <f>$E61*L61</f>
        <v>0</v>
      </c>
      <c r="N61" s="32">
        <v>0</v>
      </c>
      <c r="O61" s="31">
        <f>$E61*N61</f>
        <v>0</v>
      </c>
      <c r="P61" s="32">
        <v>0</v>
      </c>
      <c r="Q61" s="31">
        <f>$E61*P61</f>
        <v>0</v>
      </c>
      <c r="R61" s="32"/>
      <c r="S61" s="31"/>
    </row>
    <row r="62" spans="1:19" ht="12.75">
      <c r="A62" s="20"/>
      <c r="B62" s="50">
        <v>0</v>
      </c>
      <c r="C62" s="22" t="s">
        <v>180</v>
      </c>
      <c r="D62" s="110">
        <v>1</v>
      </c>
      <c r="E62">
        <f>D62*$B62</f>
        <v>0</v>
      </c>
      <c r="G62" s="30">
        <f>H62+J62+L62+N62+P62+R62</f>
        <v>0</v>
      </c>
      <c r="H62" s="32">
        <v>0</v>
      </c>
      <c r="I62" s="31">
        <f>$E62*H62</f>
        <v>0</v>
      </c>
      <c r="J62" s="32">
        <v>0</v>
      </c>
      <c r="K62" s="31">
        <f>$E62*J62</f>
        <v>0</v>
      </c>
      <c r="L62" s="32">
        <v>0</v>
      </c>
      <c r="M62" s="31">
        <f>$E62*L62</f>
        <v>0</v>
      </c>
      <c r="N62" s="32">
        <v>0</v>
      </c>
      <c r="O62" s="31">
        <f>$E62*N62</f>
        <v>0</v>
      </c>
      <c r="P62" s="32">
        <v>0</v>
      </c>
      <c r="Q62" s="31">
        <f>$E62*P62</f>
        <v>0</v>
      </c>
      <c r="R62" s="32"/>
      <c r="S62" s="31"/>
    </row>
    <row r="63" spans="1:19" ht="12.75">
      <c r="A63" s="20"/>
      <c r="B63" s="50">
        <v>0</v>
      </c>
      <c r="C63" s="22" t="s">
        <v>173</v>
      </c>
      <c r="D63" s="26">
        <v>1</v>
      </c>
      <c r="E63">
        <f>D63*$B63</f>
        <v>0</v>
      </c>
      <c r="G63" s="30">
        <f>H63+J63+L63+N63+P63+R63</f>
        <v>0</v>
      </c>
      <c r="H63" s="32">
        <v>0</v>
      </c>
      <c r="I63" s="31">
        <f>$E63*H63</f>
        <v>0</v>
      </c>
      <c r="J63" s="32">
        <v>0</v>
      </c>
      <c r="K63" s="31">
        <f>$E63*J63</f>
        <v>0</v>
      </c>
      <c r="L63" s="32">
        <v>0</v>
      </c>
      <c r="M63" s="31">
        <f>$E63*L63</f>
        <v>0</v>
      </c>
      <c r="N63" s="32">
        <v>0</v>
      </c>
      <c r="O63" s="31">
        <f>$E63*N63</f>
        <v>0</v>
      </c>
      <c r="P63" s="32">
        <v>0</v>
      </c>
      <c r="Q63" s="31">
        <f>$E63*P63</f>
        <v>0</v>
      </c>
      <c r="R63" s="32"/>
      <c r="S63" s="31"/>
    </row>
    <row r="65" spans="1:19" ht="12.75">
      <c r="A65" s="27" t="s">
        <v>70</v>
      </c>
      <c r="E65" s="37">
        <f>SUM(E58:E64)</f>
        <v>0</v>
      </c>
      <c r="F65" s="37"/>
      <c r="G65" s="37"/>
      <c r="H65" s="37"/>
      <c r="I65" s="37">
        <f>SUM(I58:I64)</f>
        <v>0</v>
      </c>
      <c r="J65" s="37"/>
      <c r="K65" s="37">
        <f>SUM(K58:K64)</f>
        <v>0</v>
      </c>
      <c r="L65" s="37"/>
      <c r="M65" s="37">
        <f>SUM(M58:M64)</f>
        <v>0</v>
      </c>
      <c r="N65" s="37"/>
      <c r="O65" s="37">
        <f>SUM(O58:O64)</f>
        <v>0</v>
      </c>
      <c r="P65" s="37"/>
      <c r="Q65" s="37">
        <f>SUM(Q58:Q64)</f>
        <v>0</v>
      </c>
      <c r="S65" s="27"/>
    </row>
    <row r="68" spans="1:4" ht="25.5">
      <c r="A68" s="1" t="s">
        <v>72</v>
      </c>
      <c r="B68" s="25" t="s">
        <v>77</v>
      </c>
      <c r="C68" s="3" t="s">
        <v>79</v>
      </c>
      <c r="D68" s="25" t="s">
        <v>78</v>
      </c>
    </row>
    <row r="69" spans="1:4" ht="12.75">
      <c r="A69" t="s">
        <v>101</v>
      </c>
      <c r="B69" s="33">
        <f>D69-C69*7</f>
        <v>37577</v>
      </c>
      <c r="C69" s="23">
        <v>4</v>
      </c>
      <c r="D69" s="34">
        <f>B70</f>
        <v>37605</v>
      </c>
    </row>
    <row r="70" spans="1:4" ht="12.75">
      <c r="A70" t="s">
        <v>102</v>
      </c>
      <c r="B70" s="34">
        <f>D70-C70*7</f>
        <v>37605</v>
      </c>
      <c r="C70" s="23">
        <v>2</v>
      </c>
      <c r="D70" s="34">
        <f>B71</f>
        <v>37619</v>
      </c>
    </row>
    <row r="71" spans="1:4" ht="12.75">
      <c r="A71" t="s">
        <v>108</v>
      </c>
      <c r="B71" s="34">
        <f>D71-C71</f>
        <v>37619</v>
      </c>
      <c r="C71" s="23">
        <v>4</v>
      </c>
      <c r="D71" s="34">
        <f>B72</f>
        <v>37623</v>
      </c>
    </row>
    <row r="72" spans="1:4" ht="12.75">
      <c r="A72" t="s">
        <v>107</v>
      </c>
      <c r="B72" s="34">
        <f>D72-C72*7</f>
        <v>37623</v>
      </c>
      <c r="C72" s="23">
        <v>52</v>
      </c>
      <c r="D72" s="35">
        <v>37987</v>
      </c>
    </row>
    <row r="73" spans="2:4" ht="12.75">
      <c r="B73" s="34"/>
      <c r="C73" s="23"/>
      <c r="D73" s="34"/>
    </row>
    <row r="74" spans="2:4" ht="12.75">
      <c r="B74" s="34"/>
      <c r="C74" s="23"/>
      <c r="D74" s="35"/>
    </row>
    <row r="78" ht="12.75">
      <c r="A78" s="1" t="s">
        <v>95</v>
      </c>
    </row>
    <row r="80" ht="12.75">
      <c r="A80" s="1" t="s">
        <v>183</v>
      </c>
    </row>
    <row r="82" spans="1:2" ht="12.75">
      <c r="A82" t="s">
        <v>50</v>
      </c>
      <c r="B82">
        <v>0</v>
      </c>
    </row>
    <row r="83" spans="1:2" ht="12.75">
      <c r="A83" t="s">
        <v>51</v>
      </c>
      <c r="B83">
        <v>0</v>
      </c>
    </row>
    <row r="84" spans="1:2" ht="12.75">
      <c r="A84" t="s">
        <v>52</v>
      </c>
      <c r="B84">
        <v>0</v>
      </c>
    </row>
    <row r="85" spans="1:2" ht="12.75">
      <c r="A85" t="s">
        <v>53</v>
      </c>
      <c r="B85">
        <v>0</v>
      </c>
    </row>
    <row r="86" spans="1:2" ht="12.75">
      <c r="A86" t="s">
        <v>81</v>
      </c>
      <c r="B86">
        <v>0</v>
      </c>
    </row>
    <row r="87" spans="1:2" ht="12.75">
      <c r="A87" t="s">
        <v>82</v>
      </c>
      <c r="B87">
        <v>0</v>
      </c>
    </row>
    <row r="88" spans="1:2" ht="12.75">
      <c r="A88" t="s">
        <v>83</v>
      </c>
      <c r="B88">
        <v>0</v>
      </c>
    </row>
    <row r="89" spans="1:2" ht="12.75">
      <c r="A89" t="s">
        <v>84</v>
      </c>
      <c r="B89">
        <v>0</v>
      </c>
    </row>
    <row r="90" spans="1:2" ht="12.75">
      <c r="A90" t="s">
        <v>91</v>
      </c>
      <c r="B90">
        <v>0</v>
      </c>
    </row>
    <row r="91" spans="1:2" ht="12.75">
      <c r="A91" t="s">
        <v>130</v>
      </c>
      <c r="B91">
        <v>0</v>
      </c>
    </row>
    <row r="92" spans="1:2" ht="12.75">
      <c r="A92" t="s">
        <v>131</v>
      </c>
      <c r="B92">
        <v>0</v>
      </c>
    </row>
    <row r="93" spans="1:2" ht="12.75">
      <c r="A93" t="s">
        <v>132</v>
      </c>
      <c r="B93">
        <v>0</v>
      </c>
    </row>
    <row r="94" spans="1:2" ht="12.75">
      <c r="A94" t="s">
        <v>87</v>
      </c>
      <c r="B94">
        <v>0</v>
      </c>
    </row>
    <row r="95" spans="1:2" ht="12.75">
      <c r="A95" t="s">
        <v>89</v>
      </c>
      <c r="B95" s="29">
        <v>0.1</v>
      </c>
    </row>
  </sheetData>
  <mergeCells count="19">
    <mergeCell ref="N35:O35"/>
    <mergeCell ref="A6:E7"/>
    <mergeCell ref="H35:I35"/>
    <mergeCell ref="J35:K35"/>
    <mergeCell ref="L35:M35"/>
    <mergeCell ref="F9:G9"/>
    <mergeCell ref="F34:Q34"/>
    <mergeCell ref="P35:Q35"/>
    <mergeCell ref="G35:G36"/>
    <mergeCell ref="F15:G15"/>
    <mergeCell ref="F33:G33"/>
    <mergeCell ref="R55:S55"/>
    <mergeCell ref="F55:G56"/>
    <mergeCell ref="P55:Q55"/>
    <mergeCell ref="J55:K55"/>
    <mergeCell ref="L55:M55"/>
    <mergeCell ref="N55:O55"/>
    <mergeCell ref="E36:F36"/>
    <mergeCell ref="H55:I55"/>
  </mergeCells>
  <printOptions/>
  <pageMargins left="0.75" right="0.75" top="1" bottom="1" header="0.5" footer="0.5"/>
  <pageSetup horizontalDpi="600" verticalDpi="600" orientation="landscape" scale="95" r:id="rId1"/>
  <headerFooter alignWithMargins="0">
    <oddHeader>&amp;C&amp;"Arial,Bold"&amp;14NCSX Fabrication Project Cost and Schedule</oddHeader>
    <oddFooter>&amp;C&amp;"Arial,Bold"&amp;P</oddFooter>
  </headerFooter>
  <rowBreaks count="2" manualBreakCount="2">
    <brk id="32" max="16" man="1"/>
    <brk id="6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J13" sqref="J13"/>
    </sheetView>
  </sheetViews>
  <sheetFormatPr defaultColWidth="9.140625" defaultRowHeight="12.75"/>
  <cols>
    <col min="1" max="1" width="34.00390625" style="0" customWidth="1"/>
    <col min="2" max="2" width="10.7109375" style="0" customWidth="1"/>
  </cols>
  <sheetData>
    <row r="1" ht="20.25">
      <c r="A1" s="63" t="str">
        <f>'Fab Project'!A1:E1</f>
        <v>WBS 185 Assembly of Field Periods</v>
      </c>
    </row>
    <row r="3" spans="1:11" ht="18.75" thickBot="1">
      <c r="A3" s="72" t="s">
        <v>117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ht="12.75">
      <c r="A4" s="1"/>
    </row>
    <row r="5" ht="12.75">
      <c r="A5" s="1" t="s">
        <v>71</v>
      </c>
    </row>
    <row r="6" spans="1:5" ht="67.5" customHeight="1">
      <c r="A6" s="234" t="s">
        <v>312</v>
      </c>
      <c r="B6" s="234"/>
      <c r="C6" s="234"/>
      <c r="D6" s="234"/>
      <c r="E6" s="234"/>
    </row>
    <row r="7" ht="12.75">
      <c r="A7" s="1" t="s">
        <v>118</v>
      </c>
    </row>
    <row r="8" spans="1:3" ht="12.75">
      <c r="A8" t="s">
        <v>119</v>
      </c>
      <c r="B8" s="46">
        <v>120</v>
      </c>
      <c r="C8" t="s">
        <v>120</v>
      </c>
    </row>
    <row r="9" spans="1:3" ht="12.75">
      <c r="A9" t="s">
        <v>121</v>
      </c>
      <c r="B9" s="46">
        <v>60</v>
      </c>
      <c r="C9" t="s">
        <v>120</v>
      </c>
    </row>
    <row r="10" spans="1:3" ht="12.75">
      <c r="A10" t="s">
        <v>122</v>
      </c>
      <c r="B10" s="46">
        <v>80</v>
      </c>
      <c r="C10" t="s">
        <v>120</v>
      </c>
    </row>
    <row r="13" ht="12.75">
      <c r="A13" s="1" t="s">
        <v>126</v>
      </c>
    </row>
    <row r="14" ht="12.75">
      <c r="B14" s="43"/>
    </row>
    <row r="15" ht="12.75">
      <c r="B15" s="43"/>
    </row>
    <row r="16" spans="1:2" ht="12.75">
      <c r="A16" s="27" t="s">
        <v>128</v>
      </c>
      <c r="B16" s="43">
        <f>SUM(B14:B15)</f>
        <v>0</v>
      </c>
    </row>
    <row r="17" spans="1:2" ht="12.75">
      <c r="A17" s="27"/>
      <c r="B17" s="43"/>
    </row>
    <row r="18" spans="1:2" ht="12.75">
      <c r="A18" s="27"/>
      <c r="B18" s="43"/>
    </row>
    <row r="19" spans="1:2" ht="12.75">
      <c r="A19" s="1" t="s">
        <v>138</v>
      </c>
      <c r="B19" s="43"/>
    </row>
    <row r="20" spans="1:2" ht="12.75">
      <c r="A20" s="27"/>
      <c r="B20" s="43"/>
    </row>
    <row r="21" spans="1:2" ht="12.75">
      <c r="A21" s="14"/>
      <c r="B21" s="43"/>
    </row>
    <row r="22" spans="1:2" ht="12.75">
      <c r="A22" s="14"/>
      <c r="B22" s="107"/>
    </row>
    <row r="23" spans="1:2" ht="12.75">
      <c r="A23" s="14"/>
      <c r="B23" s="107"/>
    </row>
    <row r="24" spans="1:2" ht="12.75">
      <c r="A24" s="14"/>
      <c r="B24" s="107"/>
    </row>
    <row r="25" spans="1:2" ht="12.75">
      <c r="A25" s="27" t="s">
        <v>137</v>
      </c>
      <c r="B25" s="43">
        <f>SUM(B21:B24)</f>
        <v>0</v>
      </c>
    </row>
    <row r="26" ht="12.75">
      <c r="A26" s="1"/>
    </row>
    <row r="27" ht="12.75">
      <c r="A27" s="1"/>
    </row>
    <row r="28" ht="12.75">
      <c r="A28" s="1"/>
    </row>
    <row r="29" ht="12.75">
      <c r="A29" s="1" t="s">
        <v>127</v>
      </c>
    </row>
  </sheetData>
  <mergeCells count="1">
    <mergeCell ref="A6:E6"/>
  </mergeCells>
  <printOptions/>
  <pageMargins left="0.75" right="0.75" top="1" bottom="1" header="0.5" footer="0.5"/>
  <pageSetup horizontalDpi="600" verticalDpi="600" orientation="landscape" scale="77" r:id="rId1"/>
  <headerFooter alignWithMargins="0">
    <oddHeader>&amp;C&amp;"Arial,Bold"&amp;14NCSX Fabrication Project Cost and Schedule</oddHeader>
    <oddFooter>&amp;C&amp;"Arial,Bold"&amp;P</oddFooter>
  </headerFooter>
  <rowBreaks count="1" manualBreakCount="1">
    <brk id="2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218"/>
  <sheetViews>
    <sheetView workbookViewId="0" topLeftCell="A1">
      <selection activeCell="C20" sqref="C20"/>
    </sheetView>
  </sheetViews>
  <sheetFormatPr defaultColWidth="9.140625" defaultRowHeight="12.75"/>
  <cols>
    <col min="1" max="1" width="9.28125" style="0" bestFit="1" customWidth="1"/>
    <col min="2" max="2" width="47.8515625" style="0" customWidth="1"/>
    <col min="3" max="3" width="9.28125" style="0" bestFit="1" customWidth="1"/>
    <col min="4" max="5" width="10.140625" style="0" bestFit="1" customWidth="1"/>
    <col min="6" max="6" width="11.140625" style="0" bestFit="1" customWidth="1"/>
    <col min="7" max="7" width="6.7109375" style="0" customWidth="1"/>
    <col min="8" max="8" width="7.28125" style="0" customWidth="1"/>
    <col min="9" max="9" width="5.7109375" style="0" customWidth="1"/>
    <col min="10" max="10" width="6.7109375" style="0" customWidth="1"/>
    <col min="11" max="13" width="5.7109375" style="0" customWidth="1"/>
    <col min="14" max="14" width="6.00390625" style="0" customWidth="1"/>
    <col min="15" max="18" width="5.7109375" style="0" customWidth="1"/>
  </cols>
  <sheetData>
    <row r="1" ht="20.25">
      <c r="A1" s="63" t="str">
        <f>'Fab Project'!A1:E1</f>
        <v>WBS 185 Assembly of Field Periods</v>
      </c>
    </row>
    <row r="3" spans="1:16" ht="18.75" thickBot="1">
      <c r="A3" s="72" t="s">
        <v>133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5" ht="12.75">
      <c r="B5" s="1" t="s">
        <v>71</v>
      </c>
    </row>
    <row r="6" spans="2:16" ht="12.75">
      <c r="B6" s="234" t="s">
        <v>308</v>
      </c>
      <c r="C6" s="234"/>
      <c r="D6" s="234"/>
      <c r="E6" s="234"/>
      <c r="F6" s="234"/>
      <c r="G6" s="234"/>
      <c r="H6" s="227" t="s">
        <v>98</v>
      </c>
      <c r="I6" s="227"/>
      <c r="J6" s="227"/>
      <c r="K6" s="227"/>
      <c r="L6" s="227"/>
      <c r="M6" s="227"/>
      <c r="N6" s="227"/>
      <c r="O6" s="227"/>
      <c r="P6" s="227"/>
    </row>
    <row r="7" spans="2:16" ht="73.5" customHeight="1">
      <c r="B7" s="234"/>
      <c r="C7" s="234"/>
      <c r="D7" s="234"/>
      <c r="E7" s="234"/>
      <c r="F7" s="234"/>
      <c r="G7" s="234"/>
      <c r="H7" s="39" t="s">
        <v>93</v>
      </c>
      <c r="I7" s="232" t="s">
        <v>9</v>
      </c>
      <c r="J7" s="232"/>
      <c r="K7" s="232" t="s">
        <v>179</v>
      </c>
      <c r="L7" s="232"/>
      <c r="M7" s="232" t="s">
        <v>111</v>
      </c>
      <c r="N7" s="232"/>
      <c r="O7" s="232" t="s">
        <v>11</v>
      </c>
      <c r="P7" s="232"/>
    </row>
    <row r="8" spans="3:18" ht="12.75">
      <c r="C8" s="25" t="s">
        <v>54</v>
      </c>
      <c r="D8" s="25" t="s">
        <v>55</v>
      </c>
      <c r="E8" s="25" t="s">
        <v>56</v>
      </c>
      <c r="F8" s="233" t="s">
        <v>94</v>
      </c>
      <c r="G8" s="233"/>
      <c r="I8" s="22" t="s">
        <v>92</v>
      </c>
      <c r="J8" s="22" t="s">
        <v>63</v>
      </c>
      <c r="K8" s="22" t="s">
        <v>92</v>
      </c>
      <c r="L8" s="22" t="s">
        <v>63</v>
      </c>
      <c r="M8" s="22" t="s">
        <v>92</v>
      </c>
      <c r="N8" s="22" t="s">
        <v>63</v>
      </c>
      <c r="O8" s="22" t="s">
        <v>92</v>
      </c>
      <c r="P8" s="22" t="s">
        <v>63</v>
      </c>
      <c r="Q8" s="22"/>
      <c r="R8" s="22"/>
    </row>
    <row r="9" spans="2:5" ht="12.75">
      <c r="B9" s="209" t="s">
        <v>288</v>
      </c>
      <c r="C9" s="46"/>
      <c r="E9" s="46"/>
    </row>
    <row r="10" spans="2:16" ht="12.75">
      <c r="B10" s="225" t="s">
        <v>289</v>
      </c>
      <c r="C10" s="26">
        <f>L71</f>
        <v>80</v>
      </c>
      <c r="D10" s="22" t="s">
        <v>292</v>
      </c>
      <c r="E10" s="23">
        <v>6</v>
      </c>
      <c r="F10" s="36">
        <f aca="true" t="shared" si="0" ref="F10:F16">C10*E10</f>
        <v>480</v>
      </c>
      <c r="H10" s="30">
        <f aca="true" t="shared" si="1" ref="H10:H16">I10+K10+M10+O10+Q10</f>
        <v>1</v>
      </c>
      <c r="I10" s="32">
        <v>0</v>
      </c>
      <c r="J10" s="31">
        <f aca="true" t="shared" si="2" ref="J10:J16">$F10*I10</f>
        <v>0</v>
      </c>
      <c r="K10" s="32">
        <v>1</v>
      </c>
      <c r="L10" s="31">
        <f aca="true" t="shared" si="3" ref="L10:L16">$F10*K10</f>
        <v>480</v>
      </c>
      <c r="M10" s="32">
        <v>0</v>
      </c>
      <c r="N10" s="31">
        <f aca="true" t="shared" si="4" ref="N10:N16">$F10*M10</f>
        <v>0</v>
      </c>
      <c r="O10" s="32">
        <v>0</v>
      </c>
      <c r="P10" s="31">
        <f aca="true" t="shared" si="5" ref="P10:P16">$F10*O10</f>
        <v>0</v>
      </c>
    </row>
    <row r="11" spans="2:16" ht="12.75">
      <c r="B11" s="225" t="s">
        <v>290</v>
      </c>
      <c r="C11" s="26">
        <f>N71</f>
        <v>320</v>
      </c>
      <c r="D11" s="22" t="s">
        <v>292</v>
      </c>
      <c r="E11" s="23">
        <v>6</v>
      </c>
      <c r="F11" s="36">
        <f t="shared" si="0"/>
        <v>1920</v>
      </c>
      <c r="H11" s="30">
        <f t="shared" si="1"/>
        <v>1</v>
      </c>
      <c r="I11" s="32">
        <v>0</v>
      </c>
      <c r="J11" s="31">
        <f t="shared" si="2"/>
        <v>0</v>
      </c>
      <c r="K11" s="32">
        <v>0</v>
      </c>
      <c r="L11" s="31">
        <f t="shared" si="3"/>
        <v>0</v>
      </c>
      <c r="M11" s="32">
        <v>1</v>
      </c>
      <c r="N11" s="31">
        <f t="shared" si="4"/>
        <v>1920</v>
      </c>
      <c r="O11" s="32">
        <v>0</v>
      </c>
      <c r="P11" s="31">
        <f t="shared" si="5"/>
        <v>0</v>
      </c>
    </row>
    <row r="12" spans="2:16" ht="12.75">
      <c r="B12" s="225" t="s">
        <v>313</v>
      </c>
      <c r="C12" s="26">
        <v>210</v>
      </c>
      <c r="D12" s="22" t="s">
        <v>314</v>
      </c>
      <c r="E12" s="23">
        <v>1</v>
      </c>
      <c r="F12" s="36">
        <f t="shared" si="0"/>
        <v>210</v>
      </c>
      <c r="H12" s="30">
        <f>I12+K12+M12+O12+Q12</f>
        <v>1</v>
      </c>
      <c r="I12" s="32">
        <v>0.1</v>
      </c>
      <c r="J12" s="31">
        <f t="shared" si="2"/>
        <v>21</v>
      </c>
      <c r="K12" s="32">
        <v>0.2</v>
      </c>
      <c r="L12" s="31">
        <f t="shared" si="3"/>
        <v>42</v>
      </c>
      <c r="M12" s="32">
        <v>0.7</v>
      </c>
      <c r="N12" s="31">
        <f t="shared" si="4"/>
        <v>147</v>
      </c>
      <c r="O12" s="32">
        <v>0</v>
      </c>
      <c r="P12" s="31">
        <f t="shared" si="5"/>
        <v>0</v>
      </c>
    </row>
    <row r="13" spans="2:18" ht="12.75">
      <c r="B13" t="s">
        <v>294</v>
      </c>
      <c r="C13" s="224">
        <f>L86+L87+L88+M86+M87+M88</f>
        <v>168</v>
      </c>
      <c r="D13" s="22" t="s">
        <v>292</v>
      </c>
      <c r="E13" s="23">
        <v>1</v>
      </c>
      <c r="F13" s="36">
        <f t="shared" si="0"/>
        <v>168</v>
      </c>
      <c r="G13" s="36"/>
      <c r="H13" s="30">
        <f t="shared" si="1"/>
        <v>1</v>
      </c>
      <c r="I13" s="32">
        <v>0</v>
      </c>
      <c r="J13" s="31">
        <f t="shared" si="2"/>
        <v>0</v>
      </c>
      <c r="K13" s="32">
        <v>1</v>
      </c>
      <c r="L13" s="31">
        <f t="shared" si="3"/>
        <v>168</v>
      </c>
      <c r="M13" s="32">
        <v>0</v>
      </c>
      <c r="N13" s="31">
        <f t="shared" si="4"/>
        <v>0</v>
      </c>
      <c r="O13" s="32">
        <v>0</v>
      </c>
      <c r="P13" s="31">
        <f t="shared" si="5"/>
        <v>0</v>
      </c>
      <c r="Q13" s="32"/>
      <c r="R13" s="31"/>
    </row>
    <row r="14" spans="2:18" ht="12.75">
      <c r="B14" s="20" t="s">
        <v>293</v>
      </c>
      <c r="C14" s="101">
        <f>N86+N87+N88</f>
        <v>360</v>
      </c>
      <c r="D14" s="22" t="s">
        <v>292</v>
      </c>
      <c r="E14" s="23">
        <v>1</v>
      </c>
      <c r="F14" s="36">
        <f t="shared" si="0"/>
        <v>360</v>
      </c>
      <c r="G14" s="36"/>
      <c r="H14" s="30">
        <f t="shared" si="1"/>
        <v>1</v>
      </c>
      <c r="I14" s="32">
        <v>0</v>
      </c>
      <c r="J14" s="31">
        <f t="shared" si="2"/>
        <v>0</v>
      </c>
      <c r="K14" s="32">
        <v>0</v>
      </c>
      <c r="L14" s="31">
        <f t="shared" si="3"/>
        <v>0</v>
      </c>
      <c r="M14" s="32">
        <v>1</v>
      </c>
      <c r="N14" s="31">
        <f t="shared" si="4"/>
        <v>360</v>
      </c>
      <c r="O14" s="32">
        <v>0</v>
      </c>
      <c r="P14" s="31">
        <f t="shared" si="5"/>
        <v>0</v>
      </c>
      <c r="Q14" s="32"/>
      <c r="R14" s="31"/>
    </row>
    <row r="15" spans="2:18" ht="12.75">
      <c r="B15" t="s">
        <v>295</v>
      </c>
      <c r="C15" s="101">
        <f>L92+L93+L94+M93+M94</f>
        <v>144</v>
      </c>
      <c r="D15" s="22" t="s">
        <v>292</v>
      </c>
      <c r="E15" s="23">
        <v>5</v>
      </c>
      <c r="F15" s="36">
        <f t="shared" si="0"/>
        <v>720</v>
      </c>
      <c r="G15" s="36"/>
      <c r="H15" s="30">
        <f t="shared" si="1"/>
        <v>1</v>
      </c>
      <c r="I15" s="32">
        <v>0</v>
      </c>
      <c r="J15" s="31">
        <f t="shared" si="2"/>
        <v>0</v>
      </c>
      <c r="K15" s="32">
        <v>1</v>
      </c>
      <c r="L15" s="31">
        <f t="shared" si="3"/>
        <v>720</v>
      </c>
      <c r="M15" s="32">
        <v>0</v>
      </c>
      <c r="N15" s="31">
        <f t="shared" si="4"/>
        <v>0</v>
      </c>
      <c r="O15" s="32">
        <v>0</v>
      </c>
      <c r="P15" s="31">
        <f t="shared" si="5"/>
        <v>0</v>
      </c>
      <c r="Q15" s="32"/>
      <c r="R15" s="31"/>
    </row>
    <row r="16" spans="2:18" ht="12.75">
      <c r="B16" s="20" t="s">
        <v>291</v>
      </c>
      <c r="C16" s="101">
        <f>N92+N93+N94</f>
        <v>288</v>
      </c>
      <c r="D16" s="22" t="s">
        <v>292</v>
      </c>
      <c r="E16" s="23">
        <v>5</v>
      </c>
      <c r="F16" s="36">
        <f t="shared" si="0"/>
        <v>1440</v>
      </c>
      <c r="G16" s="36"/>
      <c r="H16" s="30">
        <f t="shared" si="1"/>
        <v>1</v>
      </c>
      <c r="I16" s="32">
        <v>0</v>
      </c>
      <c r="J16" s="31">
        <f t="shared" si="2"/>
        <v>0</v>
      </c>
      <c r="K16" s="32">
        <v>0</v>
      </c>
      <c r="L16" s="31">
        <f t="shared" si="3"/>
        <v>0</v>
      </c>
      <c r="M16" s="32">
        <v>1</v>
      </c>
      <c r="N16" s="31">
        <f t="shared" si="4"/>
        <v>1440</v>
      </c>
      <c r="O16" s="32">
        <v>0</v>
      </c>
      <c r="P16" s="31">
        <f t="shared" si="5"/>
        <v>0</v>
      </c>
      <c r="Q16" s="32"/>
      <c r="R16" s="31"/>
    </row>
    <row r="17" spans="3:7" ht="12.75">
      <c r="C17" s="46"/>
      <c r="E17" s="46"/>
      <c r="F17" s="36"/>
      <c r="G17" s="36"/>
    </row>
    <row r="18" spans="2:18" ht="12.75">
      <c r="B18" s="27" t="s">
        <v>70</v>
      </c>
      <c r="F18" s="37">
        <f>SUM(F10:F17)</f>
        <v>5298</v>
      </c>
      <c r="G18" s="37"/>
      <c r="J18" s="37">
        <f>SUM(J10:J17)</f>
        <v>21</v>
      </c>
      <c r="L18" s="37">
        <f>SUM(L10:L17)</f>
        <v>1410</v>
      </c>
      <c r="N18" s="37">
        <f>SUM(N10:N17)</f>
        <v>3867</v>
      </c>
      <c r="P18" s="37">
        <f>SUM(P10:P17)</f>
        <v>0</v>
      </c>
      <c r="R18" s="27"/>
    </row>
    <row r="19" spans="2:18" ht="12.75">
      <c r="B19" s="27"/>
      <c r="F19" s="37"/>
      <c r="G19" s="37"/>
      <c r="J19" s="27"/>
      <c r="L19" s="27"/>
      <c r="N19" s="27"/>
      <c r="P19" s="27"/>
      <c r="R19" s="27"/>
    </row>
    <row r="20" spans="2:18" ht="25.5">
      <c r="B20" s="27"/>
      <c r="F20" s="37"/>
      <c r="G20" s="37"/>
      <c r="H20" s="39" t="s">
        <v>93</v>
      </c>
      <c r="I20" s="232" t="s">
        <v>9</v>
      </c>
      <c r="J20" s="232"/>
      <c r="K20" s="232" t="s">
        <v>179</v>
      </c>
      <c r="L20" s="232"/>
      <c r="M20" s="232" t="s">
        <v>111</v>
      </c>
      <c r="N20" s="232"/>
      <c r="O20" s="232" t="s">
        <v>11</v>
      </c>
      <c r="P20" s="232"/>
      <c r="R20" s="27"/>
    </row>
    <row r="21" spans="2:16" ht="12.75">
      <c r="B21" s="1" t="s">
        <v>287</v>
      </c>
      <c r="D21" s="22"/>
      <c r="I21" s="22" t="s">
        <v>92</v>
      </c>
      <c r="J21" s="22" t="s">
        <v>63</v>
      </c>
      <c r="K21" s="22" t="s">
        <v>92</v>
      </c>
      <c r="L21" s="22" t="s">
        <v>63</v>
      </c>
      <c r="M21" s="22" t="s">
        <v>92</v>
      </c>
      <c r="N21" s="22" t="s">
        <v>63</v>
      </c>
      <c r="O21" s="22" t="s">
        <v>92</v>
      </c>
      <c r="P21" s="22" t="s">
        <v>63</v>
      </c>
    </row>
    <row r="22" spans="2:16" ht="12.75">
      <c r="B22" s="14" t="s">
        <v>296</v>
      </c>
      <c r="C22" s="101">
        <f>L128+L129+M129</f>
        <v>240</v>
      </c>
      <c r="D22" s="22" t="s">
        <v>292</v>
      </c>
      <c r="E22" s="23">
        <v>3</v>
      </c>
      <c r="F22">
        <f>C22*E22</f>
        <v>720</v>
      </c>
      <c r="H22" s="30">
        <f aca="true" t="shared" si="6" ref="H22:H33">I22+K22+M22+O22+Q22</f>
        <v>1</v>
      </c>
      <c r="I22" s="32">
        <v>0</v>
      </c>
      <c r="J22" s="31">
        <f aca="true" t="shared" si="7" ref="J22:J33">$F22*I22</f>
        <v>0</v>
      </c>
      <c r="K22" s="32">
        <f>1-I22</f>
        <v>1</v>
      </c>
      <c r="L22" s="31">
        <f aca="true" t="shared" si="8" ref="L22:L33">$F22*K22</f>
        <v>720</v>
      </c>
      <c r="M22" s="32">
        <v>0</v>
      </c>
      <c r="N22" s="31">
        <f aca="true" t="shared" si="9" ref="N22:N33">$F22*M22</f>
        <v>0</v>
      </c>
      <c r="O22" s="32">
        <v>0</v>
      </c>
      <c r="P22" s="31">
        <f aca="true" t="shared" si="10" ref="P22:P33">$F22*O22</f>
        <v>0</v>
      </c>
    </row>
    <row r="23" spans="2:16" ht="12.75">
      <c r="B23" s="14" t="s">
        <v>302</v>
      </c>
      <c r="C23" s="101">
        <f>N128+N129</f>
        <v>800</v>
      </c>
      <c r="D23" s="22" t="s">
        <v>292</v>
      </c>
      <c r="E23" s="23">
        <v>3</v>
      </c>
      <c r="F23">
        <f aca="true" t="shared" si="11" ref="F23:F32">C23*E23</f>
        <v>2400</v>
      </c>
      <c r="H23" s="30">
        <f t="shared" si="6"/>
        <v>1</v>
      </c>
      <c r="I23" s="32">
        <v>0</v>
      </c>
      <c r="J23" s="31">
        <f t="shared" si="7"/>
        <v>0</v>
      </c>
      <c r="K23" s="32">
        <v>0</v>
      </c>
      <c r="L23" s="31">
        <f t="shared" si="8"/>
        <v>0</v>
      </c>
      <c r="M23" s="32">
        <v>1</v>
      </c>
      <c r="N23" s="31">
        <f t="shared" si="9"/>
        <v>2400</v>
      </c>
      <c r="O23" s="32">
        <v>0</v>
      </c>
      <c r="P23" s="31">
        <f t="shared" si="10"/>
        <v>0</v>
      </c>
    </row>
    <row r="24" spans="2:16" ht="12.75">
      <c r="B24" s="14" t="s">
        <v>297</v>
      </c>
      <c r="C24" s="101">
        <f>L130+L131+M131</f>
        <v>136</v>
      </c>
      <c r="D24" s="22" t="s">
        <v>292</v>
      </c>
      <c r="E24" s="23">
        <v>3</v>
      </c>
      <c r="F24">
        <f t="shared" si="11"/>
        <v>408</v>
      </c>
      <c r="H24" s="30">
        <f t="shared" si="6"/>
        <v>1</v>
      </c>
      <c r="I24" s="32">
        <v>0</v>
      </c>
      <c r="J24" s="31">
        <f t="shared" si="7"/>
        <v>0</v>
      </c>
      <c r="K24" s="32">
        <f>1-I24</f>
        <v>1</v>
      </c>
      <c r="L24" s="31">
        <f t="shared" si="8"/>
        <v>408</v>
      </c>
      <c r="M24" s="32">
        <v>0</v>
      </c>
      <c r="N24" s="31">
        <f t="shared" si="9"/>
        <v>0</v>
      </c>
      <c r="O24" s="32">
        <v>0</v>
      </c>
      <c r="P24" s="31">
        <f t="shared" si="10"/>
        <v>0</v>
      </c>
    </row>
    <row r="25" spans="2:16" ht="12.75">
      <c r="B25" s="14" t="s">
        <v>303</v>
      </c>
      <c r="C25" s="101">
        <f>N130+N131</f>
        <v>384</v>
      </c>
      <c r="D25" s="22" t="s">
        <v>292</v>
      </c>
      <c r="E25" s="23">
        <v>3</v>
      </c>
      <c r="F25">
        <f t="shared" si="11"/>
        <v>1152</v>
      </c>
      <c r="H25" s="30">
        <f t="shared" si="6"/>
        <v>1</v>
      </c>
      <c r="I25" s="32">
        <v>0</v>
      </c>
      <c r="J25" s="31">
        <f t="shared" si="7"/>
        <v>0</v>
      </c>
      <c r="K25" s="32">
        <v>0</v>
      </c>
      <c r="L25" s="31">
        <f t="shared" si="8"/>
        <v>0</v>
      </c>
      <c r="M25" s="32">
        <v>1</v>
      </c>
      <c r="N25" s="31">
        <f t="shared" si="9"/>
        <v>1152</v>
      </c>
      <c r="O25" s="32">
        <v>0</v>
      </c>
      <c r="P25" s="31">
        <f t="shared" si="10"/>
        <v>0</v>
      </c>
    </row>
    <row r="26" spans="2:18" ht="12.75">
      <c r="B26" s="14" t="s">
        <v>298</v>
      </c>
      <c r="C26" s="101">
        <f>L133</f>
        <v>240</v>
      </c>
      <c r="D26" s="22" t="s">
        <v>292</v>
      </c>
      <c r="E26" s="23">
        <v>3</v>
      </c>
      <c r="F26">
        <f t="shared" si="11"/>
        <v>720</v>
      </c>
      <c r="H26" s="30">
        <f t="shared" si="6"/>
        <v>1</v>
      </c>
      <c r="I26" s="32">
        <v>0</v>
      </c>
      <c r="J26" s="31">
        <f t="shared" si="7"/>
        <v>0</v>
      </c>
      <c r="K26" s="32">
        <f>1-I26</f>
        <v>1</v>
      </c>
      <c r="L26" s="31">
        <f t="shared" si="8"/>
        <v>720</v>
      </c>
      <c r="M26" s="32">
        <v>0</v>
      </c>
      <c r="N26" s="31">
        <f t="shared" si="9"/>
        <v>0</v>
      </c>
      <c r="O26" s="32">
        <v>0</v>
      </c>
      <c r="P26" s="31">
        <f t="shared" si="10"/>
        <v>0</v>
      </c>
      <c r="Q26" s="32"/>
      <c r="R26" s="31"/>
    </row>
    <row r="27" spans="2:18" ht="12.75">
      <c r="B27" s="14" t="s">
        <v>304</v>
      </c>
      <c r="C27" s="101">
        <f>N133</f>
        <v>240</v>
      </c>
      <c r="D27" s="22" t="s">
        <v>292</v>
      </c>
      <c r="E27" s="23">
        <v>3</v>
      </c>
      <c r="F27">
        <f t="shared" si="11"/>
        <v>720</v>
      </c>
      <c r="H27" s="30">
        <f t="shared" si="6"/>
        <v>1</v>
      </c>
      <c r="I27" s="32">
        <v>0</v>
      </c>
      <c r="J27" s="31">
        <f t="shared" si="7"/>
        <v>0</v>
      </c>
      <c r="K27" s="32">
        <v>0</v>
      </c>
      <c r="L27" s="31">
        <f t="shared" si="8"/>
        <v>0</v>
      </c>
      <c r="M27" s="32">
        <v>1</v>
      </c>
      <c r="N27" s="31">
        <f t="shared" si="9"/>
        <v>720</v>
      </c>
      <c r="O27" s="32">
        <v>0</v>
      </c>
      <c r="P27" s="31">
        <f t="shared" si="10"/>
        <v>0</v>
      </c>
      <c r="Q27" s="32"/>
      <c r="R27" s="31"/>
    </row>
    <row r="28" spans="2:18" ht="12.75">
      <c r="B28" s="14" t="s">
        <v>299</v>
      </c>
      <c r="C28" s="101">
        <f>L135+L137</f>
        <v>128</v>
      </c>
      <c r="D28" s="22" t="s">
        <v>292</v>
      </c>
      <c r="E28" s="23">
        <v>3</v>
      </c>
      <c r="F28">
        <f t="shared" si="11"/>
        <v>384</v>
      </c>
      <c r="H28" s="30">
        <f t="shared" si="6"/>
        <v>1</v>
      </c>
      <c r="I28" s="32">
        <v>0</v>
      </c>
      <c r="J28" s="31">
        <f t="shared" si="7"/>
        <v>0</v>
      </c>
      <c r="K28" s="32">
        <f>1-I28</f>
        <v>1</v>
      </c>
      <c r="L28" s="31">
        <f t="shared" si="8"/>
        <v>384</v>
      </c>
      <c r="M28" s="32">
        <v>0</v>
      </c>
      <c r="N28" s="31">
        <f t="shared" si="9"/>
        <v>0</v>
      </c>
      <c r="O28" s="32">
        <v>0</v>
      </c>
      <c r="P28" s="31">
        <f t="shared" si="10"/>
        <v>0</v>
      </c>
      <c r="Q28" s="32"/>
      <c r="R28" s="31"/>
    </row>
    <row r="29" spans="2:18" ht="12.75">
      <c r="B29" s="14" t="s">
        <v>305</v>
      </c>
      <c r="C29" s="101">
        <f>N135+N137</f>
        <v>304</v>
      </c>
      <c r="D29" s="22" t="s">
        <v>292</v>
      </c>
      <c r="E29" s="23">
        <v>3</v>
      </c>
      <c r="F29">
        <f t="shared" si="11"/>
        <v>912</v>
      </c>
      <c r="H29" s="30">
        <f t="shared" si="6"/>
        <v>1</v>
      </c>
      <c r="I29" s="32">
        <v>0</v>
      </c>
      <c r="J29" s="31">
        <f t="shared" si="7"/>
        <v>0</v>
      </c>
      <c r="K29" s="32">
        <v>0</v>
      </c>
      <c r="L29" s="31">
        <f t="shared" si="8"/>
        <v>0</v>
      </c>
      <c r="M29" s="32">
        <v>1</v>
      </c>
      <c r="N29" s="31">
        <f t="shared" si="9"/>
        <v>912</v>
      </c>
      <c r="O29" s="32">
        <v>0</v>
      </c>
      <c r="P29" s="31">
        <f t="shared" si="10"/>
        <v>0</v>
      </c>
      <c r="Q29" s="32"/>
      <c r="R29" s="31"/>
    </row>
    <row r="30" spans="2:18" ht="12.75">
      <c r="B30" s="14" t="s">
        <v>300</v>
      </c>
      <c r="C30" s="101">
        <f>L141+L142+L143</f>
        <v>120</v>
      </c>
      <c r="D30" s="22" t="s">
        <v>292</v>
      </c>
      <c r="E30" s="23">
        <v>3</v>
      </c>
      <c r="F30">
        <f t="shared" si="11"/>
        <v>360</v>
      </c>
      <c r="H30" s="30">
        <f t="shared" si="6"/>
        <v>1</v>
      </c>
      <c r="I30" s="32">
        <v>0</v>
      </c>
      <c r="J30" s="31">
        <f t="shared" si="7"/>
        <v>0</v>
      </c>
      <c r="K30" s="32">
        <f>1-I30</f>
        <v>1</v>
      </c>
      <c r="L30" s="31">
        <f t="shared" si="8"/>
        <v>360</v>
      </c>
      <c r="M30" s="32">
        <v>0</v>
      </c>
      <c r="N30" s="31">
        <f t="shared" si="9"/>
        <v>0</v>
      </c>
      <c r="O30" s="32">
        <v>0</v>
      </c>
      <c r="P30" s="31">
        <f t="shared" si="10"/>
        <v>0</v>
      </c>
      <c r="Q30" s="32"/>
      <c r="R30" s="31"/>
    </row>
    <row r="31" spans="2:18" ht="12.75">
      <c r="B31" s="14" t="s">
        <v>306</v>
      </c>
      <c r="C31" s="101">
        <f>N141+N142+N143</f>
        <v>360</v>
      </c>
      <c r="D31" s="22" t="s">
        <v>292</v>
      </c>
      <c r="E31" s="23">
        <v>3</v>
      </c>
      <c r="F31">
        <f t="shared" si="11"/>
        <v>1080</v>
      </c>
      <c r="H31" s="30">
        <f t="shared" si="6"/>
        <v>1</v>
      </c>
      <c r="I31" s="32">
        <v>0</v>
      </c>
      <c r="J31" s="31">
        <f t="shared" si="7"/>
        <v>0</v>
      </c>
      <c r="K31" s="32">
        <v>0</v>
      </c>
      <c r="L31" s="31">
        <f t="shared" si="8"/>
        <v>0</v>
      </c>
      <c r="M31" s="32">
        <v>1</v>
      </c>
      <c r="N31" s="31">
        <f t="shared" si="9"/>
        <v>1080</v>
      </c>
      <c r="O31" s="32">
        <v>0</v>
      </c>
      <c r="P31" s="31">
        <f t="shared" si="10"/>
        <v>0</v>
      </c>
      <c r="Q31" s="32"/>
      <c r="R31" s="31"/>
    </row>
    <row r="32" spans="2:18" ht="12.75">
      <c r="B32" s="14" t="s">
        <v>301</v>
      </c>
      <c r="C32" s="101">
        <f>L145+L147</f>
        <v>64</v>
      </c>
      <c r="D32" s="22" t="s">
        <v>292</v>
      </c>
      <c r="E32" s="23">
        <v>3</v>
      </c>
      <c r="F32">
        <f t="shared" si="11"/>
        <v>192</v>
      </c>
      <c r="H32" s="30">
        <f t="shared" si="6"/>
        <v>1</v>
      </c>
      <c r="I32" s="32">
        <v>0</v>
      </c>
      <c r="J32" s="31">
        <f t="shared" si="7"/>
        <v>0</v>
      </c>
      <c r="K32" s="32">
        <f>1-I32</f>
        <v>1</v>
      </c>
      <c r="L32" s="31">
        <f t="shared" si="8"/>
        <v>192</v>
      </c>
      <c r="M32" s="32">
        <v>0</v>
      </c>
      <c r="N32" s="31">
        <f t="shared" si="9"/>
        <v>0</v>
      </c>
      <c r="O32" s="32">
        <v>0</v>
      </c>
      <c r="P32" s="31">
        <f t="shared" si="10"/>
        <v>0</v>
      </c>
      <c r="Q32" s="32"/>
      <c r="R32" s="31"/>
    </row>
    <row r="33" spans="2:16" ht="12.75">
      <c r="B33" s="14" t="s">
        <v>307</v>
      </c>
      <c r="C33" s="22">
        <f>N145+N147</f>
        <v>256</v>
      </c>
      <c r="D33" s="22" t="s">
        <v>292</v>
      </c>
      <c r="E33" s="23">
        <v>3</v>
      </c>
      <c r="F33">
        <f>C33*E33</f>
        <v>768</v>
      </c>
      <c r="H33" s="30">
        <f t="shared" si="6"/>
        <v>1</v>
      </c>
      <c r="I33" s="32">
        <v>0</v>
      </c>
      <c r="J33" s="31">
        <f t="shared" si="7"/>
        <v>0</v>
      </c>
      <c r="K33" s="32">
        <v>0</v>
      </c>
      <c r="L33" s="31">
        <f t="shared" si="8"/>
        <v>0</v>
      </c>
      <c r="M33" s="32">
        <v>1</v>
      </c>
      <c r="N33" s="31">
        <f t="shared" si="9"/>
        <v>768</v>
      </c>
      <c r="O33" s="32">
        <v>0</v>
      </c>
      <c r="P33" s="31">
        <f t="shared" si="10"/>
        <v>0</v>
      </c>
    </row>
    <row r="34" spans="2:18" ht="12.75">
      <c r="B34" s="27" t="s">
        <v>70</v>
      </c>
      <c r="F34" s="6">
        <f>SUM(F22:F33)</f>
        <v>9816</v>
      </c>
      <c r="G34" s="6"/>
      <c r="J34" s="6">
        <f>SUM(J22:J33)</f>
        <v>0</v>
      </c>
      <c r="L34" s="6">
        <f>SUM(L22:L33)</f>
        <v>2784</v>
      </c>
      <c r="N34" s="6">
        <f>SUM(N22:N33)</f>
        <v>7032</v>
      </c>
      <c r="P34" s="6">
        <f>SUM(P22:P33)</f>
        <v>0</v>
      </c>
      <c r="R34" s="27"/>
    </row>
    <row r="37" spans="2:5" ht="25.5">
      <c r="B37" s="1" t="s">
        <v>72</v>
      </c>
      <c r="C37" s="25" t="s">
        <v>77</v>
      </c>
      <c r="D37" s="3" t="s">
        <v>79</v>
      </c>
      <c r="E37" s="25" t="s">
        <v>78</v>
      </c>
    </row>
    <row r="38" spans="2:15" ht="12.75">
      <c r="B38" t="s">
        <v>103</v>
      </c>
      <c r="C38" s="33">
        <f>E38-D38*7</f>
        <v>37974</v>
      </c>
      <c r="D38" s="101">
        <f>Engr!C38</f>
        <v>30.571428571428573</v>
      </c>
      <c r="E38" s="34">
        <f>C39</f>
        <v>38188</v>
      </c>
      <c r="L38" s="232"/>
      <c r="M38" s="232"/>
      <c r="N38" s="232"/>
      <c r="O38" s="232"/>
    </row>
    <row r="39" spans="2:5" ht="12.75">
      <c r="B39" t="s">
        <v>73</v>
      </c>
      <c r="C39" s="34">
        <f>E39-D39*7</f>
        <v>38188</v>
      </c>
      <c r="D39" s="101">
        <f>Engr!C39</f>
        <v>39.142857142857146</v>
      </c>
      <c r="E39" s="34">
        <f>C40</f>
        <v>38462</v>
      </c>
    </row>
    <row r="40" spans="2:5" ht="12.75">
      <c r="B40" t="s">
        <v>74</v>
      </c>
      <c r="C40" s="34">
        <f>E40-D40*7</f>
        <v>38462</v>
      </c>
      <c r="D40" s="101">
        <f>Engr!C40</f>
        <v>22.142857142857142</v>
      </c>
      <c r="E40" s="34">
        <f>C41</f>
        <v>38617</v>
      </c>
    </row>
    <row r="41" spans="2:5" ht="12.75">
      <c r="B41" t="s">
        <v>76</v>
      </c>
      <c r="C41" s="34">
        <f>D127</f>
        <v>38617</v>
      </c>
      <c r="D41" s="101">
        <f>(E41-C41)/7</f>
        <v>38.142857142857146</v>
      </c>
      <c r="E41" s="34">
        <f>E197</f>
        <v>38884</v>
      </c>
    </row>
    <row r="42" spans="2:5" ht="12.75">
      <c r="B42" t="s">
        <v>75</v>
      </c>
      <c r="C42" s="34">
        <f>E42-D42*7</f>
        <v>38415</v>
      </c>
      <c r="D42" s="101">
        <v>67</v>
      </c>
      <c r="E42" s="33">
        <f>E197</f>
        <v>38884</v>
      </c>
    </row>
    <row r="43" ht="12.75">
      <c r="E43" s="104"/>
    </row>
    <row r="44" ht="12.75">
      <c r="B44" s="1" t="s">
        <v>95</v>
      </c>
    </row>
    <row r="46" ht="12.75">
      <c r="B46" s="1" t="s">
        <v>283</v>
      </c>
    </row>
    <row r="48" spans="2:12" ht="18.75">
      <c r="B48" s="92" t="s">
        <v>284</v>
      </c>
      <c r="C48" s="98"/>
      <c r="D48" s="98"/>
      <c r="E48" s="93"/>
      <c r="F48" s="90"/>
      <c r="G48" s="91"/>
      <c r="H48" s="90"/>
      <c r="I48" s="40"/>
      <c r="J48" s="90"/>
      <c r="K48" s="22"/>
      <c r="L48" s="22"/>
    </row>
    <row r="49" spans="2:12" ht="12.75">
      <c r="B49" s="13"/>
      <c r="C49" s="1"/>
      <c r="E49" s="31"/>
      <c r="F49" s="90"/>
      <c r="G49" s="91"/>
      <c r="H49" s="90"/>
      <c r="I49" s="40"/>
      <c r="J49" s="90"/>
      <c r="K49" s="22"/>
      <c r="L49" s="22"/>
    </row>
    <row r="50" spans="2:12" ht="12.75">
      <c r="B50" s="14" t="s">
        <v>177</v>
      </c>
      <c r="E50" s="31"/>
      <c r="F50" s="90"/>
      <c r="G50" s="91"/>
      <c r="H50" s="90"/>
      <c r="I50" s="40"/>
      <c r="J50" s="90"/>
      <c r="K50" s="22"/>
      <c r="L50" s="22"/>
    </row>
    <row r="51" spans="2:18" ht="12.75">
      <c r="B51" s="14" t="s">
        <v>175</v>
      </c>
      <c r="D51" s="14"/>
      <c r="E51" s="89"/>
      <c r="F51" s="99"/>
      <c r="G51" s="100"/>
      <c r="H51" s="99"/>
      <c r="I51" s="101"/>
      <c r="J51" s="99"/>
      <c r="K51" s="26"/>
      <c r="L51" s="26"/>
      <c r="M51" s="14"/>
      <c r="Q51" s="95"/>
      <c r="R51" s="85"/>
    </row>
    <row r="52" spans="2:18" ht="13.5" thickBot="1">
      <c r="B52" s="14"/>
      <c r="E52" s="31"/>
      <c r="F52" s="90"/>
      <c r="G52" s="91"/>
      <c r="H52" s="90"/>
      <c r="I52" s="96"/>
      <c r="J52" s="94"/>
      <c r="K52" s="97"/>
      <c r="L52" s="97"/>
      <c r="M52" s="85"/>
      <c r="N52" s="85"/>
      <c r="Q52" s="95"/>
      <c r="R52" s="85"/>
    </row>
    <row r="53" spans="1:16" ht="12.75">
      <c r="A53" s="111" t="s">
        <v>192</v>
      </c>
      <c r="B53" s="111"/>
      <c r="C53" s="111" t="s">
        <v>193</v>
      </c>
      <c r="D53" s="112" t="s">
        <v>194</v>
      </c>
      <c r="E53" s="112" t="s">
        <v>195</v>
      </c>
      <c r="F53" s="113" t="s">
        <v>196</v>
      </c>
      <c r="G53" s="114" t="s">
        <v>197</v>
      </c>
      <c r="H53" s="114" t="s">
        <v>198</v>
      </c>
      <c r="I53" s="114" t="s">
        <v>199</v>
      </c>
      <c r="J53" s="115" t="s">
        <v>9</v>
      </c>
      <c r="K53" s="115" t="s">
        <v>11</v>
      </c>
      <c r="L53" s="111" t="s">
        <v>172</v>
      </c>
      <c r="M53" s="115" t="s">
        <v>172</v>
      </c>
      <c r="N53" s="111" t="s">
        <v>111</v>
      </c>
      <c r="O53" s="116" t="s">
        <v>200</v>
      </c>
      <c r="P53" s="116" t="s">
        <v>200</v>
      </c>
    </row>
    <row r="54" spans="1:16" ht="12.75">
      <c r="A54" s="117"/>
      <c r="B54" s="118" t="s">
        <v>201</v>
      </c>
      <c r="C54" s="117"/>
      <c r="D54" s="119"/>
      <c r="E54" s="119"/>
      <c r="F54" s="120"/>
      <c r="G54" s="121"/>
      <c r="H54" s="121"/>
      <c r="I54" s="121"/>
      <c r="J54" s="122" t="s">
        <v>202</v>
      </c>
      <c r="K54" s="122" t="s">
        <v>203</v>
      </c>
      <c r="L54" s="117" t="s">
        <v>204</v>
      </c>
      <c r="M54" s="123" t="s">
        <v>176</v>
      </c>
      <c r="N54" s="117" t="s">
        <v>205</v>
      </c>
      <c r="O54" s="124"/>
      <c r="P54" s="124"/>
    </row>
    <row r="55" spans="1:16" ht="13.5" thickBot="1">
      <c r="A55" s="125" t="s">
        <v>206</v>
      </c>
      <c r="B55" s="125"/>
      <c r="C55" s="125" t="s">
        <v>207</v>
      </c>
      <c r="D55" s="126"/>
      <c r="E55" s="126"/>
      <c r="F55" s="127" t="s">
        <v>94</v>
      </c>
      <c r="G55" s="128" t="s">
        <v>94</v>
      </c>
      <c r="H55" s="128" t="s">
        <v>94</v>
      </c>
      <c r="I55" s="128" t="s">
        <v>94</v>
      </c>
      <c r="J55" s="129" t="s">
        <v>94</v>
      </c>
      <c r="K55" s="129" t="s">
        <v>94</v>
      </c>
      <c r="L55" s="125" t="s">
        <v>94</v>
      </c>
      <c r="M55" s="129" t="s">
        <v>94</v>
      </c>
      <c r="N55" s="125" t="s">
        <v>94</v>
      </c>
      <c r="O55" s="130" t="s">
        <v>125</v>
      </c>
      <c r="P55" s="130" t="s">
        <v>208</v>
      </c>
    </row>
    <row r="56" spans="1:16" ht="12.75">
      <c r="A56" s="131"/>
      <c r="B56" s="132"/>
      <c r="C56" s="133"/>
      <c r="D56" s="134"/>
      <c r="E56" s="134"/>
      <c r="F56" s="133"/>
      <c r="G56" s="133"/>
      <c r="H56" s="133"/>
      <c r="I56" s="133"/>
      <c r="J56" s="135"/>
      <c r="K56" s="136"/>
      <c r="L56" s="133"/>
      <c r="M56" s="136"/>
      <c r="N56" s="133"/>
      <c r="O56" s="137"/>
      <c r="P56" s="137"/>
    </row>
    <row r="57" spans="1:16" ht="12.75">
      <c r="A57" s="131"/>
      <c r="B57" s="132"/>
      <c r="C57" s="133"/>
      <c r="D57" s="134"/>
      <c r="E57" s="134"/>
      <c r="F57" s="133"/>
      <c r="G57" s="133"/>
      <c r="H57" s="133"/>
      <c r="I57" s="133"/>
      <c r="J57" s="135"/>
      <c r="K57" s="136"/>
      <c r="L57" s="133"/>
      <c r="M57" s="136"/>
      <c r="N57" s="133"/>
      <c r="O57" s="137"/>
      <c r="P57" s="137"/>
    </row>
    <row r="58" spans="1:16" ht="12.75">
      <c r="A58" s="131"/>
      <c r="B58" s="138" t="s">
        <v>209</v>
      </c>
      <c r="C58" s="133"/>
      <c r="D58" s="134"/>
      <c r="E58" s="134"/>
      <c r="F58" s="133"/>
      <c r="G58" s="133"/>
      <c r="H58" s="133"/>
      <c r="I58" s="133"/>
      <c r="J58" s="135"/>
      <c r="K58" s="136"/>
      <c r="L58" s="133"/>
      <c r="M58" s="136"/>
      <c r="N58" s="133"/>
      <c r="O58" s="137"/>
      <c r="P58" s="137"/>
    </row>
    <row r="59" spans="1:16" ht="12.75">
      <c r="A59" s="131"/>
      <c r="B59" s="139" t="s">
        <v>210</v>
      </c>
      <c r="C59" s="133"/>
      <c r="D59" s="134"/>
      <c r="E59" s="134"/>
      <c r="F59" s="133"/>
      <c r="G59" s="133"/>
      <c r="H59" s="133"/>
      <c r="I59" s="133"/>
      <c r="J59" s="135"/>
      <c r="K59" s="136"/>
      <c r="L59" s="133"/>
      <c r="M59" s="136"/>
      <c r="N59" s="133"/>
      <c r="O59" s="137"/>
      <c r="P59" s="137"/>
    </row>
    <row r="60" spans="1:16" ht="12.75">
      <c r="A60" s="131"/>
      <c r="B60" s="139" t="s">
        <v>211</v>
      </c>
      <c r="C60" s="133"/>
      <c r="D60" s="134"/>
      <c r="E60" s="134"/>
      <c r="F60" s="133"/>
      <c r="G60" s="133"/>
      <c r="H60" s="133"/>
      <c r="I60" s="133"/>
      <c r="J60" s="135"/>
      <c r="K60" s="136"/>
      <c r="L60" s="133"/>
      <c r="M60" s="136"/>
      <c r="N60" s="133"/>
      <c r="O60" s="137"/>
      <c r="P60" s="137"/>
    </row>
    <row r="61" spans="1:16" ht="12.75">
      <c r="A61" s="131"/>
      <c r="B61" s="139" t="s">
        <v>212</v>
      </c>
      <c r="C61" s="133"/>
      <c r="D61" s="134"/>
      <c r="E61" s="134"/>
      <c r="F61" s="133"/>
      <c r="G61" s="133"/>
      <c r="H61" s="133"/>
      <c r="I61" s="133"/>
      <c r="J61" s="135"/>
      <c r="K61" s="136"/>
      <c r="L61" s="133"/>
      <c r="M61" s="136"/>
      <c r="N61" s="133"/>
      <c r="O61" s="137"/>
      <c r="P61" s="137"/>
    </row>
    <row r="62" spans="1:16" ht="12.75">
      <c r="A62" s="131"/>
      <c r="B62" s="139" t="s">
        <v>213</v>
      </c>
      <c r="C62" s="133"/>
      <c r="D62" s="134"/>
      <c r="E62" s="134"/>
      <c r="F62" s="133"/>
      <c r="G62" s="133"/>
      <c r="H62" s="133"/>
      <c r="I62" s="133"/>
      <c r="J62" s="135"/>
      <c r="K62" s="136"/>
      <c r="L62" s="133"/>
      <c r="M62" s="136"/>
      <c r="N62" s="133"/>
      <c r="O62" s="137"/>
      <c r="P62" s="137"/>
    </row>
    <row r="63" spans="1:16" ht="12.75">
      <c r="A63" s="131"/>
      <c r="B63" s="140"/>
      <c r="C63" s="133"/>
      <c r="D63" s="134"/>
      <c r="E63" s="134"/>
      <c r="F63" s="133"/>
      <c r="G63" s="133"/>
      <c r="H63" s="133"/>
      <c r="I63" s="133"/>
      <c r="J63" s="135"/>
      <c r="K63" s="136"/>
      <c r="L63" s="133"/>
      <c r="M63" s="136"/>
      <c r="N63" s="133"/>
      <c r="O63" s="137"/>
      <c r="P63" s="137"/>
    </row>
    <row r="64" spans="1:16" ht="12.75">
      <c r="A64" s="131"/>
      <c r="B64" s="140"/>
      <c r="C64" s="133"/>
      <c r="D64" s="134"/>
      <c r="E64" s="134"/>
      <c r="F64" s="133"/>
      <c r="G64" s="133"/>
      <c r="H64" s="133"/>
      <c r="I64" s="133"/>
      <c r="J64" s="135"/>
      <c r="K64" s="136"/>
      <c r="L64" s="133"/>
      <c r="M64" s="136"/>
      <c r="N64" s="133"/>
      <c r="O64" s="137"/>
      <c r="P64" s="137"/>
    </row>
    <row r="65" spans="1:16" ht="12.75">
      <c r="A65" s="131"/>
      <c r="B65" s="140"/>
      <c r="C65" s="133"/>
      <c r="D65" s="134"/>
      <c r="E65" s="134"/>
      <c r="F65" s="133"/>
      <c r="G65" s="133"/>
      <c r="H65" s="133"/>
      <c r="I65" s="133"/>
      <c r="J65" s="135"/>
      <c r="K65" s="136"/>
      <c r="L65" s="133"/>
      <c r="M65" s="136"/>
      <c r="N65" s="133"/>
      <c r="O65" s="137"/>
      <c r="P65" s="137"/>
    </row>
    <row r="66" spans="1:16" ht="12.75">
      <c r="A66" s="169" t="s">
        <v>214</v>
      </c>
      <c r="B66" s="141" t="s">
        <v>216</v>
      </c>
      <c r="C66" s="170"/>
      <c r="D66" s="143"/>
      <c r="E66" s="143"/>
      <c r="F66" s="142"/>
      <c r="G66" s="142"/>
      <c r="H66" s="142"/>
      <c r="I66" s="142"/>
      <c r="J66" s="144"/>
      <c r="K66" s="145"/>
      <c r="L66" s="142"/>
      <c r="M66" s="145"/>
      <c r="N66" s="142"/>
      <c r="O66" s="146"/>
      <c r="P66" s="146"/>
    </row>
    <row r="67" spans="1:16" ht="12.75">
      <c r="A67" s="167"/>
      <c r="B67" s="157" t="s">
        <v>217</v>
      </c>
      <c r="C67" s="167"/>
      <c r="D67" s="161"/>
      <c r="E67" s="161"/>
      <c r="F67" s="160"/>
      <c r="G67" s="160"/>
      <c r="H67" s="160"/>
      <c r="I67" s="160"/>
      <c r="J67" s="162"/>
      <c r="K67" s="163"/>
      <c r="L67" s="160"/>
      <c r="M67" s="163"/>
      <c r="N67" s="160"/>
      <c r="O67" s="164"/>
      <c r="P67" s="164"/>
    </row>
    <row r="68" spans="1:16" ht="12.75">
      <c r="A68" s="167"/>
      <c r="B68" s="157" t="s">
        <v>218</v>
      </c>
      <c r="C68" s="167"/>
      <c r="D68" s="161"/>
      <c r="E68" s="161"/>
      <c r="F68" s="160"/>
      <c r="G68" s="160"/>
      <c r="H68" s="160"/>
      <c r="I68" s="160"/>
      <c r="J68" s="162"/>
      <c r="K68" s="163"/>
      <c r="L68" s="160"/>
      <c r="M68" s="163"/>
      <c r="N68" s="160"/>
      <c r="O68" s="164"/>
      <c r="P68" s="164"/>
    </row>
    <row r="69" spans="1:16" ht="12.75">
      <c r="A69" s="167"/>
      <c r="B69" s="157" t="s">
        <v>219</v>
      </c>
      <c r="C69" s="167"/>
      <c r="D69" s="161"/>
      <c r="E69" s="161"/>
      <c r="F69" s="160"/>
      <c r="G69" s="160"/>
      <c r="H69" s="160"/>
      <c r="I69" s="160"/>
      <c r="J69" s="162"/>
      <c r="K69" s="163"/>
      <c r="L69" s="160"/>
      <c r="M69" s="163"/>
      <c r="N69" s="160"/>
      <c r="O69" s="164"/>
      <c r="P69" s="164"/>
    </row>
    <row r="70" spans="1:16" ht="12.75">
      <c r="A70" s="167"/>
      <c r="B70" s="171"/>
      <c r="C70" s="167"/>
      <c r="D70" s="161"/>
      <c r="E70" s="161"/>
      <c r="F70" s="160"/>
      <c r="G70" s="160"/>
      <c r="H70" s="160"/>
      <c r="I70" s="160"/>
      <c r="J70" s="162"/>
      <c r="K70" s="163"/>
      <c r="L70" s="160"/>
      <c r="M70" s="163"/>
      <c r="N70" s="160"/>
      <c r="O70" s="164"/>
      <c r="P70" s="164"/>
    </row>
    <row r="71" spans="1:16" ht="12.75">
      <c r="A71" s="131" t="s">
        <v>215</v>
      </c>
      <c r="B71" s="172" t="s">
        <v>220</v>
      </c>
      <c r="C71" s="167">
        <v>10</v>
      </c>
      <c r="D71" s="134"/>
      <c r="E71" s="134"/>
      <c r="F71" s="133"/>
      <c r="G71" s="133"/>
      <c r="H71" s="133"/>
      <c r="I71" s="133"/>
      <c r="J71" s="135"/>
      <c r="K71" s="136"/>
      <c r="L71" s="133">
        <f>C71*8</f>
        <v>80</v>
      </c>
      <c r="M71" s="136"/>
      <c r="N71" s="133">
        <f>C71*32</f>
        <v>320</v>
      </c>
      <c r="O71" s="137"/>
      <c r="P71" s="137"/>
    </row>
    <row r="72" spans="1:16" ht="12.75">
      <c r="A72" s="131" t="s">
        <v>215</v>
      </c>
      <c r="B72" s="172" t="s">
        <v>221</v>
      </c>
      <c r="C72" s="167">
        <v>10</v>
      </c>
      <c r="D72" s="134"/>
      <c r="E72" s="134"/>
      <c r="F72" s="133"/>
      <c r="G72" s="133"/>
      <c r="H72" s="133"/>
      <c r="I72" s="133"/>
      <c r="J72" s="135"/>
      <c r="K72" s="136"/>
      <c r="L72" s="133">
        <f>C72*8</f>
        <v>80</v>
      </c>
      <c r="M72" s="136"/>
      <c r="N72" s="133">
        <f>C72*32</f>
        <v>320</v>
      </c>
      <c r="O72" s="137"/>
      <c r="P72" s="137"/>
    </row>
    <row r="73" spans="1:16" ht="12.75">
      <c r="A73" s="131"/>
      <c r="B73" s="172"/>
      <c r="C73" s="167"/>
      <c r="D73" s="134"/>
      <c r="E73" s="134"/>
      <c r="F73" s="133"/>
      <c r="G73" s="133"/>
      <c r="H73" s="133"/>
      <c r="I73" s="133"/>
      <c r="J73" s="135"/>
      <c r="K73" s="136"/>
      <c r="L73" s="133"/>
      <c r="M73" s="136"/>
      <c r="N73" s="133"/>
      <c r="O73" s="137"/>
      <c r="P73" s="137"/>
    </row>
    <row r="74" spans="1:16" ht="12.75">
      <c r="A74" s="131" t="s">
        <v>215</v>
      </c>
      <c r="B74" s="172" t="s">
        <v>222</v>
      </c>
      <c r="C74" s="167">
        <v>10</v>
      </c>
      <c r="D74" s="134"/>
      <c r="E74" s="134"/>
      <c r="F74" s="133"/>
      <c r="G74" s="133"/>
      <c r="H74" s="133"/>
      <c r="I74" s="133"/>
      <c r="J74" s="135"/>
      <c r="K74" s="136"/>
      <c r="L74" s="133">
        <f>C74*8</f>
        <v>80</v>
      </c>
      <c r="M74" s="136"/>
      <c r="N74" s="133">
        <f>C74*32</f>
        <v>320</v>
      </c>
      <c r="O74" s="137"/>
      <c r="P74" s="137"/>
    </row>
    <row r="75" spans="1:16" ht="12.75">
      <c r="A75" s="131" t="s">
        <v>215</v>
      </c>
      <c r="B75" s="172" t="s">
        <v>223</v>
      </c>
      <c r="C75" s="167">
        <v>10</v>
      </c>
      <c r="D75" s="134"/>
      <c r="E75" s="134"/>
      <c r="F75" s="133"/>
      <c r="G75" s="133"/>
      <c r="H75" s="133"/>
      <c r="I75" s="133"/>
      <c r="J75" s="135"/>
      <c r="K75" s="136"/>
      <c r="L75" s="133">
        <f>C75*8</f>
        <v>80</v>
      </c>
      <c r="M75" s="136"/>
      <c r="N75" s="133">
        <f>C75*32</f>
        <v>320</v>
      </c>
      <c r="O75" s="137"/>
      <c r="P75" s="137"/>
    </row>
    <row r="76" spans="1:16" ht="12.75">
      <c r="A76" s="131"/>
      <c r="B76" s="172"/>
      <c r="C76" s="167"/>
      <c r="D76" s="134"/>
      <c r="E76" s="134"/>
      <c r="F76" s="133"/>
      <c r="G76" s="133"/>
      <c r="H76" s="133"/>
      <c r="I76" s="133"/>
      <c r="J76" s="135"/>
      <c r="K76" s="136"/>
      <c r="L76" s="133"/>
      <c r="M76" s="136"/>
      <c r="N76" s="133"/>
      <c r="O76" s="137"/>
      <c r="P76" s="137"/>
    </row>
    <row r="77" spans="1:16" ht="12.75">
      <c r="A77" s="131" t="s">
        <v>215</v>
      </c>
      <c r="B77" s="172" t="s">
        <v>224</v>
      </c>
      <c r="C77" s="167">
        <v>10</v>
      </c>
      <c r="D77" s="134"/>
      <c r="E77" s="134"/>
      <c r="F77" s="133"/>
      <c r="G77" s="133"/>
      <c r="H77" s="133"/>
      <c r="I77" s="133"/>
      <c r="J77" s="135"/>
      <c r="K77" s="136"/>
      <c r="L77" s="133">
        <f>C77*8</f>
        <v>80</v>
      </c>
      <c r="M77" s="136"/>
      <c r="N77" s="133">
        <f>C77*32</f>
        <v>320</v>
      </c>
      <c r="O77" s="137"/>
      <c r="P77" s="137"/>
    </row>
    <row r="78" spans="1:16" ht="12.75">
      <c r="A78" s="131" t="s">
        <v>215</v>
      </c>
      <c r="B78" s="172" t="s">
        <v>225</v>
      </c>
      <c r="C78" s="167">
        <v>10</v>
      </c>
      <c r="D78" s="134"/>
      <c r="E78" s="134"/>
      <c r="F78" s="133"/>
      <c r="G78" s="133"/>
      <c r="H78" s="133"/>
      <c r="I78" s="133"/>
      <c r="J78" s="135"/>
      <c r="K78" s="136"/>
      <c r="L78" s="133">
        <f>C78*8</f>
        <v>80</v>
      </c>
      <c r="M78" s="136"/>
      <c r="N78" s="133">
        <f>C78*32</f>
        <v>320</v>
      </c>
      <c r="O78" s="137"/>
      <c r="P78" s="137"/>
    </row>
    <row r="79" spans="1:16" ht="12.75">
      <c r="A79" s="147"/>
      <c r="B79" s="173"/>
      <c r="C79" s="148"/>
      <c r="D79" s="149"/>
      <c r="E79" s="149"/>
      <c r="F79" s="148"/>
      <c r="G79" s="148"/>
      <c r="H79" s="148"/>
      <c r="I79" s="148"/>
      <c r="J79" s="150"/>
      <c r="K79" s="151"/>
      <c r="L79" s="148"/>
      <c r="M79" s="151"/>
      <c r="N79" s="148"/>
      <c r="O79" s="152"/>
      <c r="P79" s="152"/>
    </row>
    <row r="80" spans="1:16" ht="12.75">
      <c r="A80" s="166" t="s">
        <v>214</v>
      </c>
      <c r="B80" s="155" t="s">
        <v>226</v>
      </c>
      <c r="C80" s="167"/>
      <c r="D80" s="134"/>
      <c r="E80" s="134"/>
      <c r="F80" s="133"/>
      <c r="G80" s="133"/>
      <c r="H80" s="133"/>
      <c r="I80" s="133"/>
      <c r="J80" s="135"/>
      <c r="K80" s="136"/>
      <c r="L80" s="133"/>
      <c r="M80" s="136"/>
      <c r="N80" s="133"/>
      <c r="O80" s="137"/>
      <c r="P80" s="137"/>
    </row>
    <row r="81" spans="1:16" ht="12.75">
      <c r="A81" s="167"/>
      <c r="B81" s="157" t="s">
        <v>227</v>
      </c>
      <c r="C81" s="167"/>
      <c r="D81" s="161"/>
      <c r="E81" s="161"/>
      <c r="F81" s="160"/>
      <c r="G81" s="160"/>
      <c r="H81" s="160"/>
      <c r="I81" s="160"/>
      <c r="J81" s="162"/>
      <c r="K81" s="163"/>
      <c r="L81" s="160"/>
      <c r="M81" s="163"/>
      <c r="N81" s="160"/>
      <c r="O81" s="164"/>
      <c r="P81" s="164"/>
    </row>
    <row r="82" spans="1:16" ht="12.75">
      <c r="A82" s="167"/>
      <c r="B82" s="157" t="s">
        <v>228</v>
      </c>
      <c r="C82" s="167"/>
      <c r="D82" s="161"/>
      <c r="E82" s="161"/>
      <c r="F82" s="160"/>
      <c r="G82" s="160"/>
      <c r="H82" s="160"/>
      <c r="I82" s="160"/>
      <c r="J82" s="162"/>
      <c r="K82" s="163"/>
      <c r="L82" s="160"/>
      <c r="M82" s="163"/>
      <c r="N82" s="160"/>
      <c r="O82" s="164"/>
      <c r="P82" s="164"/>
    </row>
    <row r="83" spans="1:16" ht="12.75">
      <c r="A83" s="167"/>
      <c r="B83" s="157" t="s">
        <v>229</v>
      </c>
      <c r="C83" s="167"/>
      <c r="D83" s="161"/>
      <c r="E83" s="161"/>
      <c r="F83" s="160"/>
      <c r="G83" s="160"/>
      <c r="H83" s="160"/>
      <c r="I83" s="160"/>
      <c r="J83" s="162"/>
      <c r="K83" s="163"/>
      <c r="L83" s="160"/>
      <c r="M83" s="163"/>
      <c r="N83" s="160"/>
      <c r="O83" s="164"/>
      <c r="P83" s="164"/>
    </row>
    <row r="84" spans="1:16" ht="12.75">
      <c r="A84" s="167"/>
      <c r="B84" s="159"/>
      <c r="C84" s="167"/>
      <c r="D84" s="161"/>
      <c r="E84" s="161"/>
      <c r="F84" s="160"/>
      <c r="G84" s="160"/>
      <c r="H84" s="160"/>
      <c r="I84" s="160"/>
      <c r="J84" s="162"/>
      <c r="K84" s="163"/>
      <c r="L84" s="160"/>
      <c r="M84" s="163"/>
      <c r="N84" s="160"/>
      <c r="O84" s="164"/>
      <c r="P84" s="164"/>
    </row>
    <row r="85" spans="1:16" ht="12.75">
      <c r="A85" s="158" t="s">
        <v>230</v>
      </c>
      <c r="B85" s="211" t="s">
        <v>231</v>
      </c>
      <c r="C85" s="167">
        <f>SUM(C86:C88)</f>
        <v>15</v>
      </c>
      <c r="D85" s="156">
        <v>38595</v>
      </c>
      <c r="E85" s="156">
        <v>38616</v>
      </c>
      <c r="F85" s="133"/>
      <c r="G85" s="133"/>
      <c r="H85" s="133"/>
      <c r="I85" s="133"/>
      <c r="J85" s="135"/>
      <c r="K85" s="136"/>
      <c r="L85" s="133"/>
      <c r="M85" s="136"/>
      <c r="N85" s="133"/>
      <c r="O85" s="137"/>
      <c r="P85" s="137"/>
    </row>
    <row r="86" spans="1:16" ht="12.75">
      <c r="A86" s="167"/>
      <c r="B86" s="211" t="s">
        <v>232</v>
      </c>
      <c r="C86" s="174">
        <v>2</v>
      </c>
      <c r="D86" s="134"/>
      <c r="E86" s="134"/>
      <c r="F86" s="133"/>
      <c r="G86" s="133"/>
      <c r="H86" s="133"/>
      <c r="I86" s="133"/>
      <c r="J86" s="135"/>
      <c r="K86" s="136"/>
      <c r="L86" s="160">
        <f>C86*8</f>
        <v>16</v>
      </c>
      <c r="M86" s="136">
        <v>0</v>
      </c>
      <c r="N86" s="160">
        <f>C86*24</f>
        <v>48</v>
      </c>
      <c r="O86" s="137"/>
      <c r="P86" s="137"/>
    </row>
    <row r="87" spans="1:16" ht="12.75">
      <c r="A87" s="167"/>
      <c r="B87" s="211" t="s">
        <v>233</v>
      </c>
      <c r="C87" s="174">
        <v>8</v>
      </c>
      <c r="D87" s="134"/>
      <c r="E87" s="134"/>
      <c r="F87" s="133"/>
      <c r="G87" s="133"/>
      <c r="H87" s="133"/>
      <c r="I87" s="133"/>
      <c r="J87" s="135"/>
      <c r="K87" s="136"/>
      <c r="L87" s="160">
        <f>C87*8</f>
        <v>64</v>
      </c>
      <c r="M87" s="136">
        <v>24</v>
      </c>
      <c r="N87" s="160">
        <f>C87*24</f>
        <v>192</v>
      </c>
      <c r="O87" s="137"/>
      <c r="P87" s="137"/>
    </row>
    <row r="88" spans="1:16" ht="12.75">
      <c r="A88" s="158"/>
      <c r="B88" s="211" t="s">
        <v>234</v>
      </c>
      <c r="C88" s="174">
        <v>5</v>
      </c>
      <c r="D88" s="161">
        <v>38610</v>
      </c>
      <c r="E88" s="134"/>
      <c r="F88" s="133"/>
      <c r="G88" s="133"/>
      <c r="H88" s="133"/>
      <c r="I88" s="133"/>
      <c r="J88" s="135"/>
      <c r="K88" s="136"/>
      <c r="L88" s="160">
        <f>C88*8</f>
        <v>40</v>
      </c>
      <c r="M88" s="136">
        <v>24</v>
      </c>
      <c r="N88" s="160">
        <f>C88*24</f>
        <v>120</v>
      </c>
      <c r="O88" s="137"/>
      <c r="P88" s="137"/>
    </row>
    <row r="89" spans="1:16" ht="12.75">
      <c r="A89" s="158"/>
      <c r="B89" s="211" t="s">
        <v>235</v>
      </c>
      <c r="C89" s="160"/>
      <c r="D89" s="161"/>
      <c r="E89" s="161"/>
      <c r="F89" s="160"/>
      <c r="G89" s="160"/>
      <c r="H89" s="160"/>
      <c r="I89" s="160"/>
      <c r="J89" s="162"/>
      <c r="K89" s="163"/>
      <c r="L89" s="160"/>
      <c r="M89" s="163"/>
      <c r="N89" s="160"/>
      <c r="O89" s="164"/>
      <c r="P89" s="164"/>
    </row>
    <row r="90" spans="1:16" ht="12.75">
      <c r="A90" s="158"/>
      <c r="B90" s="174"/>
      <c r="C90" s="160"/>
      <c r="D90" s="161"/>
      <c r="E90" s="161"/>
      <c r="F90" s="160"/>
      <c r="G90" s="160"/>
      <c r="H90" s="160"/>
      <c r="I90" s="160"/>
      <c r="J90" s="162"/>
      <c r="K90" s="163"/>
      <c r="L90" s="160"/>
      <c r="M90" s="163"/>
      <c r="N90" s="160"/>
      <c r="O90" s="164"/>
      <c r="P90" s="164"/>
    </row>
    <row r="91" spans="1:16" ht="12.75">
      <c r="A91" s="158" t="s">
        <v>230</v>
      </c>
      <c r="B91" s="211" t="s">
        <v>236</v>
      </c>
      <c r="C91" s="167">
        <f>SUM(C92:C94)</f>
        <v>12</v>
      </c>
      <c r="D91" s="175">
        <v>38623</v>
      </c>
      <c r="E91" s="175">
        <v>38638</v>
      </c>
      <c r="F91" s="160"/>
      <c r="G91" s="160"/>
      <c r="H91" s="160"/>
      <c r="I91" s="160"/>
      <c r="J91" s="162"/>
      <c r="K91" s="163"/>
      <c r="L91" s="160"/>
      <c r="M91" s="163"/>
      <c r="N91" s="160"/>
      <c r="O91" s="164"/>
      <c r="P91" s="164"/>
    </row>
    <row r="92" spans="1:16" ht="12.75">
      <c r="A92" s="167"/>
      <c r="B92" s="211" t="s">
        <v>232</v>
      </c>
      <c r="C92" s="174">
        <v>2</v>
      </c>
      <c r="D92" s="161"/>
      <c r="E92" s="161"/>
      <c r="F92" s="160"/>
      <c r="G92" s="160"/>
      <c r="H92" s="160"/>
      <c r="I92" s="160"/>
      <c r="J92" s="162"/>
      <c r="K92" s="163"/>
      <c r="L92" s="160">
        <f>C92*8</f>
        <v>16</v>
      </c>
      <c r="M92" s="163"/>
      <c r="N92" s="160">
        <f>C92*24</f>
        <v>48</v>
      </c>
      <c r="O92" s="164"/>
      <c r="P92" s="164"/>
    </row>
    <row r="93" spans="1:16" ht="12.75">
      <c r="A93" s="167"/>
      <c r="B93" s="211" t="s">
        <v>233</v>
      </c>
      <c r="C93" s="174">
        <v>5</v>
      </c>
      <c r="D93" s="161"/>
      <c r="E93" s="161"/>
      <c r="F93" s="160"/>
      <c r="G93" s="160"/>
      <c r="H93" s="160"/>
      <c r="I93" s="160"/>
      <c r="J93" s="162"/>
      <c r="K93" s="163"/>
      <c r="L93" s="160">
        <f>C93*8</f>
        <v>40</v>
      </c>
      <c r="M93" s="136">
        <v>24</v>
      </c>
      <c r="N93" s="160">
        <f>C93*24</f>
        <v>120</v>
      </c>
      <c r="O93" s="164"/>
      <c r="P93" s="164"/>
    </row>
    <row r="94" spans="1:16" ht="12.75">
      <c r="A94" s="158"/>
      <c r="B94" s="211" t="s">
        <v>234</v>
      </c>
      <c r="C94" s="174">
        <v>5</v>
      </c>
      <c r="D94" s="161">
        <v>38997</v>
      </c>
      <c r="E94" s="161"/>
      <c r="F94" s="160"/>
      <c r="G94" s="160"/>
      <c r="H94" s="160"/>
      <c r="I94" s="160"/>
      <c r="J94" s="162"/>
      <c r="K94" s="163"/>
      <c r="L94" s="160">
        <f>C94*8</f>
        <v>40</v>
      </c>
      <c r="M94" s="136">
        <v>24</v>
      </c>
      <c r="N94" s="160">
        <f>C94*24</f>
        <v>120</v>
      </c>
      <c r="O94" s="164"/>
      <c r="P94" s="164"/>
    </row>
    <row r="95" spans="1:16" ht="12.75">
      <c r="A95" s="158"/>
      <c r="B95" s="211" t="s">
        <v>235</v>
      </c>
      <c r="C95" s="160"/>
      <c r="D95" s="161"/>
      <c r="E95" s="161"/>
      <c r="F95" s="160"/>
      <c r="G95" s="160"/>
      <c r="H95" s="160"/>
      <c r="I95" s="160"/>
      <c r="J95" s="162"/>
      <c r="K95" s="163"/>
      <c r="L95" s="160"/>
      <c r="M95" s="163"/>
      <c r="N95" s="160"/>
      <c r="O95" s="164"/>
      <c r="P95" s="164"/>
    </row>
    <row r="96" spans="1:16" ht="12.75">
      <c r="A96" s="158"/>
      <c r="B96" s="211"/>
      <c r="C96" s="160"/>
      <c r="D96" s="161"/>
      <c r="E96" s="161"/>
      <c r="F96" s="160"/>
      <c r="G96" s="160"/>
      <c r="H96" s="160"/>
      <c r="I96" s="160"/>
      <c r="J96" s="162"/>
      <c r="K96" s="163"/>
      <c r="L96" s="160"/>
      <c r="M96" s="163"/>
      <c r="N96" s="160"/>
      <c r="O96" s="164"/>
      <c r="P96" s="164"/>
    </row>
    <row r="97" spans="1:16" ht="12.75">
      <c r="A97" s="158" t="s">
        <v>230</v>
      </c>
      <c r="B97" s="211" t="s">
        <v>237</v>
      </c>
      <c r="C97" s="167">
        <f>SUM(C98:C100)</f>
        <v>12</v>
      </c>
      <c r="D97" s="156">
        <v>38645</v>
      </c>
      <c r="E97" s="156">
        <v>38660</v>
      </c>
      <c r="F97" s="133"/>
      <c r="G97" s="133"/>
      <c r="H97" s="133"/>
      <c r="I97" s="133"/>
      <c r="J97" s="135"/>
      <c r="K97" s="136"/>
      <c r="L97" s="133"/>
      <c r="M97" s="136"/>
      <c r="N97" s="133"/>
      <c r="O97" s="137"/>
      <c r="P97" s="137"/>
    </row>
    <row r="98" spans="1:16" ht="12.75">
      <c r="A98" s="167"/>
      <c r="B98" s="211" t="s">
        <v>232</v>
      </c>
      <c r="C98" s="174">
        <v>2</v>
      </c>
      <c r="D98" s="134"/>
      <c r="E98" s="134"/>
      <c r="F98" s="133"/>
      <c r="G98" s="133"/>
      <c r="H98" s="133"/>
      <c r="I98" s="133"/>
      <c r="J98" s="135"/>
      <c r="K98" s="136"/>
      <c r="L98" s="160">
        <f>C98*8</f>
        <v>16</v>
      </c>
      <c r="M98" s="136"/>
      <c r="N98" s="160">
        <f>C98*24</f>
        <v>48</v>
      </c>
      <c r="O98" s="137"/>
      <c r="P98" s="137"/>
    </row>
    <row r="99" spans="1:16" ht="12.75">
      <c r="A99" s="167"/>
      <c r="B99" s="211" t="s">
        <v>233</v>
      </c>
      <c r="C99" s="174">
        <v>5</v>
      </c>
      <c r="D99" s="134"/>
      <c r="E99" s="134"/>
      <c r="F99" s="133"/>
      <c r="G99" s="133"/>
      <c r="H99" s="133"/>
      <c r="I99" s="133"/>
      <c r="J99" s="135"/>
      <c r="K99" s="136"/>
      <c r="L99" s="160">
        <f>C99*8</f>
        <v>40</v>
      </c>
      <c r="M99" s="136">
        <v>24</v>
      </c>
      <c r="N99" s="160">
        <f>C99*24</f>
        <v>120</v>
      </c>
      <c r="O99" s="137"/>
      <c r="P99" s="137"/>
    </row>
    <row r="100" spans="1:16" ht="12.75">
      <c r="A100" s="158"/>
      <c r="B100" s="211" t="s">
        <v>234</v>
      </c>
      <c r="C100" s="174">
        <v>5</v>
      </c>
      <c r="D100" s="134">
        <v>38656</v>
      </c>
      <c r="E100" s="134"/>
      <c r="F100" s="133"/>
      <c r="G100" s="133"/>
      <c r="H100" s="133"/>
      <c r="I100" s="133"/>
      <c r="J100" s="135"/>
      <c r="K100" s="136"/>
      <c r="L100" s="160">
        <f>C100*8</f>
        <v>40</v>
      </c>
      <c r="M100" s="136">
        <v>24</v>
      </c>
      <c r="N100" s="160">
        <f>C100*24</f>
        <v>120</v>
      </c>
      <c r="O100" s="137"/>
      <c r="P100" s="137"/>
    </row>
    <row r="101" spans="1:16" ht="12.75">
      <c r="A101" s="158"/>
      <c r="B101" s="211" t="s">
        <v>235</v>
      </c>
      <c r="C101" s="160"/>
      <c r="D101" s="161"/>
      <c r="E101" s="161"/>
      <c r="F101" s="160"/>
      <c r="G101" s="160"/>
      <c r="H101" s="160"/>
      <c r="I101" s="160"/>
      <c r="J101" s="162"/>
      <c r="K101" s="163"/>
      <c r="L101" s="160"/>
      <c r="M101" s="163"/>
      <c r="N101" s="160"/>
      <c r="O101" s="164"/>
      <c r="P101" s="164"/>
    </row>
    <row r="102" spans="1:16" ht="12.75">
      <c r="A102" s="158"/>
      <c r="B102" s="211"/>
      <c r="C102" s="160"/>
      <c r="D102" s="161"/>
      <c r="E102" s="161"/>
      <c r="F102" s="160"/>
      <c r="G102" s="160"/>
      <c r="H102" s="160"/>
      <c r="I102" s="160"/>
      <c r="J102" s="162"/>
      <c r="K102" s="163"/>
      <c r="L102" s="160"/>
      <c r="M102" s="163"/>
      <c r="N102" s="160"/>
      <c r="O102" s="164"/>
      <c r="P102" s="164"/>
    </row>
    <row r="103" spans="1:16" ht="12.75">
      <c r="A103" s="158" t="s">
        <v>230</v>
      </c>
      <c r="B103" s="211" t="s">
        <v>237</v>
      </c>
      <c r="C103" s="167">
        <f>SUM(C104:C106)</f>
        <v>12</v>
      </c>
      <c r="D103" s="175">
        <v>38667</v>
      </c>
      <c r="E103" s="175">
        <v>38686</v>
      </c>
      <c r="F103" s="160"/>
      <c r="G103" s="160"/>
      <c r="H103" s="160"/>
      <c r="I103" s="160"/>
      <c r="J103" s="162"/>
      <c r="K103" s="163"/>
      <c r="L103" s="160"/>
      <c r="M103" s="163"/>
      <c r="N103" s="160"/>
      <c r="O103" s="164"/>
      <c r="P103" s="164"/>
    </row>
    <row r="104" spans="1:16" ht="12.75">
      <c r="A104" s="167"/>
      <c r="B104" s="211" t="s">
        <v>232</v>
      </c>
      <c r="C104" s="174">
        <v>2</v>
      </c>
      <c r="D104" s="161"/>
      <c r="E104" s="161"/>
      <c r="F104" s="160"/>
      <c r="G104" s="160"/>
      <c r="H104" s="160"/>
      <c r="I104" s="160"/>
      <c r="J104" s="162"/>
      <c r="K104" s="163"/>
      <c r="L104" s="160">
        <f>C104*8</f>
        <v>16</v>
      </c>
      <c r="M104" s="163"/>
      <c r="N104" s="160">
        <f>C104*24</f>
        <v>48</v>
      </c>
      <c r="O104" s="164"/>
      <c r="P104" s="164"/>
    </row>
    <row r="105" spans="1:16" ht="12.75">
      <c r="A105" s="167"/>
      <c r="B105" s="211" t="s">
        <v>233</v>
      </c>
      <c r="C105" s="174">
        <v>5</v>
      </c>
      <c r="D105" s="161"/>
      <c r="E105" s="161"/>
      <c r="F105" s="160"/>
      <c r="G105" s="160"/>
      <c r="H105" s="160"/>
      <c r="I105" s="160"/>
      <c r="J105" s="162"/>
      <c r="K105" s="163"/>
      <c r="L105" s="160">
        <f>C105*8</f>
        <v>40</v>
      </c>
      <c r="M105" s="136">
        <v>24</v>
      </c>
      <c r="N105" s="160">
        <f>C105*24</f>
        <v>120</v>
      </c>
      <c r="O105" s="164"/>
      <c r="P105" s="164"/>
    </row>
    <row r="106" spans="1:16" ht="12.75">
      <c r="A106" s="158"/>
      <c r="B106" s="211" t="s">
        <v>234</v>
      </c>
      <c r="C106" s="174">
        <v>5</v>
      </c>
      <c r="D106" s="161">
        <v>38678</v>
      </c>
      <c r="E106" s="161"/>
      <c r="F106" s="160"/>
      <c r="G106" s="160"/>
      <c r="H106" s="160"/>
      <c r="I106" s="160"/>
      <c r="J106" s="162"/>
      <c r="K106" s="163"/>
      <c r="L106" s="160">
        <f>C106*8</f>
        <v>40</v>
      </c>
      <c r="M106" s="136">
        <v>24</v>
      </c>
      <c r="N106" s="160">
        <f>C106*24</f>
        <v>120</v>
      </c>
      <c r="O106" s="164"/>
      <c r="P106" s="164"/>
    </row>
    <row r="107" spans="1:16" ht="12.75">
      <c r="A107" s="158"/>
      <c r="B107" s="211" t="s">
        <v>235</v>
      </c>
      <c r="C107" s="160"/>
      <c r="D107" s="161"/>
      <c r="E107" s="161"/>
      <c r="F107" s="160"/>
      <c r="G107" s="160"/>
      <c r="H107" s="160"/>
      <c r="I107" s="160"/>
      <c r="J107" s="162"/>
      <c r="K107" s="163"/>
      <c r="L107" s="160"/>
      <c r="M107" s="163"/>
      <c r="N107" s="160"/>
      <c r="O107" s="164"/>
      <c r="P107" s="164"/>
    </row>
    <row r="108" spans="1:16" ht="12.75">
      <c r="A108" s="158"/>
      <c r="B108" s="211"/>
      <c r="C108" s="160"/>
      <c r="D108" s="161"/>
      <c r="E108" s="161"/>
      <c r="F108" s="160"/>
      <c r="G108" s="160"/>
      <c r="H108" s="160"/>
      <c r="I108" s="160"/>
      <c r="J108" s="162"/>
      <c r="K108" s="163"/>
      <c r="L108" s="160"/>
      <c r="M108" s="163"/>
      <c r="N108" s="160"/>
      <c r="O108" s="164"/>
      <c r="P108" s="164"/>
    </row>
    <row r="109" spans="1:16" ht="12.75">
      <c r="A109" s="158" t="s">
        <v>230</v>
      </c>
      <c r="B109" s="211" t="s">
        <v>238</v>
      </c>
      <c r="C109" s="167">
        <f>SUM(C110:C112)</f>
        <v>12</v>
      </c>
      <c r="D109" s="156">
        <v>38693</v>
      </c>
      <c r="E109" s="156">
        <v>38708</v>
      </c>
      <c r="F109" s="133"/>
      <c r="G109" s="133"/>
      <c r="H109" s="133"/>
      <c r="I109" s="133"/>
      <c r="J109" s="135"/>
      <c r="K109" s="136"/>
      <c r="L109" s="133"/>
      <c r="M109" s="136"/>
      <c r="N109" s="133"/>
      <c r="O109" s="137"/>
      <c r="P109" s="137"/>
    </row>
    <row r="110" spans="1:16" ht="12.75">
      <c r="A110" s="167"/>
      <c r="B110" s="211" t="s">
        <v>232</v>
      </c>
      <c r="C110" s="174">
        <v>2</v>
      </c>
      <c r="D110" s="134"/>
      <c r="E110" s="134"/>
      <c r="F110" s="133"/>
      <c r="G110" s="133"/>
      <c r="H110" s="133"/>
      <c r="I110" s="133"/>
      <c r="J110" s="135"/>
      <c r="K110" s="136"/>
      <c r="L110" s="160">
        <f>C110*8</f>
        <v>16</v>
      </c>
      <c r="M110" s="136"/>
      <c r="N110" s="160">
        <f>C110*24</f>
        <v>48</v>
      </c>
      <c r="O110" s="137"/>
      <c r="P110" s="137"/>
    </row>
    <row r="111" spans="1:16" ht="12.75">
      <c r="A111" s="167"/>
      <c r="B111" s="211" t="s">
        <v>233</v>
      </c>
      <c r="C111" s="174">
        <v>5</v>
      </c>
      <c r="D111" s="134"/>
      <c r="E111" s="134"/>
      <c r="F111" s="133"/>
      <c r="G111" s="133"/>
      <c r="H111" s="133"/>
      <c r="I111" s="133"/>
      <c r="J111" s="135"/>
      <c r="K111" s="136"/>
      <c r="L111" s="160">
        <f>C111*8</f>
        <v>40</v>
      </c>
      <c r="M111" s="136">
        <v>24</v>
      </c>
      <c r="N111" s="160">
        <f>C111*24</f>
        <v>120</v>
      </c>
      <c r="O111" s="137"/>
      <c r="P111" s="137"/>
    </row>
    <row r="112" spans="1:16" ht="12.75">
      <c r="A112" s="158"/>
      <c r="B112" s="211" t="s">
        <v>234</v>
      </c>
      <c r="C112" s="174">
        <v>5</v>
      </c>
      <c r="D112" s="134">
        <v>38702</v>
      </c>
      <c r="E112" s="134"/>
      <c r="F112" s="133"/>
      <c r="G112" s="133"/>
      <c r="H112" s="133"/>
      <c r="I112" s="133"/>
      <c r="J112" s="135"/>
      <c r="K112" s="136"/>
      <c r="L112" s="160">
        <f>C112*8</f>
        <v>40</v>
      </c>
      <c r="M112" s="136">
        <v>24</v>
      </c>
      <c r="N112" s="160">
        <f>C112*24</f>
        <v>120</v>
      </c>
      <c r="O112" s="137"/>
      <c r="P112" s="137"/>
    </row>
    <row r="113" spans="1:16" ht="12.75">
      <c r="A113" s="158"/>
      <c r="B113" s="211" t="s">
        <v>235</v>
      </c>
      <c r="C113" s="160"/>
      <c r="D113" s="161"/>
      <c r="E113" s="161"/>
      <c r="F113" s="160"/>
      <c r="G113" s="160"/>
      <c r="H113" s="160"/>
      <c r="I113" s="160"/>
      <c r="J113" s="162"/>
      <c r="K113" s="163"/>
      <c r="L113" s="160"/>
      <c r="M113" s="163"/>
      <c r="N113" s="160"/>
      <c r="O113" s="164"/>
      <c r="P113" s="164"/>
    </row>
    <row r="114" spans="1:16" ht="12.75">
      <c r="A114" s="158"/>
      <c r="B114" s="211"/>
      <c r="C114" s="160"/>
      <c r="D114" s="161"/>
      <c r="E114" s="161"/>
      <c r="F114" s="160"/>
      <c r="G114" s="160"/>
      <c r="H114" s="160"/>
      <c r="I114" s="160"/>
      <c r="J114" s="162"/>
      <c r="K114" s="163"/>
      <c r="L114" s="160"/>
      <c r="M114" s="163"/>
      <c r="N114" s="160"/>
      <c r="O114" s="164"/>
      <c r="P114" s="164"/>
    </row>
    <row r="115" spans="1:16" ht="12.75">
      <c r="A115" s="158" t="s">
        <v>230</v>
      </c>
      <c r="B115" s="211" t="s">
        <v>238</v>
      </c>
      <c r="C115" s="167">
        <f>SUM(C116:C118)</f>
        <v>12</v>
      </c>
      <c r="D115" s="175">
        <v>38722</v>
      </c>
      <c r="E115" s="175">
        <v>38737</v>
      </c>
      <c r="F115" s="160"/>
      <c r="G115" s="160"/>
      <c r="H115" s="160"/>
      <c r="I115" s="160"/>
      <c r="J115" s="162"/>
      <c r="K115" s="163"/>
      <c r="L115" s="160"/>
      <c r="M115" s="163"/>
      <c r="N115" s="160"/>
      <c r="O115" s="164"/>
      <c r="P115" s="164"/>
    </row>
    <row r="116" spans="1:16" ht="12.75">
      <c r="A116" s="167"/>
      <c r="B116" s="211" t="s">
        <v>232</v>
      </c>
      <c r="C116" s="174">
        <v>2</v>
      </c>
      <c r="D116" s="161"/>
      <c r="E116" s="161"/>
      <c r="F116" s="160"/>
      <c r="G116" s="160"/>
      <c r="H116" s="160"/>
      <c r="I116" s="160"/>
      <c r="J116" s="162"/>
      <c r="K116" s="163"/>
      <c r="L116" s="160">
        <f>C116*8</f>
        <v>16</v>
      </c>
      <c r="M116" s="163"/>
      <c r="N116" s="160">
        <f>C116*24</f>
        <v>48</v>
      </c>
      <c r="O116" s="164"/>
      <c r="P116" s="164"/>
    </row>
    <row r="117" spans="1:16" ht="12.75">
      <c r="A117" s="167"/>
      <c r="B117" s="211" t="s">
        <v>233</v>
      </c>
      <c r="C117" s="174">
        <v>5</v>
      </c>
      <c r="D117" s="161"/>
      <c r="E117" s="161"/>
      <c r="F117" s="160"/>
      <c r="G117" s="160"/>
      <c r="H117" s="160"/>
      <c r="I117" s="160"/>
      <c r="J117" s="162"/>
      <c r="K117" s="163"/>
      <c r="L117" s="160">
        <f>C117*8</f>
        <v>40</v>
      </c>
      <c r="M117" s="136">
        <v>24</v>
      </c>
      <c r="N117" s="160">
        <f>C117*24</f>
        <v>120</v>
      </c>
      <c r="O117" s="164"/>
      <c r="P117" s="164"/>
    </row>
    <row r="118" spans="1:16" ht="12.75">
      <c r="A118" s="158"/>
      <c r="B118" s="211" t="s">
        <v>234</v>
      </c>
      <c r="C118" s="174">
        <v>5</v>
      </c>
      <c r="D118" s="161">
        <v>38733</v>
      </c>
      <c r="E118" s="161"/>
      <c r="F118" s="160"/>
      <c r="G118" s="160"/>
      <c r="H118" s="160"/>
      <c r="I118" s="160"/>
      <c r="J118" s="162"/>
      <c r="K118" s="163"/>
      <c r="L118" s="160">
        <f>C118*8</f>
        <v>40</v>
      </c>
      <c r="M118" s="136">
        <v>24</v>
      </c>
      <c r="N118" s="160">
        <f>C118*24</f>
        <v>120</v>
      </c>
      <c r="O118" s="164"/>
      <c r="P118" s="164"/>
    </row>
    <row r="119" spans="1:16" ht="12.75">
      <c r="A119" s="158"/>
      <c r="B119" s="211" t="s">
        <v>235</v>
      </c>
      <c r="C119" s="160"/>
      <c r="D119" s="161"/>
      <c r="E119" s="161"/>
      <c r="F119" s="160"/>
      <c r="G119" s="160"/>
      <c r="H119" s="160"/>
      <c r="I119" s="160"/>
      <c r="J119" s="162"/>
      <c r="K119" s="163"/>
      <c r="L119" s="160"/>
      <c r="M119" s="163"/>
      <c r="N119" s="160"/>
      <c r="O119" s="164"/>
      <c r="P119" s="164"/>
    </row>
    <row r="120" spans="1:16" ht="12.75">
      <c r="A120" s="158"/>
      <c r="B120" s="211"/>
      <c r="C120" s="160"/>
      <c r="D120" s="161"/>
      <c r="E120" s="161"/>
      <c r="F120" s="160"/>
      <c r="G120" s="160"/>
      <c r="H120" s="160"/>
      <c r="I120" s="160"/>
      <c r="J120" s="162"/>
      <c r="K120" s="163"/>
      <c r="L120" s="160"/>
      <c r="M120" s="163"/>
      <c r="N120" s="160"/>
      <c r="O120" s="164"/>
      <c r="P120" s="164"/>
    </row>
    <row r="121" spans="1:16" ht="12.75">
      <c r="A121" s="169">
        <v>185</v>
      </c>
      <c r="B121" s="212" t="s">
        <v>239</v>
      </c>
      <c r="C121" s="142"/>
      <c r="D121" s="143"/>
      <c r="E121" s="143"/>
      <c r="F121" s="142"/>
      <c r="G121" s="142"/>
      <c r="H121" s="142"/>
      <c r="I121" s="142"/>
      <c r="J121" s="144"/>
      <c r="K121" s="145"/>
      <c r="L121" s="142"/>
      <c r="M121" s="145"/>
      <c r="N121" s="142"/>
      <c r="O121" s="146"/>
      <c r="P121" s="146"/>
    </row>
    <row r="122" spans="1:16" ht="12.75">
      <c r="A122" s="168"/>
      <c r="B122" s="213" t="s">
        <v>240</v>
      </c>
      <c r="C122" s="168"/>
      <c r="D122" s="161"/>
      <c r="E122" s="161"/>
      <c r="F122" s="158"/>
      <c r="G122" s="158"/>
      <c r="H122" s="158"/>
      <c r="I122" s="158"/>
      <c r="J122" s="162"/>
      <c r="K122" s="176"/>
      <c r="L122" s="168"/>
      <c r="M122" s="177"/>
      <c r="N122" s="168"/>
      <c r="O122" s="178"/>
      <c r="P122" s="178"/>
    </row>
    <row r="123" spans="1:16" ht="12.75">
      <c r="A123" s="168"/>
      <c r="B123" s="213" t="s">
        <v>241</v>
      </c>
      <c r="C123" s="168"/>
      <c r="D123" s="161"/>
      <c r="E123" s="161"/>
      <c r="F123" s="158"/>
      <c r="G123" s="158"/>
      <c r="H123" s="158"/>
      <c r="I123" s="158"/>
      <c r="J123" s="162"/>
      <c r="K123" s="176"/>
      <c r="L123" s="168"/>
      <c r="M123" s="177"/>
      <c r="N123" s="168"/>
      <c r="O123" s="178"/>
      <c r="P123" s="178"/>
    </row>
    <row r="124" spans="1:16" ht="12.75">
      <c r="A124" s="168"/>
      <c r="B124" s="213" t="s">
        <v>242</v>
      </c>
      <c r="C124" s="168"/>
      <c r="D124" s="161"/>
      <c r="E124" s="161"/>
      <c r="F124" s="158"/>
      <c r="G124" s="158"/>
      <c r="H124" s="158"/>
      <c r="I124" s="158"/>
      <c r="J124" s="162"/>
      <c r="K124" s="176"/>
      <c r="L124" s="168"/>
      <c r="M124" s="177"/>
      <c r="N124" s="168"/>
      <c r="O124" s="178"/>
      <c r="P124" s="178"/>
    </row>
    <row r="125" spans="1:16" ht="12.75">
      <c r="A125" s="168"/>
      <c r="B125" s="213" t="s">
        <v>243</v>
      </c>
      <c r="C125" s="168"/>
      <c r="D125" s="161"/>
      <c r="E125" s="161"/>
      <c r="F125" s="158"/>
      <c r="G125" s="158"/>
      <c r="H125" s="158"/>
      <c r="I125" s="158"/>
      <c r="J125" s="162"/>
      <c r="K125" s="176"/>
      <c r="L125" s="168"/>
      <c r="M125" s="177"/>
      <c r="N125" s="168"/>
      <c r="O125" s="178"/>
      <c r="P125" s="178"/>
    </row>
    <row r="126" spans="1:16" ht="12.75">
      <c r="A126" s="168"/>
      <c r="B126" s="214"/>
      <c r="C126" s="168"/>
      <c r="D126" s="161"/>
      <c r="E126" s="161"/>
      <c r="F126" s="158"/>
      <c r="G126" s="158"/>
      <c r="H126" s="158"/>
      <c r="I126" s="158"/>
      <c r="J126" s="162"/>
      <c r="K126" s="176"/>
      <c r="L126" s="168"/>
      <c r="M126" s="177"/>
      <c r="N126" s="168"/>
      <c r="O126" s="178"/>
      <c r="P126" s="178"/>
    </row>
    <row r="127" spans="1:16" ht="12.75">
      <c r="A127" s="158" t="s">
        <v>244</v>
      </c>
      <c r="B127" s="215" t="s">
        <v>245</v>
      </c>
      <c r="C127" s="167">
        <f>SUM(C128:C131)</f>
        <v>37</v>
      </c>
      <c r="D127" s="175">
        <v>38617</v>
      </c>
      <c r="E127" s="175">
        <v>38701</v>
      </c>
      <c r="F127" s="160"/>
      <c r="G127" s="160"/>
      <c r="H127" s="160"/>
      <c r="I127" s="160"/>
      <c r="J127" s="162"/>
      <c r="K127" s="163"/>
      <c r="L127" s="160"/>
      <c r="M127" s="163"/>
      <c r="N127" s="160"/>
      <c r="O127" s="164"/>
      <c r="P127" s="164"/>
    </row>
    <row r="128" spans="1:16" ht="12.75">
      <c r="A128" s="168"/>
      <c r="B128" s="211" t="s">
        <v>246</v>
      </c>
      <c r="C128" s="165">
        <v>10</v>
      </c>
      <c r="D128" s="161">
        <v>38617</v>
      </c>
      <c r="E128" s="161"/>
      <c r="F128" s="160"/>
      <c r="G128" s="160"/>
      <c r="H128" s="160"/>
      <c r="I128" s="160"/>
      <c r="J128" s="162"/>
      <c r="K128" s="163"/>
      <c r="L128" s="160">
        <f>C128*8</f>
        <v>80</v>
      </c>
      <c r="M128" s="163"/>
      <c r="N128" s="160">
        <f>C128*32</f>
        <v>320</v>
      </c>
      <c r="O128" s="164"/>
      <c r="P128" s="164"/>
    </row>
    <row r="129" spans="1:16" ht="12.75">
      <c r="A129" s="168"/>
      <c r="B129" s="211" t="s">
        <v>247</v>
      </c>
      <c r="C129" s="165">
        <v>15</v>
      </c>
      <c r="D129" s="161">
        <v>38639</v>
      </c>
      <c r="E129" s="161"/>
      <c r="F129" s="160"/>
      <c r="G129" s="160"/>
      <c r="H129" s="160"/>
      <c r="I129" s="160"/>
      <c r="J129" s="162"/>
      <c r="K129" s="163"/>
      <c r="L129" s="160">
        <f>C129*8</f>
        <v>120</v>
      </c>
      <c r="M129" s="163">
        <v>40</v>
      </c>
      <c r="N129" s="160">
        <f>C129*32</f>
        <v>480</v>
      </c>
      <c r="O129" s="164"/>
      <c r="P129" s="164"/>
    </row>
    <row r="130" spans="1:16" ht="12.75">
      <c r="A130" s="210"/>
      <c r="B130" s="216" t="s">
        <v>248</v>
      </c>
      <c r="C130" s="165">
        <v>5</v>
      </c>
      <c r="D130" s="134">
        <v>38671</v>
      </c>
      <c r="E130" s="134"/>
      <c r="F130" s="133"/>
      <c r="G130" s="133"/>
      <c r="H130" s="133"/>
      <c r="I130" s="133"/>
      <c r="J130" s="135"/>
      <c r="K130" s="136"/>
      <c r="L130" s="133">
        <f>C130*8</f>
        <v>40</v>
      </c>
      <c r="M130" s="136"/>
      <c r="N130" s="133">
        <f>C130*32</f>
        <v>160</v>
      </c>
      <c r="O130" s="137"/>
      <c r="P130" s="137"/>
    </row>
    <row r="131" spans="1:16" ht="12.75">
      <c r="A131" s="210"/>
      <c r="B131" s="216" t="s">
        <v>249</v>
      </c>
      <c r="C131" s="165">
        <v>7</v>
      </c>
      <c r="D131" s="134">
        <v>38684</v>
      </c>
      <c r="E131" s="134"/>
      <c r="F131" s="133"/>
      <c r="G131" s="133"/>
      <c r="H131" s="133"/>
      <c r="I131" s="133"/>
      <c r="J131" s="135"/>
      <c r="K131" s="136"/>
      <c r="L131" s="133">
        <f>C131*8</f>
        <v>56</v>
      </c>
      <c r="M131" s="136">
        <v>40</v>
      </c>
      <c r="N131" s="133">
        <f>C131*32</f>
        <v>224</v>
      </c>
      <c r="O131" s="137"/>
      <c r="P131" s="137"/>
    </row>
    <row r="132" spans="1:16" ht="12.75">
      <c r="A132" s="147"/>
      <c r="B132" s="217"/>
      <c r="C132" s="179"/>
      <c r="D132" s="149"/>
      <c r="E132" s="149"/>
      <c r="F132" s="148"/>
      <c r="G132" s="148"/>
      <c r="H132" s="148"/>
      <c r="I132" s="148"/>
      <c r="J132" s="150"/>
      <c r="K132" s="151"/>
      <c r="L132" s="148"/>
      <c r="M132" s="151"/>
      <c r="N132" s="148"/>
      <c r="O132" s="152"/>
      <c r="P132" s="152"/>
    </row>
    <row r="133" spans="1:16" ht="12.75">
      <c r="A133" s="158" t="s">
        <v>250</v>
      </c>
      <c r="B133" s="215" t="s">
        <v>251</v>
      </c>
      <c r="C133" s="167">
        <v>15</v>
      </c>
      <c r="D133" s="156">
        <v>38693</v>
      </c>
      <c r="E133" s="156">
        <v>38720</v>
      </c>
      <c r="F133" s="133"/>
      <c r="G133" s="133"/>
      <c r="H133" s="133"/>
      <c r="I133" s="133"/>
      <c r="J133" s="135"/>
      <c r="K133" s="136"/>
      <c r="L133" s="133">
        <v>240</v>
      </c>
      <c r="M133" s="136"/>
      <c r="N133" s="133">
        <f>C133*16</f>
        <v>240</v>
      </c>
      <c r="O133" s="137"/>
      <c r="P133" s="137"/>
    </row>
    <row r="134" spans="1:16" ht="12.75">
      <c r="A134" s="158"/>
      <c r="B134" s="215"/>
      <c r="C134" s="153"/>
      <c r="D134" s="156"/>
      <c r="E134" s="156"/>
      <c r="F134" s="133"/>
      <c r="G134" s="133"/>
      <c r="H134" s="133"/>
      <c r="I134" s="133"/>
      <c r="J134" s="135"/>
      <c r="K134" s="136"/>
      <c r="L134" s="133"/>
      <c r="M134" s="136"/>
      <c r="N134" s="133"/>
      <c r="O134" s="137"/>
      <c r="P134" s="137"/>
    </row>
    <row r="135" spans="1:16" ht="12.75">
      <c r="A135" s="180" t="s">
        <v>252</v>
      </c>
      <c r="B135" s="218" t="s">
        <v>253</v>
      </c>
      <c r="C135" s="170">
        <v>6</v>
      </c>
      <c r="D135" s="181">
        <v>38721</v>
      </c>
      <c r="E135" s="181">
        <v>38728</v>
      </c>
      <c r="F135" s="142"/>
      <c r="G135" s="142"/>
      <c r="H135" s="142"/>
      <c r="I135" s="142"/>
      <c r="J135" s="144"/>
      <c r="K135" s="145"/>
      <c r="L135" s="142">
        <f>C135*8</f>
        <v>48</v>
      </c>
      <c r="M135" s="145"/>
      <c r="N135" s="142">
        <f>C135*24</f>
        <v>144</v>
      </c>
      <c r="O135" s="146"/>
      <c r="P135" s="146"/>
    </row>
    <row r="136" spans="1:16" ht="12.75">
      <c r="A136" s="182"/>
      <c r="B136" s="219"/>
      <c r="C136" s="183"/>
      <c r="D136" s="184"/>
      <c r="E136" s="184"/>
      <c r="F136" s="148"/>
      <c r="G136" s="148"/>
      <c r="H136" s="148"/>
      <c r="I136" s="148"/>
      <c r="J136" s="150"/>
      <c r="K136" s="151"/>
      <c r="L136" s="148"/>
      <c r="M136" s="151"/>
      <c r="N136" s="148"/>
      <c r="O136" s="152"/>
      <c r="P136" s="152"/>
    </row>
    <row r="137" spans="1:16" ht="12.75">
      <c r="A137" s="158" t="s">
        <v>254</v>
      </c>
      <c r="B137" s="215" t="s">
        <v>255</v>
      </c>
      <c r="C137" s="167">
        <v>10</v>
      </c>
      <c r="D137" s="156">
        <v>38729</v>
      </c>
      <c r="E137" s="156">
        <v>38742</v>
      </c>
      <c r="F137" s="133"/>
      <c r="G137" s="133"/>
      <c r="H137" s="133"/>
      <c r="I137" s="133"/>
      <c r="J137" s="135"/>
      <c r="K137" s="136"/>
      <c r="L137" s="133">
        <f>C137*8</f>
        <v>80</v>
      </c>
      <c r="M137" s="136"/>
      <c r="N137" s="133">
        <f>C137*16</f>
        <v>160</v>
      </c>
      <c r="O137" s="137"/>
      <c r="P137" s="137"/>
    </row>
    <row r="138" spans="1:16" ht="12.75">
      <c r="A138" s="167"/>
      <c r="B138" s="215"/>
      <c r="C138" s="167"/>
      <c r="D138" s="175"/>
      <c r="E138" s="175"/>
      <c r="F138" s="160"/>
      <c r="G138" s="160"/>
      <c r="H138" s="160"/>
      <c r="I138" s="160"/>
      <c r="J138" s="162"/>
      <c r="K138" s="163"/>
      <c r="L138" s="160"/>
      <c r="M138" s="163"/>
      <c r="N138" s="160"/>
      <c r="O138" s="164"/>
      <c r="P138" s="164"/>
    </row>
    <row r="139" spans="1:16" ht="12.75">
      <c r="A139" s="180" t="s">
        <v>244</v>
      </c>
      <c r="B139" s="218" t="s">
        <v>256</v>
      </c>
      <c r="C139" s="170">
        <f>C141+C142+C143</f>
        <v>15</v>
      </c>
      <c r="D139" s="185">
        <v>38733</v>
      </c>
      <c r="E139" s="185">
        <v>38763</v>
      </c>
      <c r="F139" s="186"/>
      <c r="G139" s="186"/>
      <c r="H139" s="186"/>
      <c r="I139" s="186"/>
      <c r="J139" s="187"/>
      <c r="K139" s="188"/>
      <c r="L139" s="186"/>
      <c r="M139" s="188"/>
      <c r="N139" s="186"/>
      <c r="O139" s="189"/>
      <c r="P139" s="189"/>
    </row>
    <row r="140" spans="1:16" ht="12.75">
      <c r="A140" s="158"/>
      <c r="B140" s="213" t="s">
        <v>257</v>
      </c>
      <c r="C140" s="167"/>
      <c r="D140" s="161"/>
      <c r="E140" s="161"/>
      <c r="F140" s="160"/>
      <c r="G140" s="160"/>
      <c r="H140" s="160"/>
      <c r="I140" s="160"/>
      <c r="J140" s="162"/>
      <c r="K140" s="163"/>
      <c r="L140" s="160"/>
      <c r="M140" s="163"/>
      <c r="N140" s="160"/>
      <c r="O140" s="164"/>
      <c r="P140" s="164"/>
    </row>
    <row r="141" spans="1:16" ht="12.75">
      <c r="A141" s="158"/>
      <c r="B141" s="214" t="s">
        <v>258</v>
      </c>
      <c r="C141" s="165">
        <v>5</v>
      </c>
      <c r="D141" s="161"/>
      <c r="E141" s="161"/>
      <c r="F141" s="160"/>
      <c r="G141" s="160"/>
      <c r="H141" s="160"/>
      <c r="I141" s="160"/>
      <c r="J141" s="162"/>
      <c r="K141" s="163"/>
      <c r="L141" s="160">
        <f>C141*8</f>
        <v>40</v>
      </c>
      <c r="M141" s="163"/>
      <c r="N141" s="160">
        <f>C141*24</f>
        <v>120</v>
      </c>
      <c r="O141" s="164"/>
      <c r="P141" s="164"/>
    </row>
    <row r="142" spans="1:16" ht="12.75">
      <c r="A142" s="158"/>
      <c r="B142" s="214" t="s">
        <v>259</v>
      </c>
      <c r="C142" s="165">
        <v>4</v>
      </c>
      <c r="D142" s="161"/>
      <c r="E142" s="161"/>
      <c r="F142" s="160"/>
      <c r="G142" s="160"/>
      <c r="H142" s="160"/>
      <c r="I142" s="160"/>
      <c r="J142" s="162"/>
      <c r="K142" s="163"/>
      <c r="L142" s="160">
        <f>C142*8</f>
        <v>32</v>
      </c>
      <c r="M142" s="163"/>
      <c r="N142" s="160">
        <f>C142*24</f>
        <v>96</v>
      </c>
      <c r="O142" s="164"/>
      <c r="P142" s="164"/>
    </row>
    <row r="143" spans="1:16" ht="12.75">
      <c r="A143" s="158"/>
      <c r="B143" s="214" t="s">
        <v>260</v>
      </c>
      <c r="C143" s="165">
        <v>6</v>
      </c>
      <c r="D143" s="161"/>
      <c r="E143" s="161"/>
      <c r="F143" s="160"/>
      <c r="G143" s="160"/>
      <c r="H143" s="160"/>
      <c r="I143" s="160"/>
      <c r="J143" s="162"/>
      <c r="K143" s="163"/>
      <c r="L143" s="160">
        <f>C143*8</f>
        <v>48</v>
      </c>
      <c r="M143" s="163"/>
      <c r="N143" s="160">
        <f>C143*24</f>
        <v>144</v>
      </c>
      <c r="O143" s="164"/>
      <c r="P143" s="164"/>
    </row>
    <row r="144" spans="1:16" ht="12.75">
      <c r="A144" s="147"/>
      <c r="B144" s="220"/>
      <c r="C144" s="183"/>
      <c r="D144" s="149"/>
      <c r="E144" s="149"/>
      <c r="F144" s="148"/>
      <c r="G144" s="148"/>
      <c r="H144" s="148"/>
      <c r="I144" s="148"/>
      <c r="J144" s="150"/>
      <c r="K144" s="151"/>
      <c r="L144" s="148"/>
      <c r="M144" s="151"/>
      <c r="N144" s="148"/>
      <c r="O144" s="152"/>
      <c r="P144" s="152"/>
    </row>
    <row r="145" spans="1:16" ht="12.75">
      <c r="A145" s="158" t="s">
        <v>261</v>
      </c>
      <c r="B145" s="215" t="s">
        <v>262</v>
      </c>
      <c r="C145" s="167">
        <v>5</v>
      </c>
      <c r="D145" s="156">
        <v>38764</v>
      </c>
      <c r="E145" s="156">
        <v>38770</v>
      </c>
      <c r="F145" s="133"/>
      <c r="G145" s="133"/>
      <c r="H145" s="133"/>
      <c r="I145" s="133"/>
      <c r="J145" s="135"/>
      <c r="K145" s="136"/>
      <c r="L145" s="133">
        <f>C145*8</f>
        <v>40</v>
      </c>
      <c r="M145" s="136"/>
      <c r="N145" s="133">
        <f>C145*32</f>
        <v>160</v>
      </c>
      <c r="O145" s="137"/>
      <c r="P145" s="137"/>
    </row>
    <row r="146" spans="1:16" ht="12.75">
      <c r="A146" s="158"/>
      <c r="B146" s="215"/>
      <c r="C146" s="160"/>
      <c r="D146" s="134"/>
      <c r="E146" s="134"/>
      <c r="F146" s="133"/>
      <c r="G146" s="133"/>
      <c r="H146" s="133"/>
      <c r="I146" s="133"/>
      <c r="J146" s="135"/>
      <c r="K146" s="136"/>
      <c r="L146" s="133"/>
      <c r="M146" s="136"/>
      <c r="N146" s="133"/>
      <c r="O146" s="137"/>
      <c r="P146" s="137"/>
    </row>
    <row r="147" spans="1:16" ht="12.75">
      <c r="A147" s="180" t="s">
        <v>263</v>
      </c>
      <c r="B147" s="218" t="s">
        <v>264</v>
      </c>
      <c r="C147" s="170">
        <v>3</v>
      </c>
      <c r="D147" s="181">
        <v>38771</v>
      </c>
      <c r="E147" s="181">
        <v>38775</v>
      </c>
      <c r="F147" s="142"/>
      <c r="G147" s="142"/>
      <c r="H147" s="142"/>
      <c r="I147" s="142"/>
      <c r="J147" s="144"/>
      <c r="K147" s="145"/>
      <c r="L147" s="142">
        <f>C147*8</f>
        <v>24</v>
      </c>
      <c r="M147" s="145"/>
      <c r="N147" s="142">
        <f>C147*32</f>
        <v>96</v>
      </c>
      <c r="O147" s="146"/>
      <c r="P147" s="146"/>
    </row>
    <row r="148" spans="1:16" ht="12.75">
      <c r="A148" s="182"/>
      <c r="B148" s="221"/>
      <c r="C148" s="183"/>
      <c r="D148" s="149"/>
      <c r="E148" s="149"/>
      <c r="F148" s="148"/>
      <c r="G148" s="148"/>
      <c r="H148" s="148"/>
      <c r="I148" s="148"/>
      <c r="J148" s="150"/>
      <c r="K148" s="151"/>
      <c r="L148" s="148"/>
      <c r="M148" s="151"/>
      <c r="N148" s="148"/>
      <c r="O148" s="152"/>
      <c r="P148" s="152"/>
    </row>
    <row r="149" spans="1:16" ht="12.75">
      <c r="A149" s="158" t="s">
        <v>265</v>
      </c>
      <c r="B149" s="222" t="s">
        <v>266</v>
      </c>
      <c r="C149" s="190">
        <v>1</v>
      </c>
      <c r="D149" s="191">
        <v>38776</v>
      </c>
      <c r="E149" s="191">
        <v>38776</v>
      </c>
      <c r="F149" s="133"/>
      <c r="G149" s="133"/>
      <c r="H149" s="133"/>
      <c r="I149" s="133"/>
      <c r="J149" s="135"/>
      <c r="K149" s="136"/>
      <c r="L149" s="133"/>
      <c r="M149" s="136"/>
      <c r="N149" s="133"/>
      <c r="O149" s="137"/>
      <c r="P149" s="137"/>
    </row>
    <row r="150" spans="1:16" ht="12.75">
      <c r="A150" s="158"/>
      <c r="B150" s="211"/>
      <c r="C150" s="133"/>
      <c r="D150" s="134"/>
      <c r="E150" s="134"/>
      <c r="F150" s="133"/>
      <c r="G150" s="133"/>
      <c r="H150" s="133"/>
      <c r="I150" s="133"/>
      <c r="J150" s="135"/>
      <c r="K150" s="136"/>
      <c r="L150" s="133"/>
      <c r="M150" s="136"/>
      <c r="N150" s="133"/>
      <c r="O150" s="137"/>
      <c r="P150" s="137"/>
    </row>
    <row r="151" spans="1:16" ht="12.75">
      <c r="A151" s="180" t="s">
        <v>244</v>
      </c>
      <c r="B151" s="218" t="s">
        <v>267</v>
      </c>
      <c r="C151" s="170">
        <v>45</v>
      </c>
      <c r="D151" s="185">
        <v>38693</v>
      </c>
      <c r="E151" s="185">
        <v>38754</v>
      </c>
      <c r="F151" s="186"/>
      <c r="G151" s="186"/>
      <c r="H151" s="186"/>
      <c r="I151" s="186"/>
      <c r="J151" s="187"/>
      <c r="K151" s="188"/>
      <c r="L151" s="186"/>
      <c r="M151" s="188"/>
      <c r="N151" s="186"/>
      <c r="O151" s="189"/>
      <c r="P151" s="189"/>
    </row>
    <row r="152" spans="1:16" ht="12.75">
      <c r="A152" s="158"/>
      <c r="B152" s="211" t="s">
        <v>246</v>
      </c>
      <c r="C152" s="165">
        <v>10</v>
      </c>
      <c r="D152" s="161">
        <v>38693</v>
      </c>
      <c r="E152" s="161"/>
      <c r="F152" s="160"/>
      <c r="G152" s="160"/>
      <c r="H152" s="160"/>
      <c r="I152" s="160"/>
      <c r="J152" s="162"/>
      <c r="K152" s="163"/>
      <c r="L152" s="160">
        <f>C152*8</f>
        <v>80</v>
      </c>
      <c r="M152" s="163"/>
      <c r="N152" s="160">
        <f>C152*32</f>
        <v>320</v>
      </c>
      <c r="O152" s="164"/>
      <c r="P152" s="164"/>
    </row>
    <row r="153" spans="1:16" ht="12.75">
      <c r="A153" s="158"/>
      <c r="B153" s="211" t="s">
        <v>247</v>
      </c>
      <c r="C153" s="165">
        <v>15</v>
      </c>
      <c r="D153" s="161">
        <v>38707</v>
      </c>
      <c r="E153" s="161"/>
      <c r="F153" s="160"/>
      <c r="G153" s="160"/>
      <c r="H153" s="160"/>
      <c r="I153" s="160"/>
      <c r="J153" s="162"/>
      <c r="K153" s="163"/>
      <c r="L153" s="160">
        <f>C153*8</f>
        <v>120</v>
      </c>
      <c r="M153" s="163">
        <v>40</v>
      </c>
      <c r="N153" s="160">
        <f>C153*32</f>
        <v>480</v>
      </c>
      <c r="O153" s="164"/>
      <c r="P153" s="164"/>
    </row>
    <row r="154" spans="1:16" ht="12.75">
      <c r="A154" s="131"/>
      <c r="B154" s="216" t="s">
        <v>268</v>
      </c>
      <c r="C154" s="165">
        <v>5</v>
      </c>
      <c r="D154" s="134">
        <v>38735</v>
      </c>
      <c r="E154" s="134"/>
      <c r="F154" s="133"/>
      <c r="G154" s="133"/>
      <c r="H154" s="133"/>
      <c r="I154" s="133"/>
      <c r="J154" s="135"/>
      <c r="K154" s="136"/>
      <c r="L154" s="133">
        <f>C154*8</f>
        <v>40</v>
      </c>
      <c r="M154" s="136"/>
      <c r="N154" s="133">
        <f>C154*32</f>
        <v>160</v>
      </c>
      <c r="O154" s="137"/>
      <c r="P154" s="137"/>
    </row>
    <row r="155" spans="1:16" ht="12.75">
      <c r="A155" s="131"/>
      <c r="B155" s="216" t="s">
        <v>269</v>
      </c>
      <c r="C155" s="165">
        <v>7</v>
      </c>
      <c r="D155" s="134">
        <v>38744</v>
      </c>
      <c r="E155" s="134"/>
      <c r="F155" s="133"/>
      <c r="G155" s="133"/>
      <c r="H155" s="133"/>
      <c r="I155" s="133"/>
      <c r="J155" s="135"/>
      <c r="K155" s="136"/>
      <c r="L155" s="133">
        <f>C155*8</f>
        <v>56</v>
      </c>
      <c r="M155" s="136">
        <v>40</v>
      </c>
      <c r="N155" s="133">
        <f>C155*32</f>
        <v>224</v>
      </c>
      <c r="O155" s="137"/>
      <c r="P155" s="137"/>
    </row>
    <row r="156" spans="1:16" ht="12.75">
      <c r="A156" s="147"/>
      <c r="B156" s="217"/>
      <c r="C156" s="179"/>
      <c r="D156" s="149"/>
      <c r="E156" s="149"/>
      <c r="F156" s="148"/>
      <c r="G156" s="148"/>
      <c r="H156" s="148"/>
      <c r="I156" s="148"/>
      <c r="J156" s="150"/>
      <c r="K156" s="151"/>
      <c r="L156" s="148"/>
      <c r="M156" s="151"/>
      <c r="N156" s="148"/>
      <c r="O156" s="152"/>
      <c r="P156" s="152"/>
    </row>
    <row r="157" spans="1:16" ht="12.75">
      <c r="A157" s="158" t="s">
        <v>250</v>
      </c>
      <c r="B157" s="215" t="s">
        <v>251</v>
      </c>
      <c r="C157" s="167">
        <v>15</v>
      </c>
      <c r="D157" s="156">
        <v>38755</v>
      </c>
      <c r="E157" s="156">
        <v>38775</v>
      </c>
      <c r="F157" s="133"/>
      <c r="G157" s="133"/>
      <c r="H157" s="133"/>
      <c r="I157" s="133"/>
      <c r="J157" s="135"/>
      <c r="K157" s="136"/>
      <c r="L157" s="133">
        <v>240</v>
      </c>
      <c r="M157" s="136"/>
      <c r="N157" s="133">
        <f>C157*16</f>
        <v>240</v>
      </c>
      <c r="O157" s="137"/>
      <c r="P157" s="137"/>
    </row>
    <row r="158" spans="1:16" ht="12.75">
      <c r="A158" s="158"/>
      <c r="B158" s="215"/>
      <c r="C158" s="167"/>
      <c r="D158" s="156"/>
      <c r="E158" s="156"/>
      <c r="F158" s="133"/>
      <c r="G158" s="133"/>
      <c r="H158" s="133"/>
      <c r="I158" s="133"/>
      <c r="J158" s="135"/>
      <c r="K158" s="136"/>
      <c r="L158" s="133"/>
      <c r="M158" s="136"/>
      <c r="N158" s="133"/>
      <c r="O158" s="137"/>
      <c r="P158" s="137"/>
    </row>
    <row r="159" spans="1:16" ht="12.75">
      <c r="A159" s="180" t="s">
        <v>252</v>
      </c>
      <c r="B159" s="218" t="s">
        <v>253</v>
      </c>
      <c r="C159" s="170">
        <v>6</v>
      </c>
      <c r="D159" s="181">
        <v>38776</v>
      </c>
      <c r="E159" s="181">
        <v>38783</v>
      </c>
      <c r="F159" s="142"/>
      <c r="G159" s="142"/>
      <c r="H159" s="142"/>
      <c r="I159" s="142"/>
      <c r="J159" s="144"/>
      <c r="K159" s="145"/>
      <c r="L159" s="142">
        <f>C159*8</f>
        <v>48</v>
      </c>
      <c r="M159" s="145"/>
      <c r="N159" s="142">
        <f>C159*24</f>
        <v>144</v>
      </c>
      <c r="O159" s="146"/>
      <c r="P159" s="146"/>
    </row>
    <row r="160" spans="1:16" ht="12.75">
      <c r="A160" s="182"/>
      <c r="B160" s="219"/>
      <c r="C160" s="183"/>
      <c r="D160" s="184"/>
      <c r="E160" s="184"/>
      <c r="F160" s="148"/>
      <c r="G160" s="148"/>
      <c r="H160" s="148"/>
      <c r="I160" s="148"/>
      <c r="J160" s="150"/>
      <c r="K160" s="151"/>
      <c r="L160" s="148"/>
      <c r="M160" s="151"/>
      <c r="N160" s="148"/>
      <c r="O160" s="152"/>
      <c r="P160" s="152"/>
    </row>
    <row r="161" spans="1:16" ht="12.75">
      <c r="A161" s="158" t="s">
        <v>254</v>
      </c>
      <c r="B161" s="215" t="s">
        <v>255</v>
      </c>
      <c r="C161" s="167">
        <v>10</v>
      </c>
      <c r="D161" s="156">
        <v>38784</v>
      </c>
      <c r="E161" s="156">
        <v>38797</v>
      </c>
      <c r="F161" s="133"/>
      <c r="G161" s="133"/>
      <c r="H161" s="133"/>
      <c r="I161" s="133"/>
      <c r="J161" s="135"/>
      <c r="K161" s="136"/>
      <c r="L161" s="133">
        <f>C161*8</f>
        <v>80</v>
      </c>
      <c r="M161" s="136"/>
      <c r="N161" s="133">
        <f>C161*16</f>
        <v>160</v>
      </c>
      <c r="O161" s="137"/>
      <c r="P161" s="137"/>
    </row>
    <row r="162" spans="1:16" ht="12.75">
      <c r="A162" s="158"/>
      <c r="B162" s="215"/>
      <c r="C162" s="167"/>
      <c r="D162" s="175"/>
      <c r="E162" s="175"/>
      <c r="F162" s="160"/>
      <c r="G162" s="160"/>
      <c r="H162" s="160"/>
      <c r="I162" s="160"/>
      <c r="J162" s="162"/>
      <c r="K162" s="163"/>
      <c r="L162" s="160"/>
      <c r="M162" s="163"/>
      <c r="N162" s="160"/>
      <c r="O162" s="164"/>
      <c r="P162" s="164"/>
    </row>
    <row r="163" spans="1:16" ht="12.75">
      <c r="A163" s="180" t="s">
        <v>244</v>
      </c>
      <c r="B163" s="218" t="s">
        <v>256</v>
      </c>
      <c r="C163" s="170">
        <f>C165+C166+C167</f>
        <v>15</v>
      </c>
      <c r="D163" s="185">
        <v>38798</v>
      </c>
      <c r="E163" s="185">
        <v>38818</v>
      </c>
      <c r="F163" s="186"/>
      <c r="G163" s="186"/>
      <c r="H163" s="186"/>
      <c r="I163" s="186"/>
      <c r="J163" s="187"/>
      <c r="K163" s="188"/>
      <c r="L163" s="186"/>
      <c r="M163" s="188"/>
      <c r="N163" s="186"/>
      <c r="O163" s="189"/>
      <c r="P163" s="189"/>
    </row>
    <row r="164" spans="1:16" ht="12.75">
      <c r="A164" s="158"/>
      <c r="B164" s="213" t="s">
        <v>257</v>
      </c>
      <c r="C164" s="167"/>
      <c r="D164" s="161"/>
      <c r="E164" s="161"/>
      <c r="F164" s="160"/>
      <c r="G164" s="160"/>
      <c r="H164" s="160"/>
      <c r="I164" s="160"/>
      <c r="J164" s="162"/>
      <c r="K164" s="163"/>
      <c r="L164" s="160"/>
      <c r="M164" s="163"/>
      <c r="N164" s="160"/>
      <c r="O164" s="164"/>
      <c r="P164" s="164"/>
    </row>
    <row r="165" spans="1:16" ht="12.75">
      <c r="A165" s="167"/>
      <c r="B165" s="214" t="s">
        <v>258</v>
      </c>
      <c r="C165" s="165">
        <v>5</v>
      </c>
      <c r="D165" s="161"/>
      <c r="E165" s="161"/>
      <c r="F165" s="160"/>
      <c r="G165" s="160"/>
      <c r="H165" s="160"/>
      <c r="I165" s="160"/>
      <c r="J165" s="162"/>
      <c r="K165" s="163"/>
      <c r="L165" s="160">
        <f>C165*8</f>
        <v>40</v>
      </c>
      <c r="M165" s="163"/>
      <c r="N165" s="160">
        <f>C165*24</f>
        <v>120</v>
      </c>
      <c r="O165" s="164"/>
      <c r="P165" s="164"/>
    </row>
    <row r="166" spans="1:16" ht="12.75">
      <c r="A166" s="167"/>
      <c r="B166" s="214" t="s">
        <v>259</v>
      </c>
      <c r="C166" s="165">
        <v>4</v>
      </c>
      <c r="D166" s="161"/>
      <c r="E166" s="161"/>
      <c r="F166" s="160"/>
      <c r="G166" s="160"/>
      <c r="H166" s="160"/>
      <c r="I166" s="160"/>
      <c r="J166" s="162"/>
      <c r="K166" s="163"/>
      <c r="L166" s="160">
        <f>C166*8</f>
        <v>32</v>
      </c>
      <c r="M166" s="163"/>
      <c r="N166" s="160">
        <f>C166*24</f>
        <v>96</v>
      </c>
      <c r="O166" s="164"/>
      <c r="P166" s="164"/>
    </row>
    <row r="167" spans="1:16" ht="12.75">
      <c r="A167" s="167"/>
      <c r="B167" s="214" t="s">
        <v>260</v>
      </c>
      <c r="C167" s="165">
        <v>6</v>
      </c>
      <c r="D167" s="161"/>
      <c r="E167" s="161"/>
      <c r="F167" s="160"/>
      <c r="G167" s="160"/>
      <c r="H167" s="160"/>
      <c r="I167" s="160"/>
      <c r="J167" s="162"/>
      <c r="K167" s="163"/>
      <c r="L167" s="160">
        <f>C167*8</f>
        <v>48</v>
      </c>
      <c r="M167" s="163"/>
      <c r="N167" s="160">
        <f>C167*24</f>
        <v>144</v>
      </c>
      <c r="O167" s="164"/>
      <c r="P167" s="164"/>
    </row>
    <row r="168" spans="1:16" ht="12.75">
      <c r="A168" s="192"/>
      <c r="B168" s="220"/>
      <c r="C168" s="192"/>
      <c r="D168" s="149"/>
      <c r="E168" s="149"/>
      <c r="F168" s="148"/>
      <c r="G168" s="148"/>
      <c r="H168" s="148"/>
      <c r="I168" s="148"/>
      <c r="J168" s="150"/>
      <c r="K168" s="151"/>
      <c r="L168" s="148"/>
      <c r="M168" s="151"/>
      <c r="N168" s="148"/>
      <c r="O168" s="152"/>
      <c r="P168" s="152"/>
    </row>
    <row r="169" spans="1:16" ht="12.75">
      <c r="A169" s="158" t="s">
        <v>261</v>
      </c>
      <c r="B169" s="215" t="s">
        <v>262</v>
      </c>
      <c r="C169" s="167">
        <v>5</v>
      </c>
      <c r="D169" s="156">
        <v>38819</v>
      </c>
      <c r="E169" s="156">
        <v>38825</v>
      </c>
      <c r="F169" s="133"/>
      <c r="G169" s="133"/>
      <c r="H169" s="133"/>
      <c r="I169" s="133"/>
      <c r="J169" s="135"/>
      <c r="K169" s="136"/>
      <c r="L169" s="133">
        <f>C169*8</f>
        <v>40</v>
      </c>
      <c r="M169" s="136"/>
      <c r="N169" s="133">
        <f>C169*32</f>
        <v>160</v>
      </c>
      <c r="O169" s="137"/>
      <c r="P169" s="137"/>
    </row>
    <row r="170" spans="1:16" ht="12.75">
      <c r="A170" s="158"/>
      <c r="B170" s="215"/>
      <c r="C170" s="160"/>
      <c r="D170" s="156"/>
      <c r="E170" s="156"/>
      <c r="F170" s="133"/>
      <c r="G170" s="133"/>
      <c r="H170" s="133"/>
      <c r="I170" s="133"/>
      <c r="J170" s="135"/>
      <c r="K170" s="136"/>
      <c r="L170" s="133"/>
      <c r="M170" s="136"/>
      <c r="N170" s="133"/>
      <c r="O170" s="137"/>
      <c r="P170" s="137"/>
    </row>
    <row r="171" spans="1:16" ht="12.75">
      <c r="A171" s="180" t="s">
        <v>263</v>
      </c>
      <c r="B171" s="218" t="s">
        <v>270</v>
      </c>
      <c r="C171" s="170">
        <v>3</v>
      </c>
      <c r="D171" s="181">
        <v>38826</v>
      </c>
      <c r="E171" s="181">
        <v>38828</v>
      </c>
      <c r="F171" s="142"/>
      <c r="G171" s="142"/>
      <c r="H171" s="142"/>
      <c r="I171" s="142"/>
      <c r="J171" s="144"/>
      <c r="K171" s="145"/>
      <c r="L171" s="142">
        <f>C171*8</f>
        <v>24</v>
      </c>
      <c r="M171" s="145"/>
      <c r="N171" s="142">
        <f>C171*32</f>
        <v>96</v>
      </c>
      <c r="O171" s="146"/>
      <c r="P171" s="146"/>
    </row>
    <row r="172" spans="1:16" ht="12.75">
      <c r="A172" s="182"/>
      <c r="B172" s="221"/>
      <c r="C172" s="183"/>
      <c r="D172" s="184"/>
      <c r="E172" s="184"/>
      <c r="F172" s="148"/>
      <c r="G172" s="148"/>
      <c r="H172" s="148"/>
      <c r="I172" s="148"/>
      <c r="J172" s="150"/>
      <c r="K172" s="151"/>
      <c r="L172" s="148"/>
      <c r="M172" s="151"/>
      <c r="N172" s="148"/>
      <c r="O172" s="152"/>
      <c r="P172" s="152"/>
    </row>
    <row r="173" spans="1:16" ht="12.75">
      <c r="A173" s="158" t="s">
        <v>265</v>
      </c>
      <c r="B173" s="222" t="s">
        <v>271</v>
      </c>
      <c r="C173" s="190">
        <v>1</v>
      </c>
      <c r="D173" s="191">
        <v>38831</v>
      </c>
      <c r="E173" s="191">
        <v>38831</v>
      </c>
      <c r="F173" s="133"/>
      <c r="G173" s="133"/>
      <c r="H173" s="133"/>
      <c r="I173" s="133"/>
      <c r="J173" s="135"/>
      <c r="K173" s="136"/>
      <c r="L173" s="133"/>
      <c r="M173" s="136"/>
      <c r="N173" s="133"/>
      <c r="O173" s="137"/>
      <c r="P173" s="137"/>
    </row>
    <row r="174" spans="1:16" ht="12.75">
      <c r="A174" s="158"/>
      <c r="B174" s="211"/>
      <c r="C174" s="160"/>
      <c r="D174" s="156"/>
      <c r="E174" s="156"/>
      <c r="F174" s="133"/>
      <c r="G174" s="133"/>
      <c r="H174" s="133"/>
      <c r="I174" s="133"/>
      <c r="J174" s="135"/>
      <c r="K174" s="136"/>
      <c r="L174" s="133"/>
      <c r="M174" s="136"/>
      <c r="N174" s="133"/>
      <c r="O174" s="137"/>
      <c r="P174" s="137"/>
    </row>
    <row r="175" spans="1:16" ht="12.75">
      <c r="A175" s="180" t="s">
        <v>244</v>
      </c>
      <c r="B175" s="218" t="s">
        <v>272</v>
      </c>
      <c r="C175" s="170">
        <f>SUM(C176:C179)</f>
        <v>37</v>
      </c>
      <c r="D175" s="185">
        <v>38755</v>
      </c>
      <c r="E175" s="185">
        <v>38807</v>
      </c>
      <c r="F175" s="186"/>
      <c r="G175" s="186"/>
      <c r="H175" s="186"/>
      <c r="I175" s="186"/>
      <c r="J175" s="187"/>
      <c r="K175" s="188"/>
      <c r="L175" s="186"/>
      <c r="M175" s="188"/>
      <c r="N175" s="186"/>
      <c r="O175" s="189"/>
      <c r="P175" s="189"/>
    </row>
    <row r="176" spans="1:16" ht="12.75">
      <c r="A176" s="158"/>
      <c r="B176" s="211" t="s">
        <v>246</v>
      </c>
      <c r="C176" s="165">
        <v>10</v>
      </c>
      <c r="D176" s="161">
        <v>38755</v>
      </c>
      <c r="E176" s="161">
        <v>38768</v>
      </c>
      <c r="F176" s="160"/>
      <c r="G176" s="160"/>
      <c r="H176" s="160"/>
      <c r="I176" s="160"/>
      <c r="J176" s="162"/>
      <c r="K176" s="163"/>
      <c r="L176" s="160">
        <f>C176*8</f>
        <v>80</v>
      </c>
      <c r="M176" s="163"/>
      <c r="N176" s="160">
        <f>C176*32</f>
        <v>320</v>
      </c>
      <c r="O176" s="164"/>
      <c r="P176" s="164"/>
    </row>
    <row r="177" spans="1:16" ht="12.75">
      <c r="A177" s="158"/>
      <c r="B177" s="211" t="s">
        <v>247</v>
      </c>
      <c r="C177" s="165">
        <v>15</v>
      </c>
      <c r="D177" s="161">
        <v>38769</v>
      </c>
      <c r="E177" s="161">
        <v>38789</v>
      </c>
      <c r="F177" s="160"/>
      <c r="G177" s="160"/>
      <c r="H177" s="160"/>
      <c r="I177" s="160"/>
      <c r="J177" s="162"/>
      <c r="K177" s="163"/>
      <c r="L177" s="160">
        <f>C177*8</f>
        <v>120</v>
      </c>
      <c r="M177" s="163">
        <v>40</v>
      </c>
      <c r="N177" s="160">
        <f>C177*32</f>
        <v>480</v>
      </c>
      <c r="O177" s="164"/>
      <c r="P177" s="164"/>
    </row>
    <row r="178" spans="1:16" ht="12.75">
      <c r="A178" s="131"/>
      <c r="B178" s="216" t="s">
        <v>273</v>
      </c>
      <c r="C178" s="165">
        <v>5</v>
      </c>
      <c r="D178" s="134">
        <v>38790</v>
      </c>
      <c r="E178" s="134">
        <v>38798</v>
      </c>
      <c r="F178" s="133"/>
      <c r="G178" s="133"/>
      <c r="H178" s="133"/>
      <c r="I178" s="133"/>
      <c r="J178" s="135"/>
      <c r="K178" s="136"/>
      <c r="L178" s="133">
        <f>C178*8</f>
        <v>40</v>
      </c>
      <c r="M178" s="136"/>
      <c r="N178" s="133">
        <f>C178*32</f>
        <v>160</v>
      </c>
      <c r="O178" s="137"/>
      <c r="P178" s="137"/>
    </row>
    <row r="179" spans="1:16" ht="12.75">
      <c r="A179" s="131"/>
      <c r="B179" s="216" t="s">
        <v>274</v>
      </c>
      <c r="C179" s="165">
        <v>7</v>
      </c>
      <c r="D179" s="134">
        <v>38799</v>
      </c>
      <c r="E179" s="134">
        <v>38807</v>
      </c>
      <c r="F179" s="133"/>
      <c r="G179" s="133"/>
      <c r="H179" s="133"/>
      <c r="I179" s="133"/>
      <c r="J179" s="135"/>
      <c r="K179" s="136"/>
      <c r="L179" s="133">
        <f>C179*8</f>
        <v>56</v>
      </c>
      <c r="M179" s="136">
        <v>40</v>
      </c>
      <c r="N179" s="133">
        <f>C179*32</f>
        <v>224</v>
      </c>
      <c r="O179" s="137"/>
      <c r="P179" s="137"/>
    </row>
    <row r="180" spans="1:16" ht="12.75">
      <c r="A180" s="147"/>
      <c r="B180" s="217"/>
      <c r="C180" s="148"/>
      <c r="D180" s="149"/>
      <c r="E180" s="149"/>
      <c r="F180" s="148"/>
      <c r="G180" s="148"/>
      <c r="H180" s="148"/>
      <c r="I180" s="148"/>
      <c r="J180" s="150"/>
      <c r="K180" s="151"/>
      <c r="L180" s="148"/>
      <c r="M180" s="151"/>
      <c r="N180" s="148"/>
      <c r="O180" s="152"/>
      <c r="P180" s="152"/>
    </row>
    <row r="181" spans="1:16" ht="12.75">
      <c r="A181" s="158" t="s">
        <v>250</v>
      </c>
      <c r="B181" s="215" t="s">
        <v>251</v>
      </c>
      <c r="C181" s="167">
        <v>15</v>
      </c>
      <c r="D181" s="156">
        <v>38810</v>
      </c>
      <c r="E181" s="156">
        <v>38828</v>
      </c>
      <c r="F181" s="133"/>
      <c r="G181" s="133"/>
      <c r="H181" s="133"/>
      <c r="I181" s="133"/>
      <c r="J181" s="135"/>
      <c r="K181" s="136"/>
      <c r="L181" s="133">
        <v>240</v>
      </c>
      <c r="M181" s="136"/>
      <c r="N181" s="133">
        <f>C181*16</f>
        <v>240</v>
      </c>
      <c r="O181" s="137"/>
      <c r="P181" s="137"/>
    </row>
    <row r="182" spans="1:16" ht="12.75">
      <c r="A182" s="158"/>
      <c r="B182" s="215"/>
      <c r="C182" s="167"/>
      <c r="D182" s="156"/>
      <c r="E182" s="156"/>
      <c r="F182" s="133"/>
      <c r="G182" s="133"/>
      <c r="H182" s="133"/>
      <c r="I182" s="133"/>
      <c r="J182" s="135"/>
      <c r="K182" s="136"/>
      <c r="L182" s="133"/>
      <c r="M182" s="136"/>
      <c r="N182" s="133"/>
      <c r="O182" s="137"/>
      <c r="P182" s="137"/>
    </row>
    <row r="183" spans="1:16" ht="12.75">
      <c r="A183" s="180" t="s">
        <v>252</v>
      </c>
      <c r="B183" s="218" t="s">
        <v>253</v>
      </c>
      <c r="C183" s="170">
        <v>5</v>
      </c>
      <c r="D183" s="181">
        <v>38831</v>
      </c>
      <c r="E183" s="181">
        <v>38835</v>
      </c>
      <c r="F183" s="142"/>
      <c r="G183" s="142"/>
      <c r="H183" s="142"/>
      <c r="I183" s="142"/>
      <c r="J183" s="144"/>
      <c r="K183" s="145"/>
      <c r="L183" s="142">
        <v>48</v>
      </c>
      <c r="M183" s="145"/>
      <c r="N183" s="142">
        <v>144</v>
      </c>
      <c r="O183" s="146"/>
      <c r="P183" s="146"/>
    </row>
    <row r="184" spans="1:16" ht="12.75">
      <c r="A184" s="182"/>
      <c r="B184" s="219"/>
      <c r="C184" s="183"/>
      <c r="D184" s="149"/>
      <c r="E184" s="149"/>
      <c r="F184" s="148"/>
      <c r="G184" s="148"/>
      <c r="H184" s="148"/>
      <c r="I184" s="148"/>
      <c r="J184" s="150"/>
      <c r="K184" s="151"/>
      <c r="L184" s="148"/>
      <c r="M184" s="151"/>
      <c r="N184" s="148"/>
      <c r="O184" s="152"/>
      <c r="P184" s="152"/>
    </row>
    <row r="185" spans="1:16" ht="12.75">
      <c r="A185" s="158" t="s">
        <v>254</v>
      </c>
      <c r="B185" s="215" t="s">
        <v>255</v>
      </c>
      <c r="C185" s="167">
        <v>10</v>
      </c>
      <c r="D185" s="156">
        <v>38838</v>
      </c>
      <c r="E185" s="156">
        <v>38849</v>
      </c>
      <c r="F185" s="133"/>
      <c r="G185" s="133"/>
      <c r="H185" s="133"/>
      <c r="I185" s="133"/>
      <c r="J185" s="135"/>
      <c r="K185" s="136"/>
      <c r="L185" s="133">
        <f>C185*8</f>
        <v>80</v>
      </c>
      <c r="M185" s="136"/>
      <c r="N185" s="133">
        <f>C185*16</f>
        <v>160</v>
      </c>
      <c r="O185" s="137"/>
      <c r="P185" s="137"/>
    </row>
    <row r="186" spans="1:16" ht="12.75">
      <c r="A186" s="158"/>
      <c r="B186" s="215"/>
      <c r="C186" s="167"/>
      <c r="D186" s="175"/>
      <c r="E186" s="175"/>
      <c r="F186" s="160"/>
      <c r="G186" s="160"/>
      <c r="H186" s="160"/>
      <c r="I186" s="160"/>
      <c r="J186" s="162"/>
      <c r="K186" s="163"/>
      <c r="L186" s="160"/>
      <c r="M186" s="163"/>
      <c r="N186" s="160"/>
      <c r="O186" s="164"/>
      <c r="P186" s="164"/>
    </row>
    <row r="187" spans="1:16" ht="12.75">
      <c r="A187" s="180" t="s">
        <v>244</v>
      </c>
      <c r="B187" s="218" t="s">
        <v>256</v>
      </c>
      <c r="C187" s="170">
        <f>C189+C190+C191</f>
        <v>15</v>
      </c>
      <c r="D187" s="185">
        <v>38852</v>
      </c>
      <c r="E187" s="185">
        <v>38873</v>
      </c>
      <c r="F187" s="186"/>
      <c r="G187" s="186"/>
      <c r="H187" s="186"/>
      <c r="I187" s="186"/>
      <c r="J187" s="187"/>
      <c r="K187" s="188"/>
      <c r="L187" s="186"/>
      <c r="M187" s="188"/>
      <c r="N187" s="186"/>
      <c r="O187" s="189"/>
      <c r="P187" s="189"/>
    </row>
    <row r="188" spans="1:16" ht="12.75">
      <c r="A188" s="158"/>
      <c r="B188" s="213" t="s">
        <v>257</v>
      </c>
      <c r="C188" s="167"/>
      <c r="D188" s="161"/>
      <c r="E188" s="161"/>
      <c r="F188" s="160"/>
      <c r="G188" s="160"/>
      <c r="H188" s="160"/>
      <c r="I188" s="160"/>
      <c r="J188" s="162"/>
      <c r="K188" s="163"/>
      <c r="L188" s="160"/>
      <c r="M188" s="163"/>
      <c r="N188" s="160"/>
      <c r="O188" s="164"/>
      <c r="P188" s="164"/>
    </row>
    <row r="189" spans="1:16" ht="12.75">
      <c r="A189" s="158"/>
      <c r="B189" s="214" t="s">
        <v>258</v>
      </c>
      <c r="C189" s="165">
        <v>5</v>
      </c>
      <c r="D189" s="161"/>
      <c r="E189" s="161"/>
      <c r="F189" s="160"/>
      <c r="G189" s="160"/>
      <c r="H189" s="160"/>
      <c r="I189" s="160"/>
      <c r="J189" s="162"/>
      <c r="K189" s="163"/>
      <c r="L189" s="160">
        <f>C189*8</f>
        <v>40</v>
      </c>
      <c r="M189" s="163"/>
      <c r="N189" s="160">
        <f>C189*24</f>
        <v>120</v>
      </c>
      <c r="O189" s="164"/>
      <c r="P189" s="164"/>
    </row>
    <row r="190" spans="1:16" ht="12.75">
      <c r="A190" s="158"/>
      <c r="B190" s="214" t="s">
        <v>259</v>
      </c>
      <c r="C190" s="165">
        <v>4</v>
      </c>
      <c r="D190" s="161"/>
      <c r="E190" s="161"/>
      <c r="F190" s="160"/>
      <c r="G190" s="160"/>
      <c r="H190" s="160"/>
      <c r="I190" s="160"/>
      <c r="J190" s="162"/>
      <c r="K190" s="163"/>
      <c r="L190" s="160">
        <f>C190*8</f>
        <v>32</v>
      </c>
      <c r="M190" s="163"/>
      <c r="N190" s="160">
        <f>C190*24</f>
        <v>96</v>
      </c>
      <c r="O190" s="164"/>
      <c r="P190" s="164"/>
    </row>
    <row r="191" spans="1:16" ht="12.75">
      <c r="A191" s="158"/>
      <c r="B191" s="214" t="s">
        <v>260</v>
      </c>
      <c r="C191" s="165">
        <v>6</v>
      </c>
      <c r="D191" s="161"/>
      <c r="E191" s="161"/>
      <c r="F191" s="160"/>
      <c r="G191" s="160"/>
      <c r="H191" s="160"/>
      <c r="I191" s="160"/>
      <c r="J191" s="162"/>
      <c r="K191" s="163"/>
      <c r="L191" s="160">
        <f>C191*8</f>
        <v>48</v>
      </c>
      <c r="M191" s="163"/>
      <c r="N191" s="160">
        <f>C191*24</f>
        <v>144</v>
      </c>
      <c r="O191" s="164"/>
      <c r="P191" s="164"/>
    </row>
    <row r="192" spans="1:16" ht="12.75">
      <c r="A192" s="147"/>
      <c r="B192" s="220"/>
      <c r="C192" s="183"/>
      <c r="D192" s="149"/>
      <c r="E192" s="149"/>
      <c r="F192" s="148"/>
      <c r="G192" s="148"/>
      <c r="H192" s="148"/>
      <c r="I192" s="148"/>
      <c r="J192" s="150"/>
      <c r="K192" s="151"/>
      <c r="L192" s="148"/>
      <c r="M192" s="151"/>
      <c r="N192" s="148"/>
      <c r="O192" s="152"/>
      <c r="P192" s="152"/>
    </row>
    <row r="193" spans="1:16" ht="12.75">
      <c r="A193" s="158" t="s">
        <v>261</v>
      </c>
      <c r="B193" s="215" t="s">
        <v>262</v>
      </c>
      <c r="C193" s="167">
        <v>5</v>
      </c>
      <c r="D193" s="156">
        <v>38874</v>
      </c>
      <c r="E193" s="156">
        <v>38880</v>
      </c>
      <c r="F193" s="133"/>
      <c r="G193" s="133"/>
      <c r="H193" s="133"/>
      <c r="I193" s="133"/>
      <c r="J193" s="135"/>
      <c r="K193" s="136"/>
      <c r="L193" s="133">
        <f>C193*8</f>
        <v>40</v>
      </c>
      <c r="M193" s="136"/>
      <c r="N193" s="133">
        <f>C193*32</f>
        <v>160</v>
      </c>
      <c r="O193" s="137"/>
      <c r="P193" s="137"/>
    </row>
    <row r="194" spans="1:16" ht="12.75">
      <c r="A194" s="158"/>
      <c r="B194" s="215"/>
      <c r="C194" s="160"/>
      <c r="D194" s="156"/>
      <c r="E194" s="156"/>
      <c r="F194" s="133"/>
      <c r="G194" s="133"/>
      <c r="H194" s="133"/>
      <c r="I194" s="133"/>
      <c r="J194" s="135"/>
      <c r="K194" s="136"/>
      <c r="L194" s="133"/>
      <c r="M194" s="136"/>
      <c r="N194" s="133"/>
      <c r="O194" s="137"/>
      <c r="P194" s="137"/>
    </row>
    <row r="195" spans="1:16" ht="12.75">
      <c r="A195" s="180" t="s">
        <v>263</v>
      </c>
      <c r="B195" s="218" t="s">
        <v>275</v>
      </c>
      <c r="C195" s="170">
        <v>3</v>
      </c>
      <c r="D195" s="181">
        <v>38881</v>
      </c>
      <c r="E195" s="181">
        <v>38884</v>
      </c>
      <c r="F195" s="142"/>
      <c r="G195" s="142"/>
      <c r="H195" s="142"/>
      <c r="I195" s="142"/>
      <c r="J195" s="144"/>
      <c r="K195" s="145"/>
      <c r="L195" s="142">
        <f>C195*8</f>
        <v>24</v>
      </c>
      <c r="M195" s="145"/>
      <c r="N195" s="142">
        <f>C195*32</f>
        <v>96</v>
      </c>
      <c r="O195" s="146"/>
      <c r="P195" s="146"/>
    </row>
    <row r="196" spans="1:16" ht="12.75">
      <c r="A196" s="182"/>
      <c r="B196" s="221"/>
      <c r="C196" s="183"/>
      <c r="D196" s="184"/>
      <c r="E196" s="184"/>
      <c r="F196" s="148"/>
      <c r="G196" s="148"/>
      <c r="H196" s="148"/>
      <c r="I196" s="148"/>
      <c r="J196" s="150"/>
      <c r="K196" s="151"/>
      <c r="L196" s="148"/>
      <c r="M196" s="151"/>
      <c r="N196" s="148"/>
      <c r="O196" s="152"/>
      <c r="P196" s="152"/>
    </row>
    <row r="197" spans="1:16" ht="12.75">
      <c r="A197" s="158" t="s">
        <v>265</v>
      </c>
      <c r="B197" s="222" t="s">
        <v>276</v>
      </c>
      <c r="C197" s="190">
        <v>1</v>
      </c>
      <c r="D197" s="191">
        <v>38884</v>
      </c>
      <c r="E197" s="191">
        <v>38884</v>
      </c>
      <c r="F197" s="133"/>
      <c r="G197" s="133"/>
      <c r="H197" s="133"/>
      <c r="I197" s="133"/>
      <c r="J197" s="135"/>
      <c r="K197" s="136"/>
      <c r="L197" s="133"/>
      <c r="M197" s="136"/>
      <c r="N197" s="133"/>
      <c r="O197" s="137"/>
      <c r="P197" s="137"/>
    </row>
    <row r="198" spans="1:16" ht="12.75">
      <c r="A198" s="147"/>
      <c r="B198" s="217"/>
      <c r="C198" s="148"/>
      <c r="D198" s="149"/>
      <c r="E198" s="149"/>
      <c r="F198" s="148"/>
      <c r="G198" s="148"/>
      <c r="H198" s="148"/>
      <c r="I198" s="148"/>
      <c r="J198" s="150"/>
      <c r="K198" s="151"/>
      <c r="L198" s="148"/>
      <c r="M198" s="151"/>
      <c r="N198" s="148"/>
      <c r="O198" s="152"/>
      <c r="P198" s="152"/>
    </row>
    <row r="199" spans="1:16" ht="12.75">
      <c r="A199" s="131"/>
      <c r="B199" s="216"/>
      <c r="C199" s="133"/>
      <c r="D199" s="134"/>
      <c r="E199" s="134"/>
      <c r="F199" s="133"/>
      <c r="G199" s="133"/>
      <c r="H199" s="133"/>
      <c r="I199" s="133"/>
      <c r="J199" s="135"/>
      <c r="K199" s="136"/>
      <c r="L199" s="133"/>
      <c r="M199" s="136"/>
      <c r="N199" s="133"/>
      <c r="O199" s="137"/>
      <c r="P199" s="137"/>
    </row>
    <row r="200" spans="1:16" ht="12.75">
      <c r="A200" s="131"/>
      <c r="B200" s="216"/>
      <c r="C200" s="133"/>
      <c r="D200" s="134"/>
      <c r="E200" s="134"/>
      <c r="F200" s="133"/>
      <c r="G200" s="133"/>
      <c r="H200" s="133"/>
      <c r="I200" s="133"/>
      <c r="J200" s="135"/>
      <c r="K200" s="136"/>
      <c r="L200" s="133"/>
      <c r="M200" s="136"/>
      <c r="N200" s="133"/>
      <c r="O200" s="137"/>
      <c r="P200" s="137"/>
    </row>
    <row r="201" spans="1:16" ht="12.75">
      <c r="A201" s="131"/>
      <c r="B201" s="216"/>
      <c r="C201" s="133"/>
      <c r="D201" s="134"/>
      <c r="E201" s="134"/>
      <c r="F201" s="133"/>
      <c r="G201" s="133"/>
      <c r="H201" s="133"/>
      <c r="I201" s="133"/>
      <c r="J201" s="135"/>
      <c r="K201" s="136"/>
      <c r="L201" s="133"/>
      <c r="M201" s="136"/>
      <c r="N201" s="133"/>
      <c r="O201" s="137"/>
      <c r="P201" s="137"/>
    </row>
    <row r="202" spans="1:16" ht="12.75">
      <c r="A202" s="131"/>
      <c r="B202" s="216"/>
      <c r="C202" s="133"/>
      <c r="D202" s="134"/>
      <c r="E202" s="134"/>
      <c r="F202" s="133"/>
      <c r="G202" s="133"/>
      <c r="H202" s="133"/>
      <c r="I202" s="133"/>
      <c r="J202" s="135"/>
      <c r="K202" s="136"/>
      <c r="L202" s="133"/>
      <c r="M202" s="136"/>
      <c r="N202" s="133"/>
      <c r="O202" s="137"/>
      <c r="P202" s="137"/>
    </row>
    <row r="203" spans="1:16" ht="12.75">
      <c r="A203" s="131"/>
      <c r="B203" s="216"/>
      <c r="C203" s="133"/>
      <c r="D203" s="134"/>
      <c r="E203" s="134"/>
      <c r="F203" s="133"/>
      <c r="G203" s="133"/>
      <c r="H203" s="133"/>
      <c r="I203" s="133"/>
      <c r="J203" s="135"/>
      <c r="K203" s="136"/>
      <c r="L203" s="133"/>
      <c r="M203" s="136"/>
      <c r="N203" s="133"/>
      <c r="O203" s="137"/>
      <c r="P203" s="137"/>
    </row>
    <row r="204" spans="1:16" ht="13.5" thickBot="1">
      <c r="A204" s="131"/>
      <c r="B204" s="216"/>
      <c r="C204" s="133"/>
      <c r="D204" s="134"/>
      <c r="E204" s="134"/>
      <c r="F204" s="133">
        <f>SUM(F66:F200)</f>
        <v>0</v>
      </c>
      <c r="G204" s="154">
        <f>SUM(G66:G200)</f>
        <v>0</v>
      </c>
      <c r="H204" s="154">
        <f>SUM(H66:H197)</f>
        <v>0</v>
      </c>
      <c r="I204" s="154">
        <f>SUM(I66:I197)</f>
        <v>0</v>
      </c>
      <c r="J204" s="133">
        <f>SUM(J66:J197)</f>
        <v>0</v>
      </c>
      <c r="K204" s="133">
        <f>SUM(K66:K202)</f>
        <v>0</v>
      </c>
      <c r="L204" s="133">
        <f>SUM(L66:L197)</f>
        <v>3624</v>
      </c>
      <c r="M204" s="133">
        <f>SUM(M66:M202)</f>
        <v>528</v>
      </c>
      <c r="N204" s="133">
        <f>SUM(N66:N202)</f>
        <v>10752</v>
      </c>
      <c r="O204" s="133"/>
      <c r="P204" s="133"/>
    </row>
    <row r="205" spans="1:18" ht="12.75">
      <c r="A205" s="131"/>
      <c r="B205" s="216"/>
      <c r="C205" s="194" t="s">
        <v>277</v>
      </c>
      <c r="D205" s="195" t="s">
        <v>278</v>
      </c>
      <c r="E205" s="134"/>
      <c r="F205" s="133"/>
      <c r="G205" s="133"/>
      <c r="H205" s="133"/>
      <c r="I205" s="133"/>
      <c r="J205" s="135"/>
      <c r="K205" s="136"/>
      <c r="L205" s="133"/>
      <c r="M205" s="136"/>
      <c r="N205" s="133"/>
      <c r="O205" s="137"/>
      <c r="P205" s="137"/>
      <c r="R205" s="31"/>
    </row>
    <row r="206" spans="1:16" ht="12.75">
      <c r="A206" s="131"/>
      <c r="B206" s="216"/>
      <c r="C206" s="196" t="s">
        <v>279</v>
      </c>
      <c r="D206" s="197">
        <v>155</v>
      </c>
      <c r="E206" s="134"/>
      <c r="F206" s="133"/>
      <c r="G206" s="193"/>
      <c r="H206" s="193"/>
      <c r="I206" s="193"/>
      <c r="J206" s="198"/>
      <c r="K206" s="198"/>
      <c r="L206" s="198"/>
      <c r="M206" s="198"/>
      <c r="N206" s="198"/>
      <c r="O206" s="199"/>
      <c r="P206" s="200"/>
    </row>
    <row r="207" spans="1:16" ht="12.75">
      <c r="A207" s="131"/>
      <c r="B207" s="216"/>
      <c r="C207" s="196" t="s">
        <v>280</v>
      </c>
      <c r="D207" s="197">
        <v>101.5</v>
      </c>
      <c r="E207" s="134"/>
      <c r="F207" s="133"/>
      <c r="G207" s="193"/>
      <c r="H207" s="193"/>
      <c r="I207" s="193"/>
      <c r="J207" s="193"/>
      <c r="K207" s="193"/>
      <c r="L207" s="193"/>
      <c r="M207" s="193"/>
      <c r="N207" s="193"/>
      <c r="O207" s="193"/>
      <c r="P207" s="137"/>
    </row>
    <row r="208" spans="1:16" ht="12.75">
      <c r="A208" s="131"/>
      <c r="B208" s="216"/>
      <c r="C208" s="196" t="s">
        <v>281</v>
      </c>
      <c r="D208" s="197">
        <v>74</v>
      </c>
      <c r="E208" s="134"/>
      <c r="F208" s="133"/>
      <c r="G208" s="193"/>
      <c r="H208" s="193"/>
      <c r="I208" s="193"/>
      <c r="J208" s="193"/>
      <c r="K208" s="193"/>
      <c r="L208" s="193"/>
      <c r="M208" s="193"/>
      <c r="N208" s="193"/>
      <c r="O208" s="193"/>
      <c r="P208" s="137"/>
    </row>
    <row r="209" spans="1:16" ht="13.5" thickBot="1">
      <c r="A209" s="131"/>
      <c r="B209" s="216"/>
      <c r="C209" s="201" t="s">
        <v>282</v>
      </c>
      <c r="D209" s="202">
        <v>101.38</v>
      </c>
      <c r="E209" s="134"/>
      <c r="F209" s="133"/>
      <c r="G209" s="193"/>
      <c r="H209" s="193"/>
      <c r="I209" s="193"/>
      <c r="J209" s="193"/>
      <c r="K209" s="193"/>
      <c r="L209" s="193"/>
      <c r="M209" s="193"/>
      <c r="N209" s="193"/>
      <c r="O209" s="193"/>
      <c r="P209" s="137"/>
    </row>
    <row r="210" spans="1:16" ht="12.75">
      <c r="A210" s="131"/>
      <c r="B210" s="216"/>
      <c r="C210" s="133"/>
      <c r="D210" s="134"/>
      <c r="E210" s="134"/>
      <c r="F210" s="133"/>
      <c r="G210" s="133"/>
      <c r="H210" s="133"/>
      <c r="I210" s="133"/>
      <c r="J210" s="135"/>
      <c r="K210" s="136"/>
      <c r="L210" s="133"/>
      <c r="M210" s="136"/>
      <c r="N210" s="133"/>
      <c r="O210" s="137"/>
      <c r="P210" s="137"/>
    </row>
    <row r="211" spans="1:16" ht="12.75">
      <c r="A211" s="131"/>
      <c r="B211" s="216"/>
      <c r="C211" s="133"/>
      <c r="D211" s="134"/>
      <c r="E211" s="134"/>
      <c r="F211" s="133"/>
      <c r="G211" s="133"/>
      <c r="H211" s="133"/>
      <c r="I211" s="133"/>
      <c r="J211" s="135"/>
      <c r="K211" s="136"/>
      <c r="L211" s="133"/>
      <c r="M211" s="136"/>
      <c r="N211" s="133"/>
      <c r="O211" s="137"/>
      <c r="P211" s="137"/>
    </row>
    <row r="212" spans="1:16" ht="12.75">
      <c r="A212" s="131"/>
      <c r="B212" s="216"/>
      <c r="C212" s="133"/>
      <c r="D212" s="134"/>
      <c r="E212" s="134"/>
      <c r="F212" s="133"/>
      <c r="G212" s="133"/>
      <c r="H212" s="133"/>
      <c r="I212" s="133"/>
      <c r="J212" s="135"/>
      <c r="K212" s="136"/>
      <c r="L212" s="133"/>
      <c r="M212" s="136"/>
      <c r="N212" s="133"/>
      <c r="O212" s="137"/>
      <c r="P212" s="137"/>
    </row>
    <row r="213" spans="1:16" ht="12.75">
      <c r="A213" s="131"/>
      <c r="B213" s="216"/>
      <c r="C213" s="133"/>
      <c r="D213" s="134"/>
      <c r="E213" s="134"/>
      <c r="F213" s="133"/>
      <c r="G213" s="133"/>
      <c r="H213" s="133"/>
      <c r="I213" s="133"/>
      <c r="J213" s="135"/>
      <c r="K213" s="136"/>
      <c r="L213" s="133"/>
      <c r="M213" s="136"/>
      <c r="N213" s="133"/>
      <c r="O213" s="137"/>
      <c r="P213" s="137"/>
    </row>
    <row r="214" spans="1:16" ht="13.5" thickBot="1">
      <c r="A214" s="203"/>
      <c r="B214" s="223"/>
      <c r="C214" s="204"/>
      <c r="D214" s="205"/>
      <c r="E214" s="205"/>
      <c r="F214" s="204"/>
      <c r="G214" s="204"/>
      <c r="H214" s="204"/>
      <c r="I214" s="204"/>
      <c r="J214" s="206"/>
      <c r="K214" s="207"/>
      <c r="L214" s="204"/>
      <c r="M214" s="207"/>
      <c r="N214" s="204"/>
      <c r="O214" s="208"/>
      <c r="P214" s="208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</sheetData>
  <mergeCells count="13">
    <mergeCell ref="I20:J20"/>
    <mergeCell ref="H6:P6"/>
    <mergeCell ref="O20:P20"/>
    <mergeCell ref="L38:M38"/>
    <mergeCell ref="N38:O38"/>
    <mergeCell ref="M20:N20"/>
    <mergeCell ref="K20:L20"/>
    <mergeCell ref="M7:N7"/>
    <mergeCell ref="O7:P7"/>
    <mergeCell ref="F8:G8"/>
    <mergeCell ref="B6:G7"/>
    <mergeCell ref="I7:J7"/>
    <mergeCell ref="K7:L7"/>
  </mergeCells>
  <printOptions/>
  <pageMargins left="0.75" right="0.75" top="1" bottom="1" header="0.5" footer="0.5"/>
  <pageSetup horizontalDpi="600" verticalDpi="600" orientation="landscape" scale="64" r:id="rId1"/>
  <headerFooter alignWithMargins="0">
    <oddHeader>&amp;C&amp;"Arial,Bold"&amp;14NCSX Fabrication Project Cost and Schedule</oddHeader>
    <oddFooter>&amp;C&amp;"Arial,Bold"&amp;P</oddFooter>
  </headerFooter>
  <rowBreaks count="4" manualBreakCount="4">
    <brk id="43" max="15" man="1"/>
    <brk id="79" max="15" man="1"/>
    <brk id="120" max="15" man="1"/>
    <brk id="15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D16" sqref="D16"/>
    </sheetView>
  </sheetViews>
  <sheetFormatPr defaultColWidth="9.140625" defaultRowHeight="12.75"/>
  <sheetData>
    <row r="1" spans="1:8" ht="20.25">
      <c r="A1" s="63" t="str">
        <f>'Fab Project'!A1:E1</f>
        <v>WBS 185 Assembly of Field Periods</v>
      </c>
      <c r="B1" s="63"/>
      <c r="C1" s="63"/>
      <c r="D1" s="63"/>
      <c r="E1" s="63"/>
      <c r="F1" s="63"/>
      <c r="G1" s="63"/>
      <c r="H1" s="63"/>
    </row>
    <row r="3" spans="1:13" ht="18.75" thickBot="1">
      <c r="A3" s="72" t="s">
        <v>139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5" ht="12.75">
      <c r="A5" t="s">
        <v>140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&amp;C&amp;"Arial,Bold"&amp;14NCSX Fabrication Project Cost Estimate</oddHeader>
    <oddFooter>&amp;C&amp;"Arial,Bold"&amp;P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Robert Simmons</cp:lastModifiedBy>
  <cp:lastPrinted>2003-08-20T04:22:04Z</cp:lastPrinted>
  <dcterms:created xsi:type="dcterms:W3CDTF">2001-10-24T18:11:20Z</dcterms:created>
  <dcterms:modified xsi:type="dcterms:W3CDTF">2004-01-20T12:41:43Z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1465333742</vt:i4>
  </property>
  <property fmtid="{D5CDD505-2E9C-101B-9397-08002B2CF9AE}" pid="3" name="_EmailSubject">
    <vt:lpwstr>cost backup</vt:lpwstr>
  </property>
  <property fmtid="{D5CDD505-2E9C-101B-9397-08002B2CF9AE}" pid="4" name="_AuthorEmail">
    <vt:lpwstr>nelsonbe@ornl.gov</vt:lpwstr>
  </property>
  <property fmtid="{D5CDD505-2E9C-101B-9397-08002B2CF9AE}" pid="5" name="_AuthorEmailDisplayName">
    <vt:lpwstr>Nelson, Brad E.</vt:lpwstr>
  </property>
  <property fmtid="{D5CDD505-2E9C-101B-9397-08002B2CF9AE}" pid="6" name="_PreviousAdHocReviewCycleID">
    <vt:i4>-1118751891</vt:i4>
  </property>
</Properties>
</file>