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320" windowHeight="5175" activeTab="2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definedNames/>
  <calcPr fullCalcOnLoad="1" refMode="R1C1"/>
</workbook>
</file>

<file path=xl/sharedStrings.xml><?xml version="1.0" encoding="utf-8"?>
<sst xmlns="http://schemas.openxmlformats.org/spreadsheetml/2006/main" count="383" uniqueCount="100">
  <si>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</si>
  <si>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</si>
  <si>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</si>
  <si>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</si>
  <si>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</si>
  <si>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</si>
  <si>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</si>
  <si>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</si>
  <si>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</si>
  <si>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</si>
  <si>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</si>
  <si>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</si>
  <si>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</si>
  <si>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</si>
  <si>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</si>
  <si>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</si>
  <si>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</si>
  <si>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</si>
  <si>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</si>
  <si>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</si>
  <si>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</si>
  <si>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</si>
  <si>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</si>
  <si>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</si>
  <si>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</si>
  <si>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</si>
  <si>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</si>
  <si>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</si>
  <si>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</si>
  <si>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</si>
  <si>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</si>
  <si>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</si>
  <si>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</si>
  <si>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</si>
  <si>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</si>
  <si>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</si>
  <si>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</si>
  <si>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</si>
  <si>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</si>
  <si>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</si>
  <si>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</si>
  <si>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</si>
  <si>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</si>
  <si>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</si>
  <si>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</si>
  <si>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</si>
  <si>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</si>
  <si>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</si>
  <si>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</si>
  <si>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</si>
  <si>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</si>
  <si>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</si>
  <si>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</si>
  <si>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</si>
  <si>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</si>
  <si>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</si>
  <si>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</si>
  <si>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</si>
  <si>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</si>
  <si>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</si>
  <si>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</si>
  <si>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</si>
  <si>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</si>
  <si>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</si>
  <si>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</si>
  <si>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</si>
  <si>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</si>
  <si>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</si>
  <si>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</si>
  <si>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</si>
  <si>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</si>
  <si>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</si>
  <si>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</si>
  <si>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</si>
  <si>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</si>
  <si>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</si>
  <si>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</si>
  <si>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</si>
  <si>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</si>
  <si>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</si>
  <si>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</si>
  <si>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</si>
  <si>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</si>
  <si>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</si>
  <si>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</si>
  <si>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</si>
  <si>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</si>
  <si>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</si>
  <si>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</si>
  <si>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</si>
  <si>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</si>
  <si>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</si>
  <si>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</si>
  <si>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</si>
  <si>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initial meas</t>
  </si>
  <si>
    <t>Post 1</t>
  </si>
  <si>
    <t>Post 2</t>
  </si>
  <si>
    <t>Post 2B</t>
  </si>
  <si>
    <t>Post 3</t>
  </si>
  <si>
    <t>Post 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</si>
</sst>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2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2" xfId="0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0" borderId="43" xfId="0" applyNumberFormat="1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166" fontId="0" fillId="0" borderId="42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21" borderId="6" xfId="0" applyNumberFormat="1" applyFill="1" applyBorder="1" applyAlignment="1" quotePrefix="1">
      <alignment/>
    </xf>
    <xf numFmtId="0" fontId="0" fillId="0" borderId="76" xfId="0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166" fontId="4" fillId="0" borderId="78" xfId="0" applyNumberFormat="1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166" fontId="0" fillId="0" borderId="66" xfId="0" applyNumberFormat="1" applyBorder="1" applyAlignment="1">
      <alignment horizontal="center"/>
    </xf>
    <xf numFmtId="166" fontId="0" fillId="0" borderId="69" xfId="0" applyNumberFormat="1" applyBorder="1" applyAlignment="1">
      <alignment horizontal="center"/>
    </xf>
    <xf numFmtId="166" fontId="0" fillId="0" borderId="69" xfId="0" applyNumberFormat="1" applyBorder="1" applyAlignment="1">
      <alignment/>
    </xf>
    <xf numFmtId="166" fontId="0" fillId="5" borderId="79" xfId="0" applyNumberFormat="1" applyFill="1" applyBorder="1" applyAlignment="1">
      <alignment horizontal="center"/>
    </xf>
    <xf numFmtId="166" fontId="0" fillId="0" borderId="50" xfId="0" applyNumberFormat="1" applyBorder="1" applyAlignment="1">
      <alignment horizontal="center"/>
    </xf>
    <xf numFmtId="166" fontId="0" fillId="0" borderId="64" xfId="0" applyNumberFormat="1" applyBorder="1" applyAlignment="1">
      <alignment/>
    </xf>
    <xf numFmtId="166" fontId="0" fillId="0" borderId="67" xfId="0" applyNumberFormat="1" applyBorder="1" applyAlignment="1">
      <alignment/>
    </xf>
    <xf numFmtId="166" fontId="0" fillId="0" borderId="37" xfId="0" applyNumberFormat="1" applyBorder="1" applyAlignment="1">
      <alignment/>
    </xf>
    <xf numFmtId="0" fontId="0" fillId="0" borderId="53" xfId="0" applyBorder="1" applyAlignment="1">
      <alignment/>
    </xf>
    <xf numFmtId="166" fontId="0" fillId="0" borderId="73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0" fontId="0" fillId="0" borderId="75" xfId="0" applyBorder="1" applyAlignment="1">
      <alignment horizontal="right"/>
    </xf>
    <xf numFmtId="0" fontId="0" fillId="0" borderId="79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5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4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43249215"/>
        <c:axId val="53698616"/>
      </c:lineChart>
      <c:catAx>
        <c:axId val="43249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98616"/>
        <c:crosses val="autoZero"/>
        <c:auto val="1"/>
        <c:lblOffset val="100"/>
        <c:noMultiLvlLbl val="0"/>
      </c:catAx>
      <c:valAx>
        <c:axId val="53698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49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9">
      <selection activeCell="N40" sqref="N40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</cols>
  <sheetData>
    <row r="1" spans="1:9" ht="30.75" customHeight="1" thickBot="1">
      <c r="A1" s="81" t="s">
        <v>43</v>
      </c>
      <c r="B1" s="80"/>
      <c r="C1" s="80"/>
      <c r="D1" s="80"/>
      <c r="E1" s="80"/>
      <c r="F1" s="80"/>
      <c r="I1" s="1"/>
    </row>
    <row r="2" spans="1:15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  <c r="J2" s="3"/>
      <c r="K2" s="3"/>
      <c r="L2" s="436"/>
      <c r="M2" s="436"/>
      <c r="N2" s="436"/>
      <c r="O2" s="3"/>
    </row>
    <row r="3" spans="1:15" ht="12.75">
      <c r="A3" s="84"/>
      <c r="B3" s="91" t="s">
        <v>1</v>
      </c>
      <c r="C3" s="92" t="s">
        <v>2</v>
      </c>
      <c r="D3" s="93" t="s">
        <v>3</v>
      </c>
      <c r="E3" s="91" t="s">
        <v>12</v>
      </c>
      <c r="F3" s="92" t="s">
        <v>13</v>
      </c>
      <c r="G3" s="92" t="s">
        <v>34</v>
      </c>
      <c r="H3" s="94" t="s">
        <v>33</v>
      </c>
      <c r="I3" s="16"/>
      <c r="J3" s="3"/>
      <c r="K3" s="3"/>
      <c r="L3" s="436"/>
      <c r="M3" s="436"/>
      <c r="N3" s="436"/>
      <c r="O3" s="3"/>
    </row>
    <row r="4" spans="1:15" ht="13.5" thickBot="1">
      <c r="A4" s="101" t="s">
        <v>0</v>
      </c>
      <c r="B4" s="95"/>
      <c r="C4" s="96"/>
      <c r="D4" s="97"/>
      <c r="E4" s="95"/>
      <c r="F4" s="96"/>
      <c r="G4" s="98">
        <f>IF(D5&gt;-1,D5,"")</f>
      </c>
      <c r="H4" s="99"/>
      <c r="I4" s="484"/>
      <c r="J4" s="3"/>
      <c r="K4" s="484"/>
      <c r="L4" s="483"/>
      <c r="M4" s="483">
        <v>-141.13191</v>
      </c>
      <c r="N4" s="483">
        <v>-31.96632</v>
      </c>
      <c r="O4" s="3">
        <v>-7.6632</v>
      </c>
    </row>
    <row r="5" spans="1:15" ht="12.75">
      <c r="A5" s="100">
        <v>1</v>
      </c>
      <c r="B5" s="491">
        <v>36.70842988096163</v>
      </c>
      <c r="C5" s="492">
        <v>29.17566377416035</v>
      </c>
      <c r="D5" s="493">
        <v>-58.26513656536644</v>
      </c>
      <c r="E5" s="89">
        <f aca="true" t="shared" si="0" ref="E5:E17">57.3*ATAN2(B5-60,C5)</f>
        <v>128.61060486241203</v>
      </c>
      <c r="F5" s="90">
        <f aca="true" t="shared" si="1" ref="F5:F17">57.3*ATAN2(B5,D5)</f>
        <v>-57.79234782593999</v>
      </c>
      <c r="G5" s="87">
        <f>SUMPRODUCT(G$24:I$24,B5:D5)</f>
        <v>-21.037960194938076</v>
      </c>
      <c r="H5" s="88">
        <f>SUMPRODUCT(G$23:I$23,B5:D5)</f>
        <v>2.6578645272693215</v>
      </c>
      <c r="I5" s="485"/>
      <c r="J5" s="3"/>
      <c r="K5" s="484"/>
      <c r="L5" s="436"/>
      <c r="M5" s="436">
        <v>-112.95357</v>
      </c>
      <c r="N5" s="436">
        <v>52.72116</v>
      </c>
      <c r="O5" s="3">
        <v>-8.2283</v>
      </c>
    </row>
    <row r="6" spans="1:15" ht="12.75">
      <c r="A6" s="85">
        <v>2</v>
      </c>
      <c r="B6" s="494">
        <v>43.52186810748368</v>
      </c>
      <c r="C6" s="495">
        <v>37.21903621151731</v>
      </c>
      <c r="D6" s="496">
        <v>-41.069948734626074</v>
      </c>
      <c r="E6" s="89">
        <f t="shared" si="0"/>
        <v>113.88898841772667</v>
      </c>
      <c r="F6" s="90">
        <f t="shared" si="1"/>
        <v>-43.34292183559908</v>
      </c>
      <c r="G6" s="22">
        <f aca="true" t="shared" si="2" ref="G6:G17">SUMPRODUCT(G$24:I$24,B6:D6)</f>
        <v>-3.4860884374393457</v>
      </c>
      <c r="H6" s="82">
        <f aca="true" t="shared" si="3" ref="H6:H17">SUMPRODUCT(G$23:I$23,B6:D6)</f>
        <v>17.156069033923593</v>
      </c>
      <c r="I6" s="485"/>
      <c r="J6" s="3"/>
      <c r="K6" s="3"/>
      <c r="L6" s="436"/>
      <c r="M6" s="436">
        <v>-201.27742</v>
      </c>
      <c r="N6" s="436">
        <v>35.85025</v>
      </c>
      <c r="O6" s="3">
        <v>-7.54078</v>
      </c>
    </row>
    <row r="7" spans="1:15" ht="12.75">
      <c r="A7" s="85">
        <v>3</v>
      </c>
      <c r="B7" s="494">
        <v>16.930116643219076</v>
      </c>
      <c r="C7" s="495">
        <v>27.810433700630487</v>
      </c>
      <c r="D7" s="496">
        <v>-18.424330909452813</v>
      </c>
      <c r="E7" s="89">
        <f t="shared" si="0"/>
        <v>147.16031132819595</v>
      </c>
      <c r="F7" s="90">
        <f t="shared" si="1"/>
        <v>-47.42359169570447</v>
      </c>
      <c r="G7" s="22">
        <f t="shared" si="2"/>
        <v>-3.2313871025624685</v>
      </c>
      <c r="H7" s="82">
        <f t="shared" si="3"/>
        <v>5.449745647335037</v>
      </c>
      <c r="I7" s="485"/>
      <c r="J7" s="3"/>
      <c r="K7" s="3"/>
      <c r="L7" s="436"/>
      <c r="M7" s="436"/>
      <c r="N7" s="436"/>
      <c r="O7" s="3"/>
    </row>
    <row r="8" spans="1:14" ht="12.75">
      <c r="A8" s="85">
        <v>4</v>
      </c>
      <c r="B8" s="494">
        <v>25.65201790992863</v>
      </c>
      <c r="C8" s="495">
        <v>-36.11427796731891</v>
      </c>
      <c r="D8" s="496">
        <v>-38.973647249665696</v>
      </c>
      <c r="E8" s="89">
        <f t="shared" si="0"/>
        <v>-133.57389096095002</v>
      </c>
      <c r="F8" s="90">
        <f t="shared" si="1"/>
        <v>-56.65170819965737</v>
      </c>
      <c r="G8" s="22">
        <f t="shared" si="2"/>
        <v>-13.366746627726329</v>
      </c>
      <c r="H8" s="82">
        <f t="shared" si="3"/>
        <v>2.7284755434987424</v>
      </c>
      <c r="I8" s="485"/>
      <c r="K8" s="14"/>
      <c r="L8" s="392"/>
      <c r="M8" s="392"/>
      <c r="N8" s="392"/>
    </row>
    <row r="9" spans="1:15" ht="12.75">
      <c r="A9" s="85">
        <v>5</v>
      </c>
      <c r="B9" s="494">
        <v>49.612493271182046</v>
      </c>
      <c r="C9" s="495">
        <v>-31.887599825513323</v>
      </c>
      <c r="D9" s="496">
        <v>-50.150893132730886</v>
      </c>
      <c r="E9" s="89">
        <f t="shared" si="0"/>
        <v>-108.05117489684048</v>
      </c>
      <c r="F9" s="90">
        <f t="shared" si="1"/>
        <v>-45.31254657283785</v>
      </c>
      <c r="G9" s="22">
        <f t="shared" si="2"/>
        <v>-6.527517041409588</v>
      </c>
      <c r="H9" s="82">
        <f t="shared" si="3"/>
        <v>17.890232951562723</v>
      </c>
      <c r="I9" s="485"/>
      <c r="K9" s="14"/>
      <c r="L9" s="392"/>
      <c r="M9" s="451">
        <v>36.70842988096163</v>
      </c>
      <c r="N9" s="451">
        <v>29.17566377416035</v>
      </c>
      <c r="O9" s="451">
        <v>-58.26513656536644</v>
      </c>
    </row>
    <row r="10" spans="1:15" ht="12.75">
      <c r="A10" s="85">
        <v>6</v>
      </c>
      <c r="B10" s="494">
        <v>54.43774436756164</v>
      </c>
      <c r="C10" s="495">
        <v>-20.03693641322648</v>
      </c>
      <c r="D10" s="496">
        <v>-60.81144704668057</v>
      </c>
      <c r="E10" s="89">
        <f t="shared" si="0"/>
        <v>-105.52243218708503</v>
      </c>
      <c r="F10" s="90">
        <f t="shared" si="1"/>
        <v>-48.168989997012474</v>
      </c>
      <c r="G10" s="22">
        <f t="shared" si="2"/>
        <v>-11.592363509381826</v>
      </c>
      <c r="H10" s="82">
        <f t="shared" si="3"/>
        <v>16.738746023691327</v>
      </c>
      <c r="I10" s="485"/>
      <c r="K10" s="14"/>
      <c r="L10" s="392"/>
      <c r="M10" s="451">
        <v>43.52186810748368</v>
      </c>
      <c r="N10" s="451">
        <v>37.21903621151731</v>
      </c>
      <c r="O10" s="451">
        <v>-41.069948734626074</v>
      </c>
    </row>
    <row r="11" spans="1:15" ht="12.75">
      <c r="A11" s="85">
        <v>7</v>
      </c>
      <c r="B11" s="494"/>
      <c r="C11" s="495"/>
      <c r="D11" s="496"/>
      <c r="E11" s="89">
        <f t="shared" si="0"/>
        <v>180.01325905069513</v>
      </c>
      <c r="F11" s="90" t="e">
        <f t="shared" si="1"/>
        <v>#DIV/0!</v>
      </c>
      <c r="G11" s="22">
        <f t="shared" si="2"/>
        <v>0</v>
      </c>
      <c r="H11" s="82">
        <f t="shared" si="3"/>
        <v>0</v>
      </c>
      <c r="I11" s="485"/>
      <c r="K11" s="14"/>
      <c r="L11" s="483"/>
      <c r="M11" s="451">
        <v>16.930116643219076</v>
      </c>
      <c r="N11" s="451">
        <v>27.810433700630487</v>
      </c>
      <c r="O11" s="451">
        <v>-18.424330909452813</v>
      </c>
    </row>
    <row r="12" spans="1:15" ht="12.75">
      <c r="A12" s="85">
        <v>8</v>
      </c>
      <c r="B12" s="494"/>
      <c r="C12" s="495"/>
      <c r="D12" s="496"/>
      <c r="E12" s="89">
        <f t="shared" si="0"/>
        <v>180.01325905069513</v>
      </c>
      <c r="F12" s="90" t="e">
        <f t="shared" si="1"/>
        <v>#DIV/0!</v>
      </c>
      <c r="G12" s="22">
        <f t="shared" si="2"/>
        <v>0</v>
      </c>
      <c r="H12" s="82">
        <f t="shared" si="3"/>
        <v>0</v>
      </c>
      <c r="I12" s="485"/>
      <c r="K12" s="14"/>
      <c r="L12" s="483"/>
      <c r="M12" s="451">
        <v>25.65201790992863</v>
      </c>
      <c r="N12" s="451">
        <v>-36.11427796731891</v>
      </c>
      <c r="O12" s="451">
        <v>-38.973647249665696</v>
      </c>
    </row>
    <row r="13" spans="1:15" ht="12.75">
      <c r="A13" s="85">
        <v>9</v>
      </c>
      <c r="B13" s="494"/>
      <c r="C13" s="495"/>
      <c r="D13" s="496"/>
      <c r="E13" s="89">
        <f t="shared" si="0"/>
        <v>180.01325905069513</v>
      </c>
      <c r="F13" s="90" t="e">
        <f t="shared" si="1"/>
        <v>#DIV/0!</v>
      </c>
      <c r="G13" s="22">
        <f t="shared" si="2"/>
        <v>0</v>
      </c>
      <c r="H13" s="82">
        <f t="shared" si="3"/>
        <v>0</v>
      </c>
      <c r="I13" s="485"/>
      <c r="M13" s="451">
        <v>49.612493271182046</v>
      </c>
      <c r="N13" s="451">
        <v>-31.887599825513323</v>
      </c>
      <c r="O13" s="451">
        <v>-50.150893132730886</v>
      </c>
    </row>
    <row r="14" spans="1:15" ht="12.75">
      <c r="A14" s="85">
        <v>10</v>
      </c>
      <c r="B14" s="494"/>
      <c r="C14" s="495"/>
      <c r="D14" s="496"/>
      <c r="E14" s="89">
        <f t="shared" si="0"/>
        <v>180.01325905069513</v>
      </c>
      <c r="F14" s="90" t="e">
        <f t="shared" si="1"/>
        <v>#DIV/0!</v>
      </c>
      <c r="G14" s="22">
        <f t="shared" si="2"/>
        <v>0</v>
      </c>
      <c r="H14" s="82">
        <f t="shared" si="3"/>
        <v>0</v>
      </c>
      <c r="M14" s="451">
        <v>54.43774436756164</v>
      </c>
      <c r="N14" s="451">
        <v>-20.03693641322648</v>
      </c>
      <c r="O14" s="451">
        <v>-60.81144704668057</v>
      </c>
    </row>
    <row r="15" spans="1:8" ht="12.75">
      <c r="A15" s="85">
        <v>11</v>
      </c>
      <c r="B15" s="494"/>
      <c r="C15" s="495"/>
      <c r="D15" s="496"/>
      <c r="E15" s="89">
        <f t="shared" si="0"/>
        <v>180.01325905069513</v>
      </c>
      <c r="F15" s="90" t="e">
        <f t="shared" si="1"/>
        <v>#DIV/0!</v>
      </c>
      <c r="G15" s="22">
        <f t="shared" si="2"/>
        <v>0</v>
      </c>
      <c r="H15" s="82">
        <f t="shared" si="3"/>
        <v>0</v>
      </c>
    </row>
    <row r="16" spans="1:9" ht="12.75">
      <c r="A16" s="85">
        <v>12</v>
      </c>
      <c r="B16" s="494"/>
      <c r="C16" s="495"/>
      <c r="D16" s="496"/>
      <c r="E16" s="89">
        <f t="shared" si="0"/>
        <v>180.01325905069513</v>
      </c>
      <c r="F16" s="90" t="e">
        <f t="shared" si="1"/>
        <v>#DIV/0!</v>
      </c>
      <c r="G16" s="22">
        <f t="shared" si="2"/>
        <v>0</v>
      </c>
      <c r="H16" s="82">
        <f t="shared" si="3"/>
        <v>0</v>
      </c>
      <c r="I16" s="484"/>
    </row>
    <row r="17" spans="1:9" ht="13.5" thickBot="1">
      <c r="A17" s="85">
        <v>13</v>
      </c>
      <c r="B17" s="494"/>
      <c r="C17" s="495"/>
      <c r="D17" s="496"/>
      <c r="E17" s="89">
        <f t="shared" si="0"/>
        <v>180.01325905069513</v>
      </c>
      <c r="F17" s="90" t="e">
        <f t="shared" si="1"/>
        <v>#DIV/0!</v>
      </c>
      <c r="G17" s="22">
        <f t="shared" si="2"/>
        <v>0</v>
      </c>
      <c r="H17" s="82">
        <f t="shared" si="3"/>
        <v>0</v>
      </c>
      <c r="I17" s="484"/>
    </row>
    <row r="18" spans="1:14" ht="13.5" thickBot="1">
      <c r="A18" s="85">
        <v>14</v>
      </c>
      <c r="B18" s="494"/>
      <c r="C18" s="495"/>
      <c r="D18" s="496"/>
      <c r="E18" s="89">
        <f>57.3*ATAN2(B18-60,C18)</f>
        <v>180.01325905069513</v>
      </c>
      <c r="F18" s="90" t="e">
        <f>57.3*ATAN2(B18,D18)</f>
        <v>#DIV/0!</v>
      </c>
      <c r="G18" s="22">
        <f>SUMPRODUCT(G$24:I$24,B18:D18)</f>
        <v>0</v>
      </c>
      <c r="H18" s="82">
        <f>SUMPRODUCT(G$23:I$23,B18:D18)</f>
        <v>0</v>
      </c>
      <c r="I18" s="484"/>
      <c r="J18" s="24" t="s">
        <v>46</v>
      </c>
      <c r="K18" s="25"/>
      <c r="L18" s="25"/>
      <c r="M18" s="25"/>
      <c r="N18" s="362" t="s">
        <v>53</v>
      </c>
    </row>
    <row r="19" spans="1:14" ht="13.5" thickBot="1">
      <c r="A19" s="86">
        <v>15</v>
      </c>
      <c r="B19" s="497"/>
      <c r="C19" s="498"/>
      <c r="D19" s="499"/>
      <c r="E19" s="89">
        <f>57.3*ATAN2(B19-60,C19)</f>
        <v>180.01325905069513</v>
      </c>
      <c r="F19" s="90" t="e">
        <f>57.3*ATAN2(B19,D19)</f>
        <v>#DIV/0!</v>
      </c>
      <c r="G19" s="23">
        <f>SUMPRODUCT(G$24:I$24,B19:D19)</f>
        <v>0</v>
      </c>
      <c r="H19" s="83">
        <f>SUMPRODUCT(G$23:I$23,B19:D19)</f>
        <v>0</v>
      </c>
      <c r="I19" s="484"/>
      <c r="J19" s="327" t="s">
        <v>47</v>
      </c>
      <c r="K19" s="328"/>
      <c r="L19" s="333">
        <v>20</v>
      </c>
      <c r="M19" s="333">
        <v>0</v>
      </c>
      <c r="N19" s="325"/>
    </row>
    <row r="20" spans="10:15" ht="12.75">
      <c r="J20" s="331" t="s">
        <v>48</v>
      </c>
      <c r="K20" s="332"/>
      <c r="L20" s="333">
        <v>40</v>
      </c>
      <c r="M20" s="333">
        <v>20</v>
      </c>
      <c r="N20" s="325">
        <f>IF(AND(K19=1,ISBLANK(K20),ISBLANK(K21)),20,IF(AND(K20=1,ISBLANK(K19),ISBLANK(K21)),40,IF(AND(K21=1,ISBLANK(K19),ISBLANK(K20)),60)))</f>
        <v>60</v>
      </c>
      <c r="O20" t="s">
        <v>81</v>
      </c>
    </row>
    <row r="21" spans="10:15" ht="13.5" thickBot="1">
      <c r="J21" s="334" t="s">
        <v>49</v>
      </c>
      <c r="K21" s="335">
        <v>1</v>
      </c>
      <c r="L21" s="333">
        <v>60</v>
      </c>
      <c r="M21" s="333">
        <v>40</v>
      </c>
      <c r="N21" s="325">
        <f>IF(AND(K19=1,ISBLANK(K20),ISBLANK(K21)),0,IF(AND(K20=1,ISBLANK(K19),ISBLANK(K21)),20,IF(AND(K21=1,ISBLANK(K19),ISBLANK(K20)),40)))</f>
        <v>40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5" t="s">
        <v>3</v>
      </c>
      <c r="F23" s="37" t="s">
        <v>31</v>
      </c>
      <c r="G23" s="38">
        <f>SIN(N20*ACOS(-1)/180)</f>
        <v>0.8660254037844386</v>
      </c>
      <c r="H23" s="38">
        <v>0</v>
      </c>
      <c r="I23" s="39">
        <f>COS(N20*ACOS(-1)/180)</f>
        <v>0.5000000000000001</v>
      </c>
      <c r="J23" s="327" t="s">
        <v>52</v>
      </c>
      <c r="K23" s="328"/>
      <c r="L23" s="324"/>
      <c r="M23" s="324"/>
      <c r="N23" s="360" t="str">
        <f>IF(AND(K23=1,ISBLANK(K24)),"G",IF(AND(K24=1,ISBLANK(K23)),"H"))</f>
        <v>H</v>
      </c>
      <c r="O23" t="s">
        <v>79</v>
      </c>
    </row>
    <row r="24" spans="1:15" ht="13.5" thickBot="1">
      <c r="A24" s="29">
        <v>1</v>
      </c>
      <c r="B24" s="447">
        <v>-141.13191</v>
      </c>
      <c r="C24" s="447">
        <v>-31.96632</v>
      </c>
      <c r="D24" s="448">
        <v>-7.6632</v>
      </c>
      <c r="F24" s="40" t="s">
        <v>14</v>
      </c>
      <c r="G24" s="41">
        <f>SIN(N21*ACOS(-1)/180)</f>
        <v>0.6427876096865393</v>
      </c>
      <c r="H24" s="41">
        <v>0</v>
      </c>
      <c r="I24" s="42">
        <f>N24*COS(N21*ACOS(-1)/180)</f>
        <v>0.766044443118978</v>
      </c>
      <c r="J24" s="329" t="s">
        <v>51</v>
      </c>
      <c r="K24" s="330">
        <v>1</v>
      </c>
      <c r="L24" s="326"/>
      <c r="M24" s="326"/>
      <c r="N24" s="361">
        <f>IF(AND(K23=1,ISBLANK(K24)),-1,IF(AND(K24=1,ISBLANK(K23)),1))</f>
        <v>1</v>
      </c>
      <c r="O24" t="s">
        <v>80</v>
      </c>
    </row>
    <row r="25" spans="1:11" ht="12.75">
      <c r="A25" s="29">
        <v>2</v>
      </c>
      <c r="B25" s="447">
        <v>-112.95357</v>
      </c>
      <c r="C25" s="447">
        <v>52.72116</v>
      </c>
      <c r="D25" s="448">
        <v>-8.2283</v>
      </c>
      <c r="J25" s="14"/>
      <c r="K25" s="14"/>
    </row>
    <row r="26" spans="1:11" ht="13.5" thickBot="1">
      <c r="A26" s="36">
        <v>3</v>
      </c>
      <c r="B26" s="449">
        <v>-201.27742</v>
      </c>
      <c r="C26" s="449">
        <v>35.85025</v>
      </c>
      <c r="D26" s="450">
        <v>-7.54078</v>
      </c>
      <c r="J26" s="14"/>
      <c r="K26" s="14"/>
    </row>
    <row r="27" spans="8:13" ht="13.5" thickBot="1">
      <c r="H27" t="s">
        <v>94</v>
      </c>
      <c r="M27" s="336"/>
    </row>
    <row r="28" spans="1:10" ht="12.75">
      <c r="A28" s="21" t="s">
        <v>45</v>
      </c>
      <c r="B28" s="17"/>
      <c r="C28" s="17"/>
      <c r="D28" s="18"/>
      <c r="E28" s="74" t="s">
        <v>42</v>
      </c>
      <c r="G28" s="1"/>
      <c r="H28">
        <v>-189.81454</v>
      </c>
      <c r="I28">
        <v>-0.527</v>
      </c>
      <c r="J28">
        <v>-4.54619</v>
      </c>
    </row>
    <row r="29" spans="1:10" ht="13.5" thickBot="1">
      <c r="A29" s="34"/>
      <c r="B29" s="19"/>
      <c r="C29" s="19"/>
      <c r="D29" s="20"/>
      <c r="E29" s="14"/>
      <c r="F29" s="15"/>
      <c r="G29" s="3"/>
      <c r="H29">
        <v>-181.48323</v>
      </c>
      <c r="I29">
        <v>-11.81868</v>
      </c>
      <c r="J29">
        <v>9.93937</v>
      </c>
    </row>
    <row r="30" spans="1:19" ht="12.75">
      <c r="A30" s="439" t="s">
        <v>15</v>
      </c>
      <c r="B30" s="77" t="s">
        <v>16</v>
      </c>
      <c r="C30" s="78" t="s">
        <v>17</v>
      </c>
      <c r="D30" s="79" t="s">
        <v>18</v>
      </c>
      <c r="E30" s="14"/>
      <c r="F30" s="15"/>
      <c r="G30" s="485"/>
      <c r="H30">
        <v>-147.38969</v>
      </c>
      <c r="I30">
        <v>-13.71914</v>
      </c>
      <c r="J30">
        <v>-1.99079</v>
      </c>
      <c r="N30" s="392"/>
      <c r="O30" s="392"/>
      <c r="P30" s="392"/>
      <c r="Q30" s="392"/>
      <c r="R30" s="392"/>
      <c r="S30" s="392"/>
    </row>
    <row r="31" spans="1:16" ht="12.75">
      <c r="A31" s="440">
        <v>1</v>
      </c>
      <c r="B31" s="488">
        <v>-189.82132</v>
      </c>
      <c r="C31" s="489">
        <v>-0.52875</v>
      </c>
      <c r="D31" s="490">
        <v>-4.5411</v>
      </c>
      <c r="E31" s="14" t="b">
        <f>AND(ISBLANK(B31),ISBLANK(C31),ISBLANK(D31))</f>
        <v>0</v>
      </c>
      <c r="F31" s="15"/>
      <c r="G31" s="485"/>
      <c r="H31">
        <v>-147.4875</v>
      </c>
      <c r="I31">
        <v>53.92054</v>
      </c>
      <c r="J31">
        <v>-5.0081</v>
      </c>
      <c r="O31" s="392"/>
      <c r="P31" s="392"/>
    </row>
    <row r="32" spans="1:16" ht="12.75">
      <c r="A32" s="440">
        <v>2</v>
      </c>
      <c r="B32" s="488">
        <v>-181.48497</v>
      </c>
      <c r="C32" s="489">
        <v>-11.81596</v>
      </c>
      <c r="D32" s="490">
        <v>9.9454</v>
      </c>
      <c r="E32" s="14" t="b">
        <f aca="true" t="shared" si="4" ref="E32:E45">AND(ISBLANK(B32),ISBLANK(C32),ISBLANK(D32))</f>
        <v>0</v>
      </c>
      <c r="F32" s="15"/>
      <c r="G32" s="485"/>
      <c r="H32">
        <v>-169.23788</v>
      </c>
      <c r="I32">
        <v>57.07064</v>
      </c>
      <c r="J32">
        <v>10.29043</v>
      </c>
      <c r="O32" s="392"/>
      <c r="P32" s="392"/>
    </row>
    <row r="33" spans="1:16" ht="12.75">
      <c r="A33" s="440">
        <v>3</v>
      </c>
      <c r="B33" s="488">
        <v>-147.38819</v>
      </c>
      <c r="C33" s="489">
        <v>-13.72139</v>
      </c>
      <c r="D33" s="490">
        <v>-1.99088</v>
      </c>
      <c r="E33" s="14" t="b">
        <f t="shared" si="4"/>
        <v>0</v>
      </c>
      <c r="F33" s="15"/>
      <c r="G33" s="485"/>
      <c r="H33">
        <v>-184.12012</v>
      </c>
      <c r="I33">
        <v>49.66401</v>
      </c>
      <c r="J33">
        <v>9.27293</v>
      </c>
      <c r="O33" s="392"/>
      <c r="P33" s="392"/>
    </row>
    <row r="34" spans="1:16" ht="12.75">
      <c r="A34" s="440">
        <v>4</v>
      </c>
      <c r="B34" s="488">
        <v>-147.48508</v>
      </c>
      <c r="C34" s="489">
        <v>53.92916</v>
      </c>
      <c r="D34" s="490">
        <v>-5.00183</v>
      </c>
      <c r="E34" s="14" t="b">
        <f t="shared" si="4"/>
        <v>0</v>
      </c>
      <c r="F34" s="15"/>
      <c r="G34" s="485"/>
      <c r="O34" s="392"/>
      <c r="P34" s="392"/>
    </row>
    <row r="35" spans="1:16" ht="12.75">
      <c r="A35" s="440">
        <v>5</v>
      </c>
      <c r="B35" s="488">
        <v>-169.23764</v>
      </c>
      <c r="C35" s="489">
        <v>57.0644</v>
      </c>
      <c r="D35" s="490">
        <v>10.29651</v>
      </c>
      <c r="E35" s="14" t="b">
        <f t="shared" si="4"/>
        <v>0</v>
      </c>
      <c r="F35" s="15"/>
      <c r="G35" s="485"/>
      <c r="O35" s="392"/>
      <c r="P35" s="392"/>
    </row>
    <row r="36" spans="1:16" ht="12.75">
      <c r="A36" s="440">
        <v>6</v>
      </c>
      <c r="B36" s="488">
        <v>-184.12337</v>
      </c>
      <c r="C36" s="489">
        <v>49.66736</v>
      </c>
      <c r="D36" s="490">
        <v>9.27965</v>
      </c>
      <c r="E36" s="14" t="b">
        <f t="shared" si="4"/>
        <v>0</v>
      </c>
      <c r="F36" s="15"/>
      <c r="G36" s="485"/>
      <c r="H36" t="s">
        <v>95</v>
      </c>
      <c r="O36" s="392"/>
      <c r="P36" s="392"/>
    </row>
    <row r="37" spans="1:19" ht="12.75">
      <c r="A37" s="440">
        <v>7</v>
      </c>
      <c r="B37" s="488"/>
      <c r="C37" s="489"/>
      <c r="D37" s="490"/>
      <c r="E37" s="14" t="b">
        <f t="shared" si="4"/>
        <v>1</v>
      </c>
      <c r="F37" s="15"/>
      <c r="G37" s="485"/>
      <c r="H37">
        <v>-189.81918</v>
      </c>
      <c r="I37">
        <v>-0.5314</v>
      </c>
      <c r="J37">
        <v>-4.54295</v>
      </c>
      <c r="O37" s="392"/>
      <c r="P37" s="392"/>
      <c r="Q37" s="392"/>
      <c r="R37" s="392"/>
      <c r="S37" s="392"/>
    </row>
    <row r="38" spans="1:19" ht="12.75">
      <c r="A38" s="440">
        <v>8</v>
      </c>
      <c r="B38" s="488"/>
      <c r="C38" s="489"/>
      <c r="D38" s="490"/>
      <c r="E38" s="14" t="b">
        <f t="shared" si="4"/>
        <v>1</v>
      </c>
      <c r="F38" s="14"/>
      <c r="G38" s="485"/>
      <c r="H38">
        <v>-181.48144</v>
      </c>
      <c r="I38">
        <v>-11.81683</v>
      </c>
      <c r="J38">
        <v>9.94465</v>
      </c>
      <c r="O38" s="392"/>
      <c r="P38" s="392"/>
      <c r="Q38" s="392"/>
      <c r="R38" s="392"/>
      <c r="S38" s="392"/>
    </row>
    <row r="39" spans="1:13" ht="12.75">
      <c r="A39" s="440">
        <v>9</v>
      </c>
      <c r="B39" s="488"/>
      <c r="C39" s="489"/>
      <c r="D39" s="490"/>
      <c r="E39" s="14" t="b">
        <f t="shared" si="4"/>
        <v>1</v>
      </c>
      <c r="F39" s="14"/>
      <c r="H39">
        <v>-147.38853</v>
      </c>
      <c r="I39">
        <v>-13.72069</v>
      </c>
      <c r="J39">
        <v>-1.98938</v>
      </c>
      <c r="K39" s="483"/>
      <c r="L39" s="3"/>
      <c r="M39" s="3"/>
    </row>
    <row r="40" spans="1:10" ht="12.75">
      <c r="A40" s="440">
        <v>10</v>
      </c>
      <c r="B40" s="444"/>
      <c r="C40" s="445"/>
      <c r="D40" s="446"/>
      <c r="E40" s="14" t="b">
        <f t="shared" si="4"/>
        <v>1</v>
      </c>
      <c r="F40" s="14"/>
      <c r="H40">
        <v>-147.48765</v>
      </c>
      <c r="I40">
        <v>53.92599</v>
      </c>
      <c r="J40">
        <v>-5.00373</v>
      </c>
    </row>
    <row r="41" spans="1:15" ht="12.75">
      <c r="A41" s="440">
        <v>11</v>
      </c>
      <c r="B41" s="444"/>
      <c r="C41" s="445"/>
      <c r="D41" s="446"/>
      <c r="E41" s="14" t="b">
        <f t="shared" si="4"/>
        <v>1</v>
      </c>
      <c r="F41" s="14"/>
      <c r="H41">
        <v>-169.24036</v>
      </c>
      <c r="I41">
        <v>57.0622</v>
      </c>
      <c r="J41">
        <v>10.29572</v>
      </c>
      <c r="O41" s="433"/>
    </row>
    <row r="42" spans="1:16" ht="12.75">
      <c r="A42" s="440">
        <v>12</v>
      </c>
      <c r="B42" s="444"/>
      <c r="C42" s="445"/>
      <c r="D42" s="446"/>
      <c r="E42" s="14" t="b">
        <f t="shared" si="4"/>
        <v>1</v>
      </c>
      <c r="F42" s="14"/>
      <c r="H42">
        <v>-184.12303</v>
      </c>
      <c r="I42">
        <v>49.66365</v>
      </c>
      <c r="J42">
        <v>9.27725</v>
      </c>
      <c r="L42" s="451"/>
      <c r="M42" s="451"/>
      <c r="N42" s="451"/>
      <c r="O42" s="392"/>
      <c r="P42" s="392"/>
    </row>
    <row r="43" spans="1:16" ht="12.75">
      <c r="A43" s="440">
        <v>13</v>
      </c>
      <c r="B43" s="442"/>
      <c r="C43" s="30"/>
      <c r="D43" s="31"/>
      <c r="E43" s="14" t="b">
        <f t="shared" si="4"/>
        <v>1</v>
      </c>
      <c r="F43" s="14"/>
      <c r="G43" s="3"/>
      <c r="O43" s="392"/>
      <c r="P43" s="392"/>
    </row>
    <row r="44" spans="1:7" ht="12.75">
      <c r="A44" s="440">
        <v>14</v>
      </c>
      <c r="B44" s="442"/>
      <c r="C44" s="30"/>
      <c r="D44" s="31"/>
      <c r="E44" s="14" t="b">
        <f t="shared" si="4"/>
        <v>1</v>
      </c>
      <c r="F44" s="14"/>
      <c r="G44" s="3"/>
    </row>
    <row r="45" spans="1:16" ht="13.5" thickBot="1">
      <c r="A45" s="441">
        <v>15</v>
      </c>
      <c r="B45" s="443"/>
      <c r="C45" s="32"/>
      <c r="D45" s="33"/>
      <c r="E45" s="14" t="b">
        <f t="shared" si="4"/>
        <v>1</v>
      </c>
      <c r="F45" s="14"/>
      <c r="G45" s="3"/>
      <c r="H45" t="s">
        <v>96</v>
      </c>
      <c r="O45" s="392"/>
      <c r="P45" s="392"/>
    </row>
    <row r="46" spans="1:16" ht="12.75">
      <c r="A46" s="14"/>
      <c r="B46" s="14"/>
      <c r="C46" s="14"/>
      <c r="D46" s="14"/>
      <c r="E46" s="14"/>
      <c r="F46" s="14"/>
      <c r="G46" s="3"/>
      <c r="H46">
        <v>-189.8181</v>
      </c>
      <c r="I46">
        <v>-0.52961</v>
      </c>
      <c r="J46">
        <v>-4.54166</v>
      </c>
      <c r="O46" s="392"/>
      <c r="P46" s="392"/>
    </row>
    <row r="47" spans="7:16" ht="12.75">
      <c r="G47" s="3"/>
      <c r="H47">
        <v>-181.48494</v>
      </c>
      <c r="I47">
        <v>-11.81803</v>
      </c>
      <c r="J47">
        <v>9.94502</v>
      </c>
      <c r="O47" s="392"/>
      <c r="P47" s="392"/>
    </row>
    <row r="48" spans="4:16" ht="12.75">
      <c r="D48" s="14"/>
      <c r="E48" s="14"/>
      <c r="F48" s="14"/>
      <c r="G48" s="14"/>
      <c r="H48">
        <v>-147.38886</v>
      </c>
      <c r="I48">
        <v>-13.72148</v>
      </c>
      <c r="J48">
        <v>-1.99198</v>
      </c>
      <c r="O48" s="392"/>
      <c r="P48" s="392"/>
    </row>
    <row r="49" spans="1:17" ht="12.75">
      <c r="A49" s="3"/>
      <c r="B49" s="3"/>
      <c r="C49" s="3"/>
      <c r="D49" s="451"/>
      <c r="E49" s="451"/>
      <c r="F49" s="451"/>
      <c r="G49" s="3"/>
      <c r="H49">
        <v>-147.48777</v>
      </c>
      <c r="I49">
        <v>53.92949</v>
      </c>
      <c r="J49">
        <v>-5.00169</v>
      </c>
      <c r="O49" s="392"/>
      <c r="P49" s="392"/>
      <c r="Q49" s="3"/>
    </row>
    <row r="50" spans="1:17" ht="12.75">
      <c r="A50" s="3"/>
      <c r="B50" s="3"/>
      <c r="C50" s="3"/>
      <c r="D50" s="451"/>
      <c r="E50" s="451"/>
      <c r="F50" s="451"/>
      <c r="G50" s="3"/>
      <c r="H50">
        <v>-169.24052</v>
      </c>
      <c r="I50">
        <v>57.0668</v>
      </c>
      <c r="J50">
        <v>10.29441</v>
      </c>
      <c r="M50" s="392"/>
      <c r="N50" s="392"/>
      <c r="O50" s="392"/>
      <c r="P50" s="392"/>
      <c r="Q50" s="3"/>
    </row>
    <row r="51" spans="1:18" ht="12.75">
      <c r="A51" s="3"/>
      <c r="B51" s="3"/>
      <c r="C51" s="3"/>
      <c r="D51" s="486"/>
      <c r="E51" s="486"/>
      <c r="F51" s="486"/>
      <c r="G51" s="3"/>
      <c r="H51">
        <v>-184.12523</v>
      </c>
      <c r="I51">
        <v>49.66473</v>
      </c>
      <c r="J51">
        <v>9.27923</v>
      </c>
      <c r="N51" s="3"/>
      <c r="O51" s="3"/>
      <c r="P51" s="3"/>
      <c r="Q51" s="3"/>
      <c r="R51" s="3"/>
    </row>
    <row r="52" spans="1:18" ht="12.75">
      <c r="A52" s="3"/>
      <c r="B52" s="3"/>
      <c r="C52" s="3"/>
      <c r="D52" s="486"/>
      <c r="E52" s="486"/>
      <c r="F52" s="486"/>
      <c r="G52" s="3"/>
      <c r="H52" s="435"/>
      <c r="N52" s="3"/>
      <c r="O52" s="3"/>
      <c r="P52" s="3"/>
      <c r="Q52" s="434"/>
      <c r="R52" s="3"/>
    </row>
    <row r="53" spans="1:18" ht="12.75">
      <c r="A53" s="437"/>
      <c r="B53" s="487"/>
      <c r="C53" s="436"/>
      <c r="D53" s="486"/>
      <c r="E53" s="486"/>
      <c r="F53" s="486"/>
      <c r="G53" s="3"/>
      <c r="H53" s="3"/>
      <c r="N53" s="3"/>
      <c r="O53" s="3"/>
      <c r="P53" s="3"/>
      <c r="Q53" s="434"/>
      <c r="R53" s="3"/>
    </row>
    <row r="54" spans="1:18" ht="12.75">
      <c r="A54" s="437"/>
      <c r="B54" s="487"/>
      <c r="C54" s="436"/>
      <c r="D54" s="486"/>
      <c r="E54" s="486"/>
      <c r="F54" s="486"/>
      <c r="G54" s="3"/>
      <c r="H54" s="3" t="s">
        <v>97</v>
      </c>
      <c r="N54" s="3"/>
      <c r="O54" s="3"/>
      <c r="P54" s="3"/>
      <c r="Q54" s="434"/>
      <c r="R54" s="3"/>
    </row>
    <row r="55" spans="1:18" ht="12.75">
      <c r="A55" s="437"/>
      <c r="B55" s="487"/>
      <c r="C55" s="436"/>
      <c r="D55" s="486"/>
      <c r="E55" s="486"/>
      <c r="F55" s="486"/>
      <c r="G55" s="3"/>
      <c r="H55">
        <v>-189.81572</v>
      </c>
      <c r="I55">
        <v>-0.52978</v>
      </c>
      <c r="J55">
        <v>-4.54086</v>
      </c>
      <c r="L55" s="3"/>
      <c r="M55" s="3"/>
      <c r="N55" s="3"/>
      <c r="O55" s="3"/>
      <c r="P55" s="3"/>
      <c r="Q55" s="434"/>
      <c r="R55" s="3"/>
    </row>
    <row r="56" spans="1:18" ht="12.75">
      <c r="A56" s="437"/>
      <c r="B56" s="487"/>
      <c r="C56" s="436"/>
      <c r="D56" s="486"/>
      <c r="E56" s="486"/>
      <c r="F56" s="486"/>
      <c r="G56" s="3"/>
      <c r="H56">
        <v>-181.4852</v>
      </c>
      <c r="I56">
        <v>-11.8188</v>
      </c>
      <c r="J56">
        <v>9.94488</v>
      </c>
      <c r="L56" s="3"/>
      <c r="M56" s="3"/>
      <c r="N56" s="3"/>
      <c r="O56" s="3"/>
      <c r="P56" s="3"/>
      <c r="Q56" s="434"/>
      <c r="R56" s="3"/>
    </row>
    <row r="57" spans="1:18" ht="12.75">
      <c r="A57" s="437"/>
      <c r="B57" s="487"/>
      <c r="C57" s="436"/>
      <c r="D57" s="486"/>
      <c r="E57" s="486"/>
      <c r="F57" s="486"/>
      <c r="G57" s="3"/>
      <c r="H57">
        <v>-147.39045</v>
      </c>
      <c r="I57">
        <v>-13.7176</v>
      </c>
      <c r="J57">
        <v>-1.98706</v>
      </c>
      <c r="L57" s="3"/>
      <c r="M57" s="3"/>
      <c r="N57" s="3"/>
      <c r="O57" s="3"/>
      <c r="P57" s="3"/>
      <c r="Q57" s="434"/>
      <c r="R57" s="3"/>
    </row>
    <row r="58" spans="1:18" ht="12.75">
      <c r="A58" s="437"/>
      <c r="B58" s="487"/>
      <c r="C58" s="436"/>
      <c r="D58" s="486"/>
      <c r="E58" s="486"/>
      <c r="F58" s="486"/>
      <c r="G58" s="3"/>
      <c r="H58">
        <v>-147.48939</v>
      </c>
      <c r="I58">
        <v>53.92358</v>
      </c>
      <c r="J58">
        <v>-5.00469</v>
      </c>
      <c r="L58" s="3"/>
      <c r="M58" s="3"/>
      <c r="N58" s="3"/>
      <c r="O58" s="3"/>
      <c r="P58" s="3"/>
      <c r="Q58" s="434"/>
      <c r="R58" s="3"/>
    </row>
    <row r="59" spans="1:18" ht="12.75">
      <c r="A59" s="437"/>
      <c r="B59" s="487"/>
      <c r="C59" s="436"/>
      <c r="D59" s="436"/>
      <c r="E59" s="436"/>
      <c r="F59" s="3"/>
      <c r="G59" s="3"/>
      <c r="H59">
        <v>-169.23995</v>
      </c>
      <c r="I59">
        <v>57.06381</v>
      </c>
      <c r="J59">
        <v>10.29499</v>
      </c>
      <c r="L59" s="3"/>
      <c r="M59" s="3"/>
      <c r="N59" s="3"/>
      <c r="O59" s="3"/>
      <c r="P59" s="3"/>
      <c r="Q59" s="434"/>
      <c r="R59" s="3"/>
    </row>
    <row r="60" spans="1:18" ht="12.75">
      <c r="A60" s="437"/>
      <c r="B60" s="487"/>
      <c r="C60" s="436"/>
      <c r="D60" s="436"/>
      <c r="E60" s="436"/>
      <c r="F60" s="3"/>
      <c r="G60" s="3"/>
      <c r="H60">
        <v>-184.12426</v>
      </c>
      <c r="I60">
        <v>49.66593</v>
      </c>
      <c r="J60">
        <v>9.27845</v>
      </c>
      <c r="L60" s="3"/>
      <c r="M60" s="3"/>
      <c r="N60" s="3"/>
      <c r="O60" s="3"/>
      <c r="P60" s="3"/>
      <c r="Q60" s="434"/>
      <c r="R60" s="3"/>
    </row>
    <row r="61" spans="1:18" ht="12.75">
      <c r="A61" s="437"/>
      <c r="B61" s="487"/>
      <c r="C61" s="436"/>
      <c r="D61" s="437"/>
      <c r="E61" s="437"/>
      <c r="F61" s="1"/>
      <c r="G61" s="3"/>
      <c r="H61" s="3"/>
      <c r="L61" s="3"/>
      <c r="M61" s="3"/>
      <c r="N61" s="3"/>
      <c r="O61" s="3"/>
      <c r="P61" s="3"/>
      <c r="Q61" s="434"/>
      <c r="R61" s="3"/>
    </row>
    <row r="62" spans="1:18" ht="12.75">
      <c r="A62" s="437"/>
      <c r="B62" s="487"/>
      <c r="C62" s="436"/>
      <c r="D62" s="436"/>
      <c r="E62" s="436"/>
      <c r="F62" s="3"/>
      <c r="G62" s="3"/>
      <c r="H62" s="3"/>
      <c r="L62" s="3"/>
      <c r="M62" s="3"/>
      <c r="N62" s="3"/>
      <c r="O62" s="3"/>
      <c r="P62" s="3"/>
      <c r="Q62" s="434"/>
      <c r="R62" s="3"/>
    </row>
    <row r="63" spans="1:18" ht="12.75">
      <c r="A63" s="437"/>
      <c r="B63" s="487"/>
      <c r="C63" s="436"/>
      <c r="D63" s="436"/>
      <c r="E63" s="436"/>
      <c r="F63" s="3"/>
      <c r="G63" s="3"/>
      <c r="H63" s="3" t="s">
        <v>98</v>
      </c>
      <c r="L63" s="3"/>
      <c r="M63" s="3"/>
      <c r="N63" s="3"/>
      <c r="O63" s="3"/>
      <c r="P63" s="3"/>
      <c r="Q63" s="434"/>
      <c r="R63" s="3"/>
    </row>
    <row r="64" spans="1:18" ht="12.75">
      <c r="A64" s="437"/>
      <c r="B64" s="487"/>
      <c r="C64" s="436"/>
      <c r="D64" s="437"/>
      <c r="E64" s="437"/>
      <c r="F64" s="1"/>
      <c r="G64" s="3"/>
      <c r="H64">
        <v>-189.81869</v>
      </c>
      <c r="I64">
        <v>-0.52923</v>
      </c>
      <c r="J64">
        <v>-4.54377</v>
      </c>
      <c r="L64" s="3"/>
      <c r="M64" s="3"/>
      <c r="N64" s="3"/>
      <c r="O64" s="3"/>
      <c r="P64" s="3"/>
      <c r="Q64" s="434"/>
      <c r="R64" s="3"/>
    </row>
    <row r="65" spans="1:18" ht="12.75">
      <c r="A65" s="437"/>
      <c r="B65" s="487"/>
      <c r="C65" s="436"/>
      <c r="D65" s="436"/>
      <c r="E65" s="436"/>
      <c r="F65" s="3"/>
      <c r="G65" s="3"/>
      <c r="H65">
        <v>-181.48353</v>
      </c>
      <c r="I65">
        <v>-11.81744</v>
      </c>
      <c r="J65">
        <v>9.94319</v>
      </c>
      <c r="L65" s="3"/>
      <c r="M65" s="3"/>
      <c r="N65" s="3"/>
      <c r="O65" s="3"/>
      <c r="P65" s="3"/>
      <c r="Q65" s="3"/>
      <c r="R65" s="3"/>
    </row>
    <row r="66" spans="1:18" ht="12.75">
      <c r="A66" s="437"/>
      <c r="B66" s="487"/>
      <c r="C66" s="436"/>
      <c r="D66" s="436"/>
      <c r="E66" s="436"/>
      <c r="F66" s="3"/>
      <c r="G66" s="3"/>
      <c r="H66">
        <v>-147.389</v>
      </c>
      <c r="I66">
        <v>-13.72016</v>
      </c>
      <c r="J66">
        <v>-1.98857</v>
      </c>
      <c r="L66" s="3"/>
      <c r="M66" s="3"/>
      <c r="N66" s="3"/>
      <c r="O66" s="3"/>
      <c r="P66" s="3"/>
      <c r="Q66" s="3"/>
      <c r="R66" s="3"/>
    </row>
    <row r="67" spans="1:18" ht="12.75">
      <c r="A67" s="437"/>
      <c r="B67" s="487"/>
      <c r="C67" s="436"/>
      <c r="D67" s="437"/>
      <c r="E67" s="437"/>
      <c r="F67" s="1"/>
      <c r="G67" s="3"/>
      <c r="H67">
        <v>-147.4852</v>
      </c>
      <c r="I67">
        <v>53.93019</v>
      </c>
      <c r="J67">
        <v>-5.00356</v>
      </c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36"/>
      <c r="E68" s="3"/>
      <c r="F68" s="3"/>
      <c r="G68" s="3"/>
      <c r="H68">
        <v>-169.23732</v>
      </c>
      <c r="I68">
        <v>57.067</v>
      </c>
      <c r="J68">
        <v>10.292</v>
      </c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36"/>
      <c r="E69" s="3"/>
      <c r="F69" s="3"/>
      <c r="G69" s="3"/>
      <c r="H69">
        <v>-184.11941</v>
      </c>
      <c r="I69">
        <v>49.66236</v>
      </c>
      <c r="J69">
        <v>9.27655</v>
      </c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64"/>
      <c r="E71" s="14"/>
      <c r="F71" s="14"/>
      <c r="G71" s="3"/>
      <c r="H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64"/>
      <c r="E72" s="14"/>
      <c r="F72" s="14"/>
      <c r="G72" s="3"/>
      <c r="H72" s="3" t="s">
        <v>99</v>
      </c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>
        <v>-189.82132</v>
      </c>
      <c r="I73">
        <v>-0.52875</v>
      </c>
      <c r="J73">
        <v>-4.5411</v>
      </c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64"/>
      <c r="E74" s="14"/>
      <c r="F74" s="14"/>
      <c r="G74" s="3"/>
      <c r="H74">
        <v>-181.48497</v>
      </c>
      <c r="I74">
        <v>-11.81596</v>
      </c>
      <c r="J74">
        <v>9.9454</v>
      </c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64"/>
      <c r="E75" s="14"/>
      <c r="F75" s="14"/>
      <c r="G75" s="3"/>
      <c r="H75">
        <v>-147.38819</v>
      </c>
      <c r="I75">
        <v>-13.72139</v>
      </c>
      <c r="J75">
        <v>-1.99088</v>
      </c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>
        <v>-147.48508</v>
      </c>
      <c r="I76">
        <v>53.92916</v>
      </c>
      <c r="J76">
        <v>-5.00183</v>
      </c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>
        <v>-169.23764</v>
      </c>
      <c r="I77">
        <v>57.0644</v>
      </c>
      <c r="J77">
        <v>10.29651</v>
      </c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>
        <v>-184.12337</v>
      </c>
      <c r="I78">
        <v>49.66736</v>
      </c>
      <c r="J78">
        <v>9.27965</v>
      </c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K81" s="3"/>
      <c r="L81" s="3"/>
      <c r="M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E62" sqref="E62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</cols>
  <sheetData>
    <row r="1" spans="1:5" ht="28.5" customHeight="1" thickBot="1">
      <c r="A1" s="81" t="s">
        <v>43</v>
      </c>
      <c r="B1" s="80"/>
      <c r="C1" s="80"/>
      <c r="D1" s="80"/>
      <c r="E1" s="80"/>
    </row>
    <row r="2" spans="1:10" ht="10.5" customHeight="1">
      <c r="A2" s="337" t="s">
        <v>36</v>
      </c>
      <c r="B2" s="338"/>
      <c r="C2" s="338"/>
      <c r="D2" s="338"/>
      <c r="E2" s="339"/>
      <c r="F2" s="340"/>
      <c r="G2" s="340"/>
      <c r="H2" s="341" t="s">
        <v>28</v>
      </c>
      <c r="I2" s="342"/>
      <c r="J2" s="343"/>
    </row>
    <row r="3" spans="1:10" ht="10.5" customHeight="1">
      <c r="A3" s="344" t="s">
        <v>0</v>
      </c>
      <c r="B3" s="344" t="s">
        <v>1</v>
      </c>
      <c r="C3" s="344" t="s">
        <v>2</v>
      </c>
      <c r="D3" s="344" t="s">
        <v>3</v>
      </c>
      <c r="E3" s="339"/>
      <c r="F3" s="345" t="s">
        <v>37</v>
      </c>
      <c r="G3" s="346">
        <f>B4*(C5*D6-D5*C6)-C4*(B5*D6-D5*B6)+D4*(B5*C6-C5*B6)</f>
        <v>-61525.11767044525</v>
      </c>
      <c r="H3" s="347" t="s">
        <v>4</v>
      </c>
      <c r="I3" s="348" t="s">
        <v>5</v>
      </c>
      <c r="J3" s="349" t="s">
        <v>6</v>
      </c>
    </row>
    <row r="4" spans="1:10" ht="10.5" customHeight="1">
      <c r="A4" s="344">
        <v>1</v>
      </c>
      <c r="B4" s="350">
        <f>'Input Data'!B24</f>
        <v>-141.13191</v>
      </c>
      <c r="C4" s="350">
        <f>'Input Data'!C24</f>
        <v>-31.96632</v>
      </c>
      <c r="D4" s="350">
        <f>'Input Data'!D24</f>
        <v>-7.6632</v>
      </c>
      <c r="E4" s="318"/>
      <c r="F4" s="345" t="s">
        <v>38</v>
      </c>
      <c r="G4" s="346">
        <f>(C5*D6-D5*C6)-(C4*D6-D4*C6)+(C4*D5-D4*C5)</f>
        <v>48.69058500860001</v>
      </c>
      <c r="H4" s="351">
        <f>G4/G3</f>
        <v>-0.0007913936104829174</v>
      </c>
      <c r="I4" s="352">
        <f>H4*J$4</f>
        <v>-0.006951065333233028</v>
      </c>
      <c r="J4" s="353">
        <f>1/SQRT(SUMSQ(H4:H6))</f>
        <v>8.783322535282297</v>
      </c>
    </row>
    <row r="5" spans="1:10" ht="10.5" customHeight="1">
      <c r="A5" s="344">
        <v>2</v>
      </c>
      <c r="B5" s="350">
        <f>'Input Data'!B25</f>
        <v>-112.95357</v>
      </c>
      <c r="C5" s="350">
        <f>'Input Data'!C25</f>
        <v>52.72116</v>
      </c>
      <c r="D5" s="350">
        <f>'Input Data'!D25</f>
        <v>-8.2283</v>
      </c>
      <c r="E5" s="318"/>
      <c r="F5" s="345" t="s">
        <v>39</v>
      </c>
      <c r="G5" s="346">
        <f>-(B5*D6-D5*B6)+(B4*D6-D4*B6)-(B4*D5-D4*B5)</f>
        <v>30.538635318200136</v>
      </c>
      <c r="H5" s="351">
        <f>G5/G3</f>
        <v>-0.0004963604536569613</v>
      </c>
      <c r="I5" s="352">
        <f>H5*J$4</f>
        <v>-0.004359693958228133</v>
      </c>
      <c r="J5" s="354"/>
    </row>
    <row r="6" spans="1:10" ht="10.5" customHeight="1" thickBot="1">
      <c r="A6" s="344">
        <v>3</v>
      </c>
      <c r="B6" s="350">
        <f>'Input Data'!B26</f>
        <v>-201.27742</v>
      </c>
      <c r="C6" s="350">
        <f>'Input Data'!C26</f>
        <v>35.85025</v>
      </c>
      <c r="D6" s="350">
        <f>'Input Data'!D26</f>
        <v>-7.54078</v>
      </c>
      <c r="E6" s="318"/>
      <c r="F6" s="345" t="s">
        <v>40</v>
      </c>
      <c r="G6" s="346">
        <f>(B5*C6-C5*B6)-(B4*C6-C4*B6)+(B4*C5-C4*B5)</f>
        <v>7004.530042308601</v>
      </c>
      <c r="H6" s="355">
        <f>G6/G3</f>
        <v>-0.11384829980867081</v>
      </c>
      <c r="I6" s="356">
        <f>H6*J$4</f>
        <v>-0.9999663373130735</v>
      </c>
      <c r="J6" s="357"/>
    </row>
    <row r="7" spans="1:10" ht="10.5" customHeight="1" thickBot="1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0.5" customHeight="1" thickBot="1">
      <c r="A8" s="358" t="s">
        <v>41</v>
      </c>
      <c r="B8" s="359"/>
      <c r="C8" s="339"/>
      <c r="D8" s="339"/>
      <c r="E8" s="339"/>
      <c r="F8" s="340"/>
      <c r="G8" s="340"/>
      <c r="H8" s="340"/>
      <c r="I8" s="340"/>
      <c r="J8" s="340"/>
    </row>
    <row r="9" spans="1:10" ht="10.5" customHeight="1">
      <c r="A9" s="102" t="s">
        <v>0</v>
      </c>
      <c r="B9" s="103" t="s">
        <v>16</v>
      </c>
      <c r="C9" s="103" t="s">
        <v>17</v>
      </c>
      <c r="D9" s="103" t="s">
        <v>18</v>
      </c>
      <c r="E9" s="104"/>
      <c r="F9" s="105" t="s">
        <v>7</v>
      </c>
      <c r="G9" s="105" t="s">
        <v>8</v>
      </c>
      <c r="H9" s="105" t="s">
        <v>9</v>
      </c>
      <c r="I9" s="105" t="s">
        <v>10</v>
      </c>
      <c r="J9" s="106" t="s">
        <v>11</v>
      </c>
    </row>
    <row r="10" spans="1:10" ht="10.5" customHeight="1">
      <c r="A10" s="107">
        <v>1</v>
      </c>
      <c r="B10" s="108">
        <f>'Input Data'!B31</f>
        <v>-189.82132</v>
      </c>
      <c r="C10" s="108">
        <f>'Input Data'!C31</f>
        <v>-0.52875</v>
      </c>
      <c r="D10" s="108">
        <f>'Input Data'!D31</f>
        <v>-4.5411</v>
      </c>
      <c r="E10" s="109" t="s">
        <v>1</v>
      </c>
      <c r="F10" s="110">
        <f>C10*I$6-D10*I$5</f>
        <v>0.5089343946205779</v>
      </c>
      <c r="G10" s="110">
        <f>I$5*F12-I$6-F11</f>
        <v>190.77973906156555</v>
      </c>
      <c r="H10" s="110">
        <f>J$4*I$4</f>
        <v>-0.0610534487856052</v>
      </c>
      <c r="I10" s="110">
        <f>G10+H10</f>
        <v>190.71868561277995</v>
      </c>
      <c r="J10" s="111">
        <f>B10-I10</f>
        <v>-380.54000561277996</v>
      </c>
    </row>
    <row r="11" spans="1:10" ht="10.5" customHeight="1" thickBot="1">
      <c r="A11" s="243"/>
      <c r="B11" s="244"/>
      <c r="C11" s="244"/>
      <c r="D11" s="245"/>
      <c r="E11" s="109" t="s">
        <v>2</v>
      </c>
      <c r="F11" s="110">
        <f>-(B10*I$6-I$4*D10)</f>
        <v>-189.78336462154812</v>
      </c>
      <c r="G11" s="110">
        <f>-(I$4*F12-I$6*F10)</f>
        <v>-0.5031903667779103</v>
      </c>
      <c r="H11" s="110">
        <f>J$4*I$5</f>
        <v>-0.03829259819023923</v>
      </c>
      <c r="I11" s="110">
        <f>G11+H11</f>
        <v>-0.5414829649681495</v>
      </c>
      <c r="J11" s="112">
        <f>C10-I11</f>
        <v>0.012732964968149463</v>
      </c>
    </row>
    <row r="12" spans="1:10" ht="10.5" customHeight="1" thickBot="1">
      <c r="A12" s="246"/>
      <c r="B12" s="247"/>
      <c r="C12" s="247"/>
      <c r="D12" s="248"/>
      <c r="E12" s="113" t="s">
        <v>3</v>
      </c>
      <c r="F12" s="114">
        <f>B10*I$5-I$4*C10</f>
        <v>0.8238874861519421</v>
      </c>
      <c r="G12" s="114">
        <f>I$4*F11-I$5*F10</f>
        <v>1.3214153648505285</v>
      </c>
      <c r="H12" s="114">
        <f>J$4*I$6</f>
        <v>-8.783026865045617</v>
      </c>
      <c r="I12" s="115">
        <f>G12+H12</f>
        <v>-7.4616115001950885</v>
      </c>
      <c r="J12" s="116">
        <f>IF('Input Data'!E31=TRUE,"",(D10-I12))</f>
        <v>2.9205115001950883</v>
      </c>
    </row>
    <row r="13" spans="1:10" ht="10.5" customHeight="1">
      <c r="A13" s="117" t="s">
        <v>0</v>
      </c>
      <c r="B13" s="118" t="s">
        <v>16</v>
      </c>
      <c r="C13" s="118" t="s">
        <v>17</v>
      </c>
      <c r="D13" s="118" t="s">
        <v>18</v>
      </c>
      <c r="E13" s="119"/>
      <c r="F13" s="120" t="s">
        <v>7</v>
      </c>
      <c r="G13" s="120" t="s">
        <v>8</v>
      </c>
      <c r="H13" s="120" t="s">
        <v>9</v>
      </c>
      <c r="I13" s="120" t="s">
        <v>10</v>
      </c>
      <c r="J13" s="121" t="s">
        <v>11</v>
      </c>
    </row>
    <row r="14" spans="1:10" ht="10.5" customHeight="1">
      <c r="A14" s="122">
        <v>2</v>
      </c>
      <c r="B14" s="123">
        <f>'Input Data'!B32</f>
        <v>-181.48497</v>
      </c>
      <c r="C14" s="123">
        <f>'Input Data'!C32</f>
        <v>-11.81596</v>
      </c>
      <c r="D14" s="123">
        <f>'Input Data'!D32</f>
        <v>9.9454</v>
      </c>
      <c r="E14" s="124" t="s">
        <v>1</v>
      </c>
      <c r="F14" s="125">
        <f>C14*I$6-D14*I$5</f>
        <v>11.858921143329946</v>
      </c>
      <c r="G14" s="125">
        <f>I$5*F16-I$6-F15</f>
        <v>182.54486679534165</v>
      </c>
      <c r="H14" s="125">
        <f>J$4*I$4</f>
        <v>-0.0610534487856052</v>
      </c>
      <c r="I14" s="125">
        <f>G14+H14</f>
        <v>182.48381334655605</v>
      </c>
      <c r="J14" s="126">
        <f>B14-I14</f>
        <v>-363.96878334655605</v>
      </c>
    </row>
    <row r="15" spans="1:10" ht="10.5" customHeight="1" thickBot="1">
      <c r="A15" s="243"/>
      <c r="B15" s="244"/>
      <c r="C15" s="244"/>
      <c r="D15" s="245"/>
      <c r="E15" s="124" t="s">
        <v>2</v>
      </c>
      <c r="F15" s="125">
        <f>-(B14*I$6-I$4*D14)</f>
        <v>-181.54799185343816</v>
      </c>
      <c r="G15" s="125">
        <f>-(I$4*F16-I$6*F14)</f>
        <v>-11.853593041117833</v>
      </c>
      <c r="H15" s="125">
        <f>J$4*I$5</f>
        <v>-0.03829259819023923</v>
      </c>
      <c r="I15" s="125">
        <f>G15+H15</f>
        <v>-11.891885639308072</v>
      </c>
      <c r="J15" s="127">
        <f>C14-I15</f>
        <v>0.07592563930807117</v>
      </c>
    </row>
    <row r="16" spans="1:10" ht="10.5" customHeight="1" thickBot="1">
      <c r="A16" s="246"/>
      <c r="B16" s="247"/>
      <c r="C16" s="247"/>
      <c r="D16" s="248"/>
      <c r="E16" s="128" t="s">
        <v>3</v>
      </c>
      <c r="F16" s="129">
        <f>B14*I$5-I$4*C14</f>
        <v>0.7090854172833458</v>
      </c>
      <c r="G16" s="129">
        <f>I$4*F15-I$5*F14</f>
        <v>1.3136532193501858</v>
      </c>
      <c r="H16" s="129">
        <f>J$4*I$6</f>
        <v>-8.783026865045617</v>
      </c>
      <c r="I16" s="130">
        <f>G16+H16</f>
        <v>-7.469373645695431</v>
      </c>
      <c r="J16" s="116">
        <f>IF('Input Data'!E32=TRUE,"",(D14-I16))</f>
        <v>17.41477364569543</v>
      </c>
    </row>
    <row r="17" spans="1:10" ht="10.5" customHeight="1">
      <c r="A17" s="131" t="s">
        <v>0</v>
      </c>
      <c r="B17" s="132" t="s">
        <v>16</v>
      </c>
      <c r="C17" s="132" t="s">
        <v>17</v>
      </c>
      <c r="D17" s="132" t="s">
        <v>18</v>
      </c>
      <c r="E17" s="133"/>
      <c r="F17" s="134" t="s">
        <v>7</v>
      </c>
      <c r="G17" s="134" t="s">
        <v>8</v>
      </c>
      <c r="H17" s="134" t="s">
        <v>9</v>
      </c>
      <c r="I17" s="134" t="s">
        <v>10</v>
      </c>
      <c r="J17" s="135" t="s">
        <v>11</v>
      </c>
    </row>
    <row r="18" spans="1:10" ht="10.5" customHeight="1">
      <c r="A18" s="136">
        <v>3</v>
      </c>
      <c r="B18" s="137">
        <f>'Input Data'!B33</f>
        <v>-147.38819</v>
      </c>
      <c r="C18" s="137">
        <f>'Input Data'!C33</f>
        <v>-13.72139</v>
      </c>
      <c r="D18" s="137">
        <f>'Input Data'!D33</f>
        <v>-1.99088</v>
      </c>
      <c r="E18" s="138" t="s">
        <v>1</v>
      </c>
      <c r="F18" s="139">
        <f>C18*I$6-D18*I$5</f>
        <v>13.712248473636675</v>
      </c>
      <c r="G18" s="139">
        <f>I$5*F20-I$6-F19</f>
        <v>148.36697054075182</v>
      </c>
      <c r="H18" s="139">
        <f>J$4*I$4</f>
        <v>-0.0610534487856052</v>
      </c>
      <c r="I18" s="139">
        <f>G18+H18</f>
        <v>148.30591709196622</v>
      </c>
      <c r="J18" s="140">
        <f>B18-I18</f>
        <v>-295.6941070919662</v>
      </c>
    </row>
    <row r="19" spans="1:10" ht="10.5" customHeight="1" thickBot="1">
      <c r="A19" s="243"/>
      <c r="B19" s="244"/>
      <c r="C19" s="244"/>
      <c r="D19" s="245"/>
      <c r="E19" s="138" t="s">
        <v>2</v>
      </c>
      <c r="F19" s="139">
        <f>-(B18*I$6-I$4*D18)</f>
        <v>-147.36938978055275</v>
      </c>
      <c r="G19" s="139">
        <f>-(I$4*F20-I$6*F18)</f>
        <v>-13.707983335164917</v>
      </c>
      <c r="H19" s="139">
        <f>J$4*I$5</f>
        <v>-0.03829259819023923</v>
      </c>
      <c r="I19" s="139">
        <f>G19+H19</f>
        <v>-13.746275933355156</v>
      </c>
      <c r="J19" s="141">
        <f>C18-I19</f>
        <v>0.024885933355156098</v>
      </c>
    </row>
    <row r="20" spans="1:10" ht="10.5" customHeight="1" thickBot="1">
      <c r="A20" s="246"/>
      <c r="B20" s="247"/>
      <c r="C20" s="247"/>
      <c r="D20" s="248"/>
      <c r="E20" s="142" t="s">
        <v>3</v>
      </c>
      <c r="F20" s="143">
        <f>B18*I$5-I$4*C18</f>
        <v>0.5471891231044098</v>
      </c>
      <c r="G20" s="143">
        <f>I$4*F19-I$5*F18</f>
        <v>1.0841554633075425</v>
      </c>
      <c r="H20" s="143">
        <f>J$4*I$6</f>
        <v>-8.783026865045617</v>
      </c>
      <c r="I20" s="144">
        <f>G20+H20</f>
        <v>-7.698871401738074</v>
      </c>
      <c r="J20" s="116">
        <f>IF('Input Data'!E33=TRUE,"",(D18-I20))</f>
        <v>5.707991401738075</v>
      </c>
    </row>
    <row r="21" spans="1:10" ht="10.5" customHeight="1">
      <c r="A21" s="145" t="s">
        <v>0</v>
      </c>
      <c r="B21" s="146" t="s">
        <v>16</v>
      </c>
      <c r="C21" s="146" t="s">
        <v>17</v>
      </c>
      <c r="D21" s="146" t="s">
        <v>18</v>
      </c>
      <c r="E21" s="147"/>
      <c r="F21" s="148" t="s">
        <v>7</v>
      </c>
      <c r="G21" s="148" t="s">
        <v>8</v>
      </c>
      <c r="H21" s="148" t="s">
        <v>9</v>
      </c>
      <c r="I21" s="148" t="s">
        <v>10</v>
      </c>
      <c r="J21" s="149" t="s">
        <v>11</v>
      </c>
    </row>
    <row r="22" spans="1:10" ht="10.5" customHeight="1">
      <c r="A22" s="150">
        <v>4</v>
      </c>
      <c r="B22" s="151">
        <f>'Input Data'!B34</f>
        <v>-147.48508</v>
      </c>
      <c r="C22" s="151">
        <f>'Input Data'!C34</f>
        <v>53.92916</v>
      </c>
      <c r="D22" s="151">
        <f>'Input Data'!D34</f>
        <v>-5.00183</v>
      </c>
      <c r="E22" s="152" t="s">
        <v>1</v>
      </c>
      <c r="F22" s="153">
        <f>C22*I$6-D22*I$5</f>
        <v>-53.9491510476018</v>
      </c>
      <c r="G22" s="153">
        <f>I$5*F24-I$6-F23</f>
        <v>148.44087601014857</v>
      </c>
      <c r="H22" s="153">
        <f>J$4*I$4</f>
        <v>-0.0610534487856052</v>
      </c>
      <c r="I22" s="153">
        <f>G22+H22</f>
        <v>148.37982256136297</v>
      </c>
      <c r="J22" s="154">
        <f>B22-I22</f>
        <v>-295.864902561363</v>
      </c>
    </row>
    <row r="23" spans="1:10" ht="10.5" customHeight="1" thickBot="1">
      <c r="A23" s="243"/>
      <c r="B23" s="244"/>
      <c r="C23" s="244"/>
      <c r="D23" s="245"/>
      <c r="E23" s="152" t="s">
        <v>2</v>
      </c>
      <c r="F23" s="153">
        <f>-(B22*I$6-I$4*D22)</f>
        <v>-147.44534720880992</v>
      </c>
      <c r="G23" s="153">
        <f>-(I$4*F24-I$6*F22)</f>
        <v>53.954410150315596</v>
      </c>
      <c r="H23" s="153">
        <f>J$4*I$5</f>
        <v>-0.03829259819023923</v>
      </c>
      <c r="I23" s="153">
        <f>G23+H23</f>
        <v>53.91611755212536</v>
      </c>
      <c r="J23" s="155">
        <f>C22-I23</f>
        <v>0.013042447874646257</v>
      </c>
    </row>
    <row r="24" spans="1:10" ht="10.5" customHeight="1" thickBot="1">
      <c r="A24" s="246"/>
      <c r="B24" s="247"/>
      <c r="C24" s="247"/>
      <c r="D24" s="248"/>
      <c r="E24" s="156" t="s">
        <v>3</v>
      </c>
      <c r="F24" s="157">
        <f>B22*I$5-I$4*C22</f>
        <v>1.0178549267311703</v>
      </c>
      <c r="G24" s="157">
        <f>I$4*F23-I$5*F22</f>
        <v>0.7897004536558994</v>
      </c>
      <c r="H24" s="157">
        <f>J$4*I$6</f>
        <v>-8.783026865045617</v>
      </c>
      <c r="I24" s="158">
        <f>G24+H24</f>
        <v>-7.993326411389718</v>
      </c>
      <c r="J24" s="116">
        <f>IF('Input Data'!E34=TRUE,"",(D22-I24))</f>
        <v>2.9914964113897176</v>
      </c>
    </row>
    <row r="25" spans="1:10" ht="10.5" customHeight="1">
      <c r="A25" s="159" t="s">
        <v>0</v>
      </c>
      <c r="B25" s="160" t="s">
        <v>16</v>
      </c>
      <c r="C25" s="160" t="s">
        <v>17</v>
      </c>
      <c r="D25" s="160" t="s">
        <v>18</v>
      </c>
      <c r="E25" s="161"/>
      <c r="F25" s="162" t="s">
        <v>7</v>
      </c>
      <c r="G25" s="162" t="s">
        <v>8</v>
      </c>
      <c r="H25" s="162" t="s">
        <v>9</v>
      </c>
      <c r="I25" s="162" t="s">
        <v>10</v>
      </c>
      <c r="J25" s="163" t="s">
        <v>11</v>
      </c>
    </row>
    <row r="26" spans="1:10" ht="10.5" customHeight="1">
      <c r="A26" s="164">
        <v>5</v>
      </c>
      <c r="B26" s="165">
        <f>'Input Data'!B35</f>
        <v>-169.23764</v>
      </c>
      <c r="C26" s="165">
        <f>'Input Data'!C35</f>
        <v>57.0644</v>
      </c>
      <c r="D26" s="165">
        <f>'Input Data'!D35</f>
        <v>10.29651</v>
      </c>
      <c r="E26" s="166" t="s">
        <v>1</v>
      </c>
      <c r="F26" s="167">
        <f>C26*I$6-D26*I$5</f>
        <v>-57.017589426530314</v>
      </c>
      <c r="G26" s="167">
        <f>I$5*F28-I$6-F27</f>
        <v>170.29853506000998</v>
      </c>
      <c r="H26" s="167">
        <f>J$4*I$4</f>
        <v>-0.0610534487856052</v>
      </c>
      <c r="I26" s="167">
        <f>G26+H26</f>
        <v>170.23748161122438</v>
      </c>
      <c r="J26" s="168">
        <f>B26-I26</f>
        <v>-339.4751216112244</v>
      </c>
    </row>
    <row r="27" spans="1:10" ht="10.5" customHeight="1" thickBot="1">
      <c r="A27" s="243"/>
      <c r="B27" s="244"/>
      <c r="C27" s="244"/>
      <c r="D27" s="245"/>
      <c r="E27" s="166" t="s">
        <v>2</v>
      </c>
      <c r="F27" s="167">
        <f>-(B26*I$6-I$4*D26)</f>
        <v>-169.3035147200228</v>
      </c>
      <c r="G27" s="167">
        <f>-(I$4*F28-I$6*F26)</f>
        <v>57.0235559245603</v>
      </c>
      <c r="H27" s="167">
        <f>J$4*I$5</f>
        <v>-0.03829259819023923</v>
      </c>
      <c r="I27" s="167">
        <f>G27+H27</f>
        <v>56.98526332637006</v>
      </c>
      <c r="J27" s="169">
        <f>C26-I27</f>
        <v>0.07913667362993948</v>
      </c>
    </row>
    <row r="28" spans="1:10" ht="10.5" customHeight="1" thickBot="1">
      <c r="A28" s="246"/>
      <c r="B28" s="247"/>
      <c r="C28" s="247"/>
      <c r="D28" s="248"/>
      <c r="E28" s="170" t="s">
        <v>3</v>
      </c>
      <c r="F28" s="171">
        <f>B26*I$5-I$4*C26</f>
        <v>1.1344826892145305</v>
      </c>
      <c r="G28" s="171">
        <f>I$4*F27-I$5*F26</f>
        <v>0.9282605518292817</v>
      </c>
      <c r="H28" s="171">
        <f>J$4*I$6</f>
        <v>-8.783026865045617</v>
      </c>
      <c r="I28" s="172">
        <f>G28+H28</f>
        <v>-7.854766313216335</v>
      </c>
      <c r="J28" s="116">
        <f>IF('Input Data'!E35=TRUE,"",(D26-I28))</f>
        <v>18.151276313216336</v>
      </c>
    </row>
    <row r="29" spans="1:10" ht="10.5" customHeight="1">
      <c r="A29" s="173" t="s">
        <v>0</v>
      </c>
      <c r="B29" s="174" t="s">
        <v>16</v>
      </c>
      <c r="C29" s="174" t="s">
        <v>17</v>
      </c>
      <c r="D29" s="174" t="s">
        <v>18</v>
      </c>
      <c r="E29" s="175"/>
      <c r="F29" s="176" t="s">
        <v>7</v>
      </c>
      <c r="G29" s="176" t="s">
        <v>8</v>
      </c>
      <c r="H29" s="176" t="s">
        <v>9</v>
      </c>
      <c r="I29" s="176" t="s">
        <v>10</v>
      </c>
      <c r="J29" s="177" t="s">
        <v>11</v>
      </c>
    </row>
    <row r="30" spans="1:10" ht="10.5" customHeight="1">
      <c r="A30" s="178">
        <v>6</v>
      </c>
      <c r="B30" s="179">
        <f>'Input Data'!B36</f>
        <v>-184.12337</v>
      </c>
      <c r="C30" s="179">
        <f>'Input Data'!C36</f>
        <v>49.66736</v>
      </c>
      <c r="D30" s="179">
        <f>'Input Data'!D36</f>
        <v>9.27965</v>
      </c>
      <c r="E30" s="180" t="s">
        <v>1</v>
      </c>
      <c r="F30" s="181">
        <f>C30*I$6-D30*I$5</f>
        <v>-49.625231629170386</v>
      </c>
      <c r="G30" s="181">
        <f>I$5*F32-I$6-F31</f>
        <v>185.17663693772587</v>
      </c>
      <c r="H30" s="181">
        <f>J$4*I$4</f>
        <v>-0.0610534487856052</v>
      </c>
      <c r="I30" s="181">
        <f>G30+H30</f>
        <v>185.11558348894027</v>
      </c>
      <c r="J30" s="182">
        <f>B30-I30</f>
        <v>-369.2389534889403</v>
      </c>
    </row>
    <row r="31" spans="1:10" ht="10.5" customHeight="1" thickBot="1">
      <c r="A31" s="243"/>
      <c r="B31" s="244"/>
      <c r="C31" s="244"/>
      <c r="D31" s="245"/>
      <c r="E31" s="180" t="s">
        <v>2</v>
      </c>
      <c r="F31" s="181">
        <f>-(B30*I$6-I$4*D30)</f>
        <v>-184.18167536605938</v>
      </c>
      <c r="G31" s="181">
        <f>-(I$4*F32-I$6*F30)</f>
        <v>49.631540673623036</v>
      </c>
      <c r="H31" s="181">
        <f>J$4*I$5</f>
        <v>-0.03829259819023923</v>
      </c>
      <c r="I31" s="181">
        <f>G31+H31</f>
        <v>49.5932480754328</v>
      </c>
      <c r="J31" s="183">
        <f>C30-I31</f>
        <v>0.07411192456720528</v>
      </c>
    </row>
    <row r="32" spans="1:10" ht="10.5" customHeight="1" thickBot="1">
      <c r="A32" s="246"/>
      <c r="B32" s="247"/>
      <c r="C32" s="247"/>
      <c r="D32" s="248"/>
      <c r="E32" s="184" t="s">
        <v>3</v>
      </c>
      <c r="F32" s="185">
        <f>B30*I$5-I$4*C30</f>
        <v>1.1479626080468077</v>
      </c>
      <c r="G32" s="185">
        <f>I$4*F31-I$5*F30</f>
        <v>1.0639080361444293</v>
      </c>
      <c r="H32" s="185">
        <f>J$4*I$6</f>
        <v>-8.783026865045617</v>
      </c>
      <c r="I32" s="186">
        <f>G32+H32</f>
        <v>-7.719118828901188</v>
      </c>
      <c r="J32" s="116">
        <f>IF('Input Data'!E36=TRUE,"",(D30-I32))</f>
        <v>16.998768828901188</v>
      </c>
    </row>
    <row r="33" spans="1:10" ht="10.5" customHeight="1">
      <c r="A33" s="187" t="s">
        <v>0</v>
      </c>
      <c r="B33" s="188" t="s">
        <v>16</v>
      </c>
      <c r="C33" s="188" t="s">
        <v>17</v>
      </c>
      <c r="D33" s="188" t="s">
        <v>18</v>
      </c>
      <c r="E33" s="189"/>
      <c r="F33" s="190" t="s">
        <v>7</v>
      </c>
      <c r="G33" s="190" t="s">
        <v>8</v>
      </c>
      <c r="H33" s="190" t="s">
        <v>9</v>
      </c>
      <c r="I33" s="190" t="s">
        <v>10</v>
      </c>
      <c r="J33" s="191" t="s">
        <v>11</v>
      </c>
    </row>
    <row r="34" spans="1:10" ht="10.5" customHeight="1">
      <c r="A34" s="192">
        <v>7</v>
      </c>
      <c r="B34" s="193">
        <f>'Input Data'!B37</f>
        <v>0</v>
      </c>
      <c r="C34" s="193">
        <f>'Input Data'!C37</f>
        <v>0</v>
      </c>
      <c r="D34" s="193">
        <f>'Input Data'!D37</f>
        <v>0</v>
      </c>
      <c r="E34" s="194" t="s">
        <v>1</v>
      </c>
      <c r="F34" s="195">
        <f>C34*I$6-D34*I$5</f>
        <v>0</v>
      </c>
      <c r="G34" s="195">
        <f>I$5*F36-I$6-F35</f>
        <v>0.9999663373130735</v>
      </c>
      <c r="H34" s="195">
        <f>J$4*I$4</f>
        <v>-0.0610534487856052</v>
      </c>
      <c r="I34" s="195">
        <f>G34+H34</f>
        <v>0.9389128885274682</v>
      </c>
      <c r="J34" s="196">
        <f>B34-I34</f>
        <v>-0.9389128885274682</v>
      </c>
    </row>
    <row r="35" spans="1:10" ht="10.5" customHeight="1" thickBot="1">
      <c r="A35" s="243"/>
      <c r="B35" s="244"/>
      <c r="C35" s="244"/>
      <c r="D35" s="245"/>
      <c r="E35" s="194" t="s">
        <v>2</v>
      </c>
      <c r="F35" s="195">
        <f>-(B34*I$6-I$4*D34)</f>
        <v>0</v>
      </c>
      <c r="G35" s="195">
        <f>-(I$4*F36-I$6*F34)</f>
        <v>0</v>
      </c>
      <c r="H35" s="195">
        <f>J$4*I$5</f>
        <v>-0.03829259819023923</v>
      </c>
      <c r="I35" s="195">
        <f>G35+H35</f>
        <v>-0.03829259819023923</v>
      </c>
      <c r="J35" s="197">
        <f>C34-I35</f>
        <v>0.03829259819023923</v>
      </c>
    </row>
    <row r="36" spans="1:10" ht="10.5" customHeight="1" thickBot="1">
      <c r="A36" s="246"/>
      <c r="B36" s="247"/>
      <c r="C36" s="247"/>
      <c r="D36" s="248"/>
      <c r="E36" s="198" t="s">
        <v>3</v>
      </c>
      <c r="F36" s="199">
        <f>B34*I$5-I$4*C34</f>
        <v>0</v>
      </c>
      <c r="G36" s="199">
        <f>I$4*F35-I$5*F34</f>
        <v>0</v>
      </c>
      <c r="H36" s="199">
        <f>J$4*I$6</f>
        <v>-8.783026865045617</v>
      </c>
      <c r="I36" s="200">
        <f>G36+H36</f>
        <v>-8.783026865045617</v>
      </c>
      <c r="J36" s="116">
        <f>IF('Input Data'!E37=TRUE,"",(D34-I36))</f>
      </c>
    </row>
    <row r="37" spans="1:10" ht="10.5" customHeight="1">
      <c r="A37" s="201" t="s">
        <v>0</v>
      </c>
      <c r="B37" s="202" t="s">
        <v>16</v>
      </c>
      <c r="C37" s="202" t="s">
        <v>17</v>
      </c>
      <c r="D37" s="202" t="s">
        <v>18</v>
      </c>
      <c r="E37" s="203"/>
      <c r="F37" s="204" t="s">
        <v>7</v>
      </c>
      <c r="G37" s="204" t="s">
        <v>8</v>
      </c>
      <c r="H37" s="204" t="s">
        <v>9</v>
      </c>
      <c r="I37" s="204" t="s">
        <v>10</v>
      </c>
      <c r="J37" s="205" t="s">
        <v>11</v>
      </c>
    </row>
    <row r="38" spans="1:10" ht="10.5" customHeight="1">
      <c r="A38" s="206">
        <v>8</v>
      </c>
      <c r="B38" s="207">
        <f>'Input Data'!B38</f>
        <v>0</v>
      </c>
      <c r="C38" s="207">
        <f>'Input Data'!C38</f>
        <v>0</v>
      </c>
      <c r="D38" s="207">
        <f>'Input Data'!D38</f>
        <v>0</v>
      </c>
      <c r="E38" s="208" t="s">
        <v>1</v>
      </c>
      <c r="F38" s="209">
        <f>C38*I$6-D38*I$5</f>
        <v>0</v>
      </c>
      <c r="G38" s="209">
        <f>I$5*F40-I$6-F39</f>
        <v>0.9999663373130735</v>
      </c>
      <c r="H38" s="209">
        <f>J$4*I$4</f>
        <v>-0.0610534487856052</v>
      </c>
      <c r="I38" s="209">
        <f>G38+H38</f>
        <v>0.9389128885274682</v>
      </c>
      <c r="J38" s="210">
        <f>B38-I38</f>
        <v>-0.9389128885274682</v>
      </c>
    </row>
    <row r="39" spans="1:10" ht="10.5" customHeight="1" thickBot="1">
      <c r="A39" s="243"/>
      <c r="B39" s="244"/>
      <c r="C39" s="244"/>
      <c r="D39" s="245"/>
      <c r="E39" s="208" t="s">
        <v>2</v>
      </c>
      <c r="F39" s="209">
        <f>-(B38*I$6-I$4*D38)</f>
        <v>0</v>
      </c>
      <c r="G39" s="209">
        <f>-(I$4*F40-I$6*F38)</f>
        <v>0</v>
      </c>
      <c r="H39" s="209">
        <f>J$4*I$5</f>
        <v>-0.03829259819023923</v>
      </c>
      <c r="I39" s="209">
        <f>G39+H39</f>
        <v>-0.03829259819023923</v>
      </c>
      <c r="J39" s="211">
        <f>C38-I39</f>
        <v>0.03829259819023923</v>
      </c>
    </row>
    <row r="40" spans="1:10" ht="10.5" customHeight="1" thickBot="1">
      <c r="A40" s="246"/>
      <c r="B40" s="247"/>
      <c r="C40" s="247"/>
      <c r="D40" s="248"/>
      <c r="E40" s="212" t="s">
        <v>3</v>
      </c>
      <c r="F40" s="213">
        <f>B38*I$5-I$4*C38</f>
        <v>0</v>
      </c>
      <c r="G40" s="213">
        <f>I$4*F39-I$5*F38</f>
        <v>0</v>
      </c>
      <c r="H40" s="213">
        <f>J$4*I$6</f>
        <v>-8.783026865045617</v>
      </c>
      <c r="I40" s="214">
        <f>G40+H40</f>
        <v>-8.783026865045617</v>
      </c>
      <c r="J40" s="116">
        <f>IF('Input Data'!E38=TRUE,"",(D38-I40))</f>
      </c>
    </row>
    <row r="41" spans="1:10" ht="10.5" customHeight="1">
      <c r="A41" s="215" t="s">
        <v>0</v>
      </c>
      <c r="B41" s="216" t="s">
        <v>16</v>
      </c>
      <c r="C41" s="216" t="s">
        <v>17</v>
      </c>
      <c r="D41" s="216" t="s">
        <v>18</v>
      </c>
      <c r="E41" s="217"/>
      <c r="F41" s="218" t="s">
        <v>7</v>
      </c>
      <c r="G41" s="218" t="s">
        <v>8</v>
      </c>
      <c r="H41" s="218" t="s">
        <v>9</v>
      </c>
      <c r="I41" s="218" t="s">
        <v>10</v>
      </c>
      <c r="J41" s="219" t="s">
        <v>11</v>
      </c>
    </row>
    <row r="42" spans="1:10" ht="10.5" customHeight="1">
      <c r="A42" s="220">
        <v>9</v>
      </c>
      <c r="B42" s="221">
        <f>'Input Data'!B39</f>
        <v>0</v>
      </c>
      <c r="C42" s="221">
        <f>'Input Data'!C39</f>
        <v>0</v>
      </c>
      <c r="D42" s="221">
        <f>'Input Data'!D39</f>
        <v>0</v>
      </c>
      <c r="E42" s="222" t="s">
        <v>1</v>
      </c>
      <c r="F42" s="223">
        <f>C42*I$6-D42*I$5</f>
        <v>0</v>
      </c>
      <c r="G42" s="223">
        <f>I$5*F44-I$6-F43</f>
        <v>0.9999663373130735</v>
      </c>
      <c r="H42" s="223">
        <f>J$4*I$4</f>
        <v>-0.0610534487856052</v>
      </c>
      <c r="I42" s="223">
        <f>G42+H42</f>
        <v>0.9389128885274682</v>
      </c>
      <c r="J42" s="224">
        <f>B42-I42</f>
        <v>-0.9389128885274682</v>
      </c>
    </row>
    <row r="43" spans="1:10" ht="10.5" customHeight="1" thickBot="1">
      <c r="A43" s="243"/>
      <c r="B43" s="244"/>
      <c r="C43" s="244"/>
      <c r="D43" s="245"/>
      <c r="E43" s="222" t="s">
        <v>2</v>
      </c>
      <c r="F43" s="223">
        <f>-(B42*I$6-I$4*D42)</f>
        <v>0</v>
      </c>
      <c r="G43" s="223">
        <f>-(I$4*F44-I$6*F42)</f>
        <v>0</v>
      </c>
      <c r="H43" s="223">
        <f>J$4*I$5</f>
        <v>-0.03829259819023923</v>
      </c>
      <c r="I43" s="223">
        <f>G43+H43</f>
        <v>-0.03829259819023923</v>
      </c>
      <c r="J43" s="225">
        <f>C42-I43</f>
        <v>0.03829259819023923</v>
      </c>
    </row>
    <row r="44" spans="1:10" ht="10.5" customHeight="1" thickBot="1">
      <c r="A44" s="246"/>
      <c r="B44" s="247"/>
      <c r="C44" s="247"/>
      <c r="D44" s="248"/>
      <c r="E44" s="226" t="s">
        <v>3</v>
      </c>
      <c r="F44" s="227">
        <f>B42*I$5-I$4*C42</f>
        <v>0</v>
      </c>
      <c r="G44" s="227">
        <f>I$4*F43-I$5*F42</f>
        <v>0</v>
      </c>
      <c r="H44" s="227">
        <f>J$4*I$6</f>
        <v>-8.783026865045617</v>
      </c>
      <c r="I44" s="228">
        <f>G44+H44</f>
        <v>-8.783026865045617</v>
      </c>
      <c r="J44" s="116">
        <f>IF('Input Data'!E39=TRUE,"",(D42-I44))</f>
      </c>
    </row>
    <row r="45" spans="1:10" ht="10.5" customHeight="1">
      <c r="A45" s="229" t="s">
        <v>0</v>
      </c>
      <c r="B45" s="230" t="s">
        <v>16</v>
      </c>
      <c r="C45" s="230" t="s">
        <v>17</v>
      </c>
      <c r="D45" s="230" t="s">
        <v>18</v>
      </c>
      <c r="E45" s="231"/>
      <c r="F45" s="232" t="s">
        <v>7</v>
      </c>
      <c r="G45" s="232" t="s">
        <v>8</v>
      </c>
      <c r="H45" s="232" t="s">
        <v>9</v>
      </c>
      <c r="I45" s="232" t="s">
        <v>10</v>
      </c>
      <c r="J45" s="233" t="s">
        <v>11</v>
      </c>
    </row>
    <row r="46" spans="1:10" ht="10.5" customHeight="1">
      <c r="A46" s="234">
        <v>10</v>
      </c>
      <c r="B46" s="235">
        <f>'Input Data'!B40</f>
        <v>0</v>
      </c>
      <c r="C46" s="235">
        <f>'Input Data'!C40</f>
        <v>0</v>
      </c>
      <c r="D46" s="235">
        <f>'Input Data'!D40</f>
        <v>0</v>
      </c>
      <c r="E46" s="236" t="s">
        <v>1</v>
      </c>
      <c r="F46" s="237">
        <f>C46*I$6-D46*I$5</f>
        <v>0</v>
      </c>
      <c r="G46" s="237">
        <f>I$5*F48-I$6-F47</f>
        <v>0.9999663373130735</v>
      </c>
      <c r="H46" s="237">
        <f>J$4*I$4</f>
        <v>-0.0610534487856052</v>
      </c>
      <c r="I46" s="237">
        <f>G46+H46</f>
        <v>0.9389128885274682</v>
      </c>
      <c r="J46" s="238">
        <f>B46-I46</f>
        <v>-0.9389128885274682</v>
      </c>
    </row>
    <row r="47" spans="1:10" ht="10.5" customHeight="1" thickBot="1">
      <c r="A47" s="243"/>
      <c r="B47" s="244"/>
      <c r="C47" s="244"/>
      <c r="D47" s="245"/>
      <c r="E47" s="236" t="s">
        <v>2</v>
      </c>
      <c r="F47" s="237">
        <f>-(B46*I$6-I$4*D46)</f>
        <v>0</v>
      </c>
      <c r="G47" s="237">
        <f>-(I$4*F48-I$6*F46)</f>
        <v>0</v>
      </c>
      <c r="H47" s="237">
        <f>J$4*I$5</f>
        <v>-0.03829259819023923</v>
      </c>
      <c r="I47" s="237">
        <f>G47+H47</f>
        <v>-0.03829259819023923</v>
      </c>
      <c r="J47" s="239">
        <f>C46-I47</f>
        <v>0.03829259819023923</v>
      </c>
    </row>
    <row r="48" spans="1:10" ht="10.5" customHeight="1" thickBot="1">
      <c r="A48" s="246"/>
      <c r="B48" s="247"/>
      <c r="C48" s="247"/>
      <c r="D48" s="248"/>
      <c r="E48" s="240" t="s">
        <v>3</v>
      </c>
      <c r="F48" s="241">
        <f>B46*I$5-I$4*C46</f>
        <v>0</v>
      </c>
      <c r="G48" s="241">
        <f>I$4*F47-I$5*F46</f>
        <v>0</v>
      </c>
      <c r="H48" s="241">
        <f>J$4*I$6</f>
        <v>-8.783026865045617</v>
      </c>
      <c r="I48" s="242">
        <f>G48+H48</f>
        <v>-8.783026865045617</v>
      </c>
      <c r="J48" s="116">
        <f>IF('Input Data'!E40=TRUE,"",(D46-I48))</f>
      </c>
    </row>
    <row r="49" spans="1:10" ht="10.5" customHeight="1">
      <c r="A49" s="259" t="s">
        <v>0</v>
      </c>
      <c r="B49" s="260" t="s">
        <v>16</v>
      </c>
      <c r="C49" s="260" t="s">
        <v>17</v>
      </c>
      <c r="D49" s="260" t="s">
        <v>18</v>
      </c>
      <c r="E49" s="249"/>
      <c r="F49" s="250" t="s">
        <v>7</v>
      </c>
      <c r="G49" s="250" t="s">
        <v>8</v>
      </c>
      <c r="H49" s="250" t="s">
        <v>9</v>
      </c>
      <c r="I49" s="250" t="s">
        <v>10</v>
      </c>
      <c r="J49" s="251" t="s">
        <v>11</v>
      </c>
    </row>
    <row r="50" spans="1:12" ht="10.5" customHeight="1">
      <c r="A50" s="261">
        <v>11</v>
      </c>
      <c r="B50" s="262">
        <f>'Input Data'!B41</f>
        <v>0</v>
      </c>
      <c r="C50" s="262">
        <f>'Input Data'!C41</f>
        <v>0</v>
      </c>
      <c r="D50" s="262">
        <f>'Input Data'!D41</f>
        <v>0</v>
      </c>
      <c r="E50" s="252" t="s">
        <v>1</v>
      </c>
      <c r="F50" s="253">
        <f>C50*I$6-D50*I$5</f>
        <v>0</v>
      </c>
      <c r="G50" s="253">
        <f>I$5*F52-I$6-F51</f>
        <v>0.9999663373130735</v>
      </c>
      <c r="H50" s="253">
        <f>J$4*I$4</f>
        <v>-0.0610534487856052</v>
      </c>
      <c r="I50" s="253">
        <f>G50+H50</f>
        <v>0.9389128885274682</v>
      </c>
      <c r="J50" s="254">
        <f>B50-I50</f>
        <v>-0.9389128885274682</v>
      </c>
      <c r="L50" s="14"/>
    </row>
    <row r="51" spans="1:10" ht="10.5" customHeight="1" thickBot="1">
      <c r="A51" s="243"/>
      <c r="B51" s="244"/>
      <c r="C51" s="244"/>
      <c r="D51" s="245"/>
      <c r="E51" s="252" t="s">
        <v>2</v>
      </c>
      <c r="F51" s="253">
        <f>-(B50*I$6-I$4*D50)</f>
        <v>0</v>
      </c>
      <c r="G51" s="253">
        <f>-(I$4*F52-I$6*F50)</f>
        <v>0</v>
      </c>
      <c r="H51" s="253">
        <f>J$4*I$5</f>
        <v>-0.03829259819023923</v>
      </c>
      <c r="I51" s="253">
        <f>G51+H51</f>
        <v>-0.03829259819023923</v>
      </c>
      <c r="J51" s="255">
        <f>C50-I51</f>
        <v>0.03829259819023923</v>
      </c>
    </row>
    <row r="52" spans="1:10" ht="10.5" customHeight="1" thickBot="1">
      <c r="A52" s="246"/>
      <c r="B52" s="247"/>
      <c r="C52" s="247"/>
      <c r="D52" s="248"/>
      <c r="E52" s="256" t="s">
        <v>3</v>
      </c>
      <c r="F52" s="257">
        <f>B50*I$5-I$4*C50</f>
        <v>0</v>
      </c>
      <c r="G52" s="257">
        <f>I$4*F51-I$5*F50</f>
        <v>0</v>
      </c>
      <c r="H52" s="257">
        <f>J$4*I$6</f>
        <v>-8.783026865045617</v>
      </c>
      <c r="I52" s="258">
        <f>G52+H52</f>
        <v>-8.783026865045617</v>
      </c>
      <c r="J52" s="116">
        <f>IF('Input Data'!E41=TRUE,"",(D50-I52))</f>
      </c>
    </row>
    <row r="53" spans="1:10" ht="10.5" customHeight="1">
      <c r="A53" s="263" t="s">
        <v>0</v>
      </c>
      <c r="B53" s="264" t="s">
        <v>16</v>
      </c>
      <c r="C53" s="264" t="s">
        <v>17</v>
      </c>
      <c r="D53" s="264" t="s">
        <v>18</v>
      </c>
      <c r="E53" s="265"/>
      <c r="F53" s="266" t="s">
        <v>7</v>
      </c>
      <c r="G53" s="266" t="s">
        <v>8</v>
      </c>
      <c r="H53" s="266" t="s">
        <v>9</v>
      </c>
      <c r="I53" s="266" t="s">
        <v>10</v>
      </c>
      <c r="J53" s="267" t="s">
        <v>11</v>
      </c>
    </row>
    <row r="54" spans="1:10" ht="10.5" customHeight="1">
      <c r="A54" s="268">
        <v>12</v>
      </c>
      <c r="B54" s="269">
        <f>'Input Data'!B42</f>
        <v>0</v>
      </c>
      <c r="C54" s="269">
        <f>'Input Data'!C42</f>
        <v>0</v>
      </c>
      <c r="D54" s="269">
        <f>'Input Data'!D42</f>
        <v>0</v>
      </c>
      <c r="E54" s="270" t="s">
        <v>1</v>
      </c>
      <c r="F54" s="271">
        <f>C54*I$6-D54*I$5</f>
        <v>0</v>
      </c>
      <c r="G54" s="271">
        <f>I$5*F56-I$6-F55</f>
        <v>0.9999663373130735</v>
      </c>
      <c r="H54" s="271">
        <f>J$4*I$4</f>
        <v>-0.0610534487856052</v>
      </c>
      <c r="I54" s="271">
        <f>G54+H54</f>
        <v>0.9389128885274682</v>
      </c>
      <c r="J54" s="272">
        <f>B54-I54</f>
        <v>-0.9389128885274682</v>
      </c>
    </row>
    <row r="55" spans="1:10" ht="10.5" customHeight="1" thickBot="1">
      <c r="A55" s="243"/>
      <c r="B55" s="244"/>
      <c r="C55" s="244"/>
      <c r="D55" s="245"/>
      <c r="E55" s="270" t="s">
        <v>2</v>
      </c>
      <c r="F55" s="271">
        <f>-(B54*I$6-I$4*D54)</f>
        <v>0</v>
      </c>
      <c r="G55" s="271">
        <f>-(I$4*F56-I$6*F54)</f>
        <v>0</v>
      </c>
      <c r="H55" s="271">
        <f>J$4*I$5</f>
        <v>-0.03829259819023923</v>
      </c>
      <c r="I55" s="271">
        <f>G55+H55</f>
        <v>-0.03829259819023923</v>
      </c>
      <c r="J55" s="273">
        <f>C54-I55</f>
        <v>0.03829259819023923</v>
      </c>
    </row>
    <row r="56" spans="1:10" ht="10.5" customHeight="1" thickBot="1">
      <c r="A56" s="246"/>
      <c r="B56" s="247"/>
      <c r="C56" s="247"/>
      <c r="D56" s="248"/>
      <c r="E56" s="274" t="s">
        <v>3</v>
      </c>
      <c r="F56" s="275">
        <f>B54*I$5-I$4*C54</f>
        <v>0</v>
      </c>
      <c r="G56" s="275">
        <f>I$4*F55-I$5*F54</f>
        <v>0</v>
      </c>
      <c r="H56" s="275">
        <f>J$4*I$6</f>
        <v>-8.783026865045617</v>
      </c>
      <c r="I56" s="276">
        <f>G56+H56</f>
        <v>-8.783026865045617</v>
      </c>
      <c r="J56" s="116">
        <f>IF('Input Data'!E42=TRUE,"",(D54-I56))</f>
      </c>
    </row>
    <row r="57" spans="1:10" ht="10.5" customHeight="1">
      <c r="A57" s="287" t="s">
        <v>0</v>
      </c>
      <c r="B57" s="288" t="s">
        <v>16</v>
      </c>
      <c r="C57" s="288" t="s">
        <v>17</v>
      </c>
      <c r="D57" s="288" t="s">
        <v>18</v>
      </c>
      <c r="E57" s="277"/>
      <c r="F57" s="278" t="s">
        <v>7</v>
      </c>
      <c r="G57" s="278" t="s">
        <v>8</v>
      </c>
      <c r="H57" s="278" t="s">
        <v>9</v>
      </c>
      <c r="I57" s="278" t="s">
        <v>10</v>
      </c>
      <c r="J57" s="279" t="s">
        <v>11</v>
      </c>
    </row>
    <row r="58" spans="1:10" ht="10.5" customHeight="1">
      <c r="A58" s="289">
        <v>13</v>
      </c>
      <c r="B58" s="290">
        <f>'Input Data'!B43</f>
        <v>0</v>
      </c>
      <c r="C58" s="290">
        <f>'Input Data'!C43</f>
        <v>0</v>
      </c>
      <c r="D58" s="290">
        <f>'Input Data'!D43</f>
        <v>0</v>
      </c>
      <c r="E58" s="280" t="s">
        <v>1</v>
      </c>
      <c r="F58" s="281">
        <f>C58*I$6-D58*I$5</f>
        <v>0</v>
      </c>
      <c r="G58" s="281">
        <f>I$5*F60-I$6-F59</f>
        <v>0.9999663373130735</v>
      </c>
      <c r="H58" s="281">
        <f>J$4*I$4</f>
        <v>-0.0610534487856052</v>
      </c>
      <c r="I58" s="281">
        <f>G58+H58</f>
        <v>0.9389128885274682</v>
      </c>
      <c r="J58" s="282">
        <f>B58-I58</f>
        <v>-0.9389128885274682</v>
      </c>
    </row>
    <row r="59" spans="1:10" ht="10.5" customHeight="1" thickBot="1">
      <c r="A59" s="243"/>
      <c r="B59" s="244"/>
      <c r="C59" s="244"/>
      <c r="D59" s="245"/>
      <c r="E59" s="280" t="s">
        <v>2</v>
      </c>
      <c r="F59" s="281">
        <f>-(B58*I$6-I$4*D58)</f>
        <v>0</v>
      </c>
      <c r="G59" s="281">
        <f>-(I$4*F60-I$6*F58)</f>
        <v>0</v>
      </c>
      <c r="H59" s="281">
        <f>J$4*I$5</f>
        <v>-0.03829259819023923</v>
      </c>
      <c r="I59" s="281">
        <f>G59+H59</f>
        <v>-0.03829259819023923</v>
      </c>
      <c r="J59" s="283">
        <f>C58-I59</f>
        <v>0.03829259819023923</v>
      </c>
    </row>
    <row r="60" spans="1:10" ht="10.5" customHeight="1" thickBot="1">
      <c r="A60" s="246"/>
      <c r="B60" s="247"/>
      <c r="C60" s="247"/>
      <c r="D60" s="248"/>
      <c r="E60" s="284" t="s">
        <v>3</v>
      </c>
      <c r="F60" s="285">
        <f>B58*I$5-I$4*C58</f>
        <v>0</v>
      </c>
      <c r="G60" s="285">
        <f>I$4*F59-I$5*F58</f>
        <v>0</v>
      </c>
      <c r="H60" s="285">
        <f>J$4*I$6</f>
        <v>-8.783026865045617</v>
      </c>
      <c r="I60" s="286">
        <f>G60+H60</f>
        <v>-8.783026865045617</v>
      </c>
      <c r="J60" s="116">
        <f>IF('Input Data'!E43=TRUE,"",(D58-I60))</f>
      </c>
    </row>
    <row r="61" spans="1:10" ht="10.5" customHeight="1">
      <c r="A61" s="301" t="s">
        <v>0</v>
      </c>
      <c r="B61" s="302" t="s">
        <v>16</v>
      </c>
      <c r="C61" s="302" t="s">
        <v>17</v>
      </c>
      <c r="D61" s="302" t="s">
        <v>18</v>
      </c>
      <c r="E61" s="291"/>
      <c r="F61" s="292" t="s">
        <v>7</v>
      </c>
      <c r="G61" s="292" t="s">
        <v>8</v>
      </c>
      <c r="H61" s="292" t="s">
        <v>9</v>
      </c>
      <c r="I61" s="292" t="s">
        <v>10</v>
      </c>
      <c r="J61" s="293" t="s">
        <v>11</v>
      </c>
    </row>
    <row r="62" spans="1:10" ht="10.5" customHeight="1">
      <c r="A62" s="303">
        <v>14</v>
      </c>
      <c r="B62" s="304">
        <f>'Input Data'!B44</f>
        <v>0</v>
      </c>
      <c r="C62" s="304">
        <f>'Input Data'!C44</f>
        <v>0</v>
      </c>
      <c r="D62" s="304">
        <f>'Input Data'!D44</f>
        <v>0</v>
      </c>
      <c r="E62" s="294" t="s">
        <v>1</v>
      </c>
      <c r="F62" s="295">
        <f>C62*I$6-D62*I$5</f>
        <v>0</v>
      </c>
      <c r="G62" s="295">
        <f>I$5*F64-I$6-F63</f>
        <v>0.9999663373130735</v>
      </c>
      <c r="H62" s="295">
        <f>J$4*I$4</f>
        <v>-0.0610534487856052</v>
      </c>
      <c r="I62" s="295">
        <f>G62+H62</f>
        <v>0.9389128885274682</v>
      </c>
      <c r="J62" s="296">
        <f>B62-I62</f>
        <v>-0.9389128885274682</v>
      </c>
    </row>
    <row r="63" spans="1:10" ht="10.5" customHeight="1" thickBot="1">
      <c r="A63" s="243"/>
      <c r="B63" s="244"/>
      <c r="C63" s="244"/>
      <c r="D63" s="245"/>
      <c r="E63" s="294" t="s">
        <v>2</v>
      </c>
      <c r="F63" s="295">
        <f>-(B62*I$6-I$4*D62)</f>
        <v>0</v>
      </c>
      <c r="G63" s="295">
        <f>-(I$4*F64-I$6*F62)</f>
        <v>0</v>
      </c>
      <c r="H63" s="295">
        <f>J$4*I$5</f>
        <v>-0.03829259819023923</v>
      </c>
      <c r="I63" s="295">
        <f>G63+H63</f>
        <v>-0.03829259819023923</v>
      </c>
      <c r="J63" s="297">
        <f>C62-I63</f>
        <v>0.03829259819023923</v>
      </c>
    </row>
    <row r="64" spans="1:10" ht="10.5" customHeight="1" thickBot="1">
      <c r="A64" s="246"/>
      <c r="B64" s="247"/>
      <c r="C64" s="247"/>
      <c r="D64" s="248"/>
      <c r="E64" s="298" t="s">
        <v>3</v>
      </c>
      <c r="F64" s="299">
        <f>B62*I$5-I$4*C62</f>
        <v>0</v>
      </c>
      <c r="G64" s="299">
        <f>I$4*F63-I$5*F62</f>
        <v>0</v>
      </c>
      <c r="H64" s="299">
        <f>J$4*I$6</f>
        <v>-8.783026865045617</v>
      </c>
      <c r="I64" s="300">
        <f>G64+H64</f>
        <v>-8.783026865045617</v>
      </c>
      <c r="J64" s="116">
        <f>IF('Input Data'!E44=TRUE,"",(D62-I64))</f>
      </c>
    </row>
    <row r="65" spans="1:10" ht="10.5" customHeight="1">
      <c r="A65" s="312" t="s">
        <v>0</v>
      </c>
      <c r="B65" s="313" t="s">
        <v>16</v>
      </c>
      <c r="C65" s="313" t="s">
        <v>17</v>
      </c>
      <c r="D65" s="320" t="s">
        <v>18</v>
      </c>
      <c r="E65" s="319"/>
      <c r="F65" s="305" t="s">
        <v>7</v>
      </c>
      <c r="G65" s="305" t="s">
        <v>8</v>
      </c>
      <c r="H65" s="305" t="s">
        <v>9</v>
      </c>
      <c r="I65" s="305" t="s">
        <v>10</v>
      </c>
      <c r="J65" s="306" t="s">
        <v>11</v>
      </c>
    </row>
    <row r="66" spans="1:10" ht="10.5" customHeight="1" thickBot="1">
      <c r="A66" s="321">
        <v>15</v>
      </c>
      <c r="B66" s="322">
        <f>'Input Data'!B45</f>
        <v>0</v>
      </c>
      <c r="C66" s="322">
        <f>'Input Data'!C45</f>
        <v>0</v>
      </c>
      <c r="D66" s="323">
        <f>'Input Data'!D45</f>
        <v>0</v>
      </c>
      <c r="E66" s="314" t="s">
        <v>1</v>
      </c>
      <c r="F66" s="307">
        <f>C66*I$6-D66*I$5</f>
        <v>0</v>
      </c>
      <c r="G66" s="307">
        <f>I$5*F68-I$6-F67</f>
        <v>0.9999663373130735</v>
      </c>
      <c r="H66" s="307">
        <f>J$4*I$4</f>
        <v>-0.0610534487856052</v>
      </c>
      <c r="I66" s="307">
        <f>G66+H66</f>
        <v>0.9389128885274682</v>
      </c>
      <c r="J66" s="308">
        <f>B66-I66</f>
        <v>-0.9389128885274682</v>
      </c>
    </row>
    <row r="67" spans="1:10" ht="10.5" customHeight="1" thickBot="1">
      <c r="A67" s="316"/>
      <c r="B67" s="317"/>
      <c r="C67" s="317"/>
      <c r="D67" s="317"/>
      <c r="E67" s="314" t="s">
        <v>2</v>
      </c>
      <c r="F67" s="307">
        <f>-(B66*I$6-I$4*D66)</f>
        <v>0</v>
      </c>
      <c r="G67" s="307">
        <f>-(I$4*F68-I$6*F66)</f>
        <v>0</v>
      </c>
      <c r="H67" s="307">
        <f>J$4*I$5</f>
        <v>-0.03829259819023923</v>
      </c>
      <c r="I67" s="307">
        <f>G67+H67</f>
        <v>-0.03829259819023923</v>
      </c>
      <c r="J67" s="309">
        <f>C66-I67</f>
        <v>0.03829259819023923</v>
      </c>
    </row>
    <row r="68" spans="1:10" ht="10.5" customHeight="1" thickBot="1">
      <c r="A68" s="318"/>
      <c r="B68" s="317"/>
      <c r="C68" s="317"/>
      <c r="D68" s="317"/>
      <c r="E68" s="315" t="s">
        <v>3</v>
      </c>
      <c r="F68" s="310">
        <f>B66*I$5-I$4*C66</f>
        <v>0</v>
      </c>
      <c r="G68" s="310">
        <f>I$4*F67-I$5*F66</f>
        <v>0</v>
      </c>
      <c r="H68" s="310">
        <f>J$4*I$6</f>
        <v>-8.783026865045617</v>
      </c>
      <c r="I68" s="311">
        <f>G68+H68</f>
        <v>-8.783026865045617</v>
      </c>
      <c r="J68" s="116">
        <f>IF('Input Data'!E45=TRUE,"",(D66-I68))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3">
      <selection activeCell="T17" sqref="T17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4" customWidth="1"/>
    <col min="13" max="17" width="6.7109375" style="0" customWidth="1"/>
  </cols>
  <sheetData>
    <row r="1" spans="1:12" ht="13.5" thickBot="1">
      <c r="A1" s="49"/>
      <c r="B1" s="44" t="s">
        <v>19</v>
      </c>
      <c r="C1" s="44" t="s">
        <v>32</v>
      </c>
      <c r="D1" s="44" t="s">
        <v>25</v>
      </c>
      <c r="E1" s="44" t="s">
        <v>35</v>
      </c>
      <c r="F1" s="47" t="s">
        <v>26</v>
      </c>
      <c r="G1" s="62" t="s">
        <v>27</v>
      </c>
      <c r="H1" s="464" t="s">
        <v>87</v>
      </c>
      <c r="I1" s="465"/>
      <c r="J1" s="465"/>
      <c r="K1" s="465"/>
      <c r="L1" s="466"/>
    </row>
    <row r="2" spans="1:17" ht="13.5" thickBot="1">
      <c r="A2" s="50"/>
      <c r="B2" s="45" t="s">
        <v>29</v>
      </c>
      <c r="C2" s="45"/>
      <c r="D2" s="46"/>
      <c r="E2" s="46"/>
      <c r="F2" s="48"/>
      <c r="G2" s="63" t="s">
        <v>85</v>
      </c>
      <c r="H2" s="518">
        <v>5</v>
      </c>
      <c r="I2" s="519"/>
      <c r="J2" s="518">
        <v>4</v>
      </c>
      <c r="K2" s="519"/>
      <c r="L2" s="518">
        <v>3</v>
      </c>
      <c r="M2" s="519"/>
      <c r="N2" s="518">
        <v>2</v>
      </c>
      <c r="O2" s="519"/>
      <c r="P2" s="518" t="s">
        <v>92</v>
      </c>
      <c r="Q2" s="519"/>
    </row>
    <row r="3" spans="1:17" ht="13.5" thickBot="1">
      <c r="A3" s="502"/>
      <c r="B3" s="503"/>
      <c r="C3" s="503"/>
      <c r="D3" s="504"/>
      <c r="E3" s="504"/>
      <c r="F3" s="505"/>
      <c r="G3" s="506"/>
      <c r="H3" s="515" t="s">
        <v>90</v>
      </c>
      <c r="I3" s="515" t="s">
        <v>91</v>
      </c>
      <c r="J3" s="515" t="s">
        <v>90</v>
      </c>
      <c r="K3" s="515" t="s">
        <v>91</v>
      </c>
      <c r="L3" s="515" t="s">
        <v>90</v>
      </c>
      <c r="M3" s="515" t="s">
        <v>91</v>
      </c>
      <c r="N3" s="515" t="s">
        <v>90</v>
      </c>
      <c r="O3" s="515" t="s">
        <v>91</v>
      </c>
      <c r="P3" s="515" t="s">
        <v>90</v>
      </c>
      <c r="Q3" s="515" t="s">
        <v>91</v>
      </c>
    </row>
    <row r="4" spans="1:18" ht="12.75">
      <c r="A4" s="43">
        <v>1</v>
      </c>
      <c r="B4" s="64">
        <f>offsets!J12</f>
        <v>2.9205115001950883</v>
      </c>
      <c r="C4" s="65">
        <f>IF('Input Data'!E31=TRUE,"",IF('Input Data'!N$23="G",'Input Data'!G5,IF('Input Data'!N$23="H",'Input Data'!H5)))</f>
        <v>2.6578645272693215</v>
      </c>
      <c r="D4" s="66">
        <f>IF('Input Data'!E31=TRUE,"",(B4-B$20))</f>
        <v>0</v>
      </c>
      <c r="E4" s="66">
        <f>IF('Input Data'!E31=TRUE,"",(C4-C$20))</f>
        <v>0</v>
      </c>
      <c r="F4" s="67">
        <f>IF('Input Data'!E31=TRUE,"",(E4-D4))</f>
        <v>0</v>
      </c>
      <c r="G4" s="469">
        <f>IF('Input Data'!E31=TRUE,"",(F4-F$20))</f>
        <v>0.0003738949652083434</v>
      </c>
      <c r="H4" s="473"/>
      <c r="I4" s="473">
        <v>0.0003738949652083434</v>
      </c>
      <c r="J4" s="507"/>
      <c r="K4" s="474">
        <v>0.001301299810502421</v>
      </c>
      <c r="L4" s="511"/>
      <c r="M4" s="514">
        <v>0</v>
      </c>
      <c r="N4" s="512"/>
      <c r="O4" s="514">
        <v>0.0002888929512581129</v>
      </c>
      <c r="P4" s="512"/>
      <c r="Q4" s="514">
        <v>0.0007230596277940649</v>
      </c>
      <c r="R4">
        <v>2</v>
      </c>
    </row>
    <row r="5" spans="1:18" ht="12.75">
      <c r="A5" s="43">
        <v>2</v>
      </c>
      <c r="B5" s="68">
        <f>offsets!J16</f>
        <v>17.41477364569543</v>
      </c>
      <c r="C5" s="65">
        <f>IF('Input Data'!E32=TRUE,"",IF('Input Data'!N$23="G",'Input Data'!G6,IF('Input Data'!N$23="H",'Input Data'!H6)))</f>
        <v>17.156069033923593</v>
      </c>
      <c r="D5" s="66">
        <f>IF('Input Data'!E32=TRUE,"",(B5-B$20))</f>
        <v>14.494262145500342</v>
      </c>
      <c r="E5" s="66">
        <f>IF('Input Data'!E32=TRUE,"",(C5-C$20))</f>
        <v>14.498204506654272</v>
      </c>
      <c r="F5" s="67">
        <f>IF('Input Data'!E32=TRUE,"",(E5-D5))</f>
        <v>0.003942361153930207</v>
      </c>
      <c r="G5" s="469">
        <f>IF('Input Data'!E32=TRUE,"",(F5-F$20))</f>
        <v>0.004316256119138551</v>
      </c>
      <c r="H5" s="475"/>
      <c r="I5" s="475">
        <v>0.004316256119138551</v>
      </c>
      <c r="J5" s="508">
        <v>0.003</v>
      </c>
      <c r="K5" s="476">
        <v>0.004796322970080702</v>
      </c>
      <c r="L5" s="475">
        <v>-0.003</v>
      </c>
      <c r="M5" s="477">
        <v>0.004750724114657601</v>
      </c>
      <c r="N5" s="513">
        <v>0.003</v>
      </c>
      <c r="O5" s="477">
        <v>0.003113906512273168</v>
      </c>
      <c r="P5" s="513">
        <v>0.005</v>
      </c>
      <c r="Q5" s="477">
        <v>0.005659876862877944</v>
      </c>
      <c r="R5">
        <v>3</v>
      </c>
    </row>
    <row r="6" spans="1:18" ht="12.75">
      <c r="A6" s="43">
        <v>3</v>
      </c>
      <c r="B6" s="68">
        <f>offsets!J20</f>
        <v>5.707991401738075</v>
      </c>
      <c r="C6" s="65">
        <f>IF('Input Data'!E33=TRUE,"",IF('Input Data'!N$23="G",'Input Data'!G7,IF('Input Data'!N$23="H",'Input Data'!H7)))</f>
        <v>5.449745647335037</v>
      </c>
      <c r="D6" s="66">
        <f>IF('Input Data'!E33=TRUE,"",(B6-B$20))</f>
        <v>2.7874799015429863</v>
      </c>
      <c r="E6" s="66">
        <f>IF('Input Data'!E33=TRUE,"",(C6-C$20))</f>
        <v>2.7918811200657156</v>
      </c>
      <c r="F6" s="67">
        <f>IF('Input Data'!E33=TRUE,"",(E6-D6))</f>
        <v>0.004401218522729344</v>
      </c>
      <c r="G6" s="469">
        <f>IF('Input Data'!E33=TRUE,"",(F6-F$20))</f>
        <v>0.004775113487937688</v>
      </c>
      <c r="H6" s="475">
        <v>0.002</v>
      </c>
      <c r="I6" s="475">
        <v>0.004775113487937688</v>
      </c>
      <c r="J6" s="508"/>
      <c r="K6" s="476">
        <v>0.0007393096420562628</v>
      </c>
      <c r="L6" s="475"/>
      <c r="M6" s="477">
        <v>0.0008550800603561726</v>
      </c>
      <c r="N6" s="513"/>
      <c r="O6" s="477">
        <v>0.0013429705888032828</v>
      </c>
      <c r="P6" s="513"/>
      <c r="Q6" s="477">
        <v>0</v>
      </c>
      <c r="R6">
        <v>4</v>
      </c>
    </row>
    <row r="7" spans="1:18" ht="12.75">
      <c r="A7" s="43">
        <v>4</v>
      </c>
      <c r="B7" s="68">
        <f>offsets!J24</f>
        <v>2.9914964113897176</v>
      </c>
      <c r="C7" s="65">
        <f>IF('Input Data'!E34=TRUE,"",IF('Input Data'!N$23="G",'Input Data'!G8,IF('Input Data'!N$23="H",'Input Data'!H8)))</f>
        <v>2.7284755434987424</v>
      </c>
      <c r="D7" s="66">
        <f>IF('Input Data'!E34=TRUE,"",(B7-B$20))</f>
        <v>0.07098491119462924</v>
      </c>
      <c r="E7" s="66">
        <f>IF('Input Data'!E34=TRUE,"",(C7-C$20))</f>
        <v>0.0706110162294209</v>
      </c>
      <c r="F7" s="67">
        <f>IF('Input Data'!E34=TRUE,"",(E7-D7))</f>
        <v>-0.0003738949652083434</v>
      </c>
      <c r="G7" s="469">
        <f>IF('Input Data'!E34=TRUE,"",(F7-F$20))</f>
        <v>0</v>
      </c>
      <c r="H7" s="475"/>
      <c r="I7" s="475">
        <v>0</v>
      </c>
      <c r="J7" s="508"/>
      <c r="K7" s="476">
        <v>0</v>
      </c>
      <c r="L7" s="475"/>
      <c r="M7" s="477">
        <v>0.002814615007998178</v>
      </c>
      <c r="N7" s="513"/>
      <c r="O7" s="477">
        <v>0</v>
      </c>
      <c r="P7" s="513"/>
      <c r="Q7" s="477">
        <v>0.001638241372781124</v>
      </c>
      <c r="R7">
        <v>6</v>
      </c>
    </row>
    <row r="8" spans="1:18" ht="12.75">
      <c r="A8" s="43">
        <v>5</v>
      </c>
      <c r="B8" s="68">
        <f>offsets!J28</f>
        <v>18.151276313216336</v>
      </c>
      <c r="C8" s="65">
        <f>IF('Input Data'!E35=TRUE,"",IF('Input Data'!N$23="G",'Input Data'!G9,IF('Input Data'!N$23="H",'Input Data'!H9)))</f>
        <v>17.890232951562723</v>
      </c>
      <c r="D8" s="66">
        <f>IF('Input Data'!E35=TRUE,"",(B8-B$20))</f>
        <v>15.230764813021247</v>
      </c>
      <c r="E8" s="66">
        <f>IF('Input Data'!E35=TRUE,"",(C8-C$20))</f>
        <v>15.232368424293401</v>
      </c>
      <c r="F8" s="67">
        <f>IF('Input Data'!E35=TRUE,"",(E8-D8))</f>
        <v>0.0016036112721540263</v>
      </c>
      <c r="G8" s="469">
        <f>IF('Input Data'!E35=TRUE,"",(F8-F$20))</f>
        <v>0.0019775062373623697</v>
      </c>
      <c r="H8" s="475"/>
      <c r="I8" s="475">
        <v>0.0019775062373623697</v>
      </c>
      <c r="J8" s="508">
        <v>0.003</v>
      </c>
      <c r="K8" s="476">
        <v>0.004747416221079881</v>
      </c>
      <c r="L8" s="475"/>
      <c r="M8" s="477">
        <v>0.003416555656635012</v>
      </c>
      <c r="N8" s="513"/>
      <c r="O8" s="477">
        <v>0.0008643948311872762</v>
      </c>
      <c r="P8" s="513"/>
      <c r="Q8" s="477">
        <v>0.0033458247180453426</v>
      </c>
      <c r="R8">
        <v>7</v>
      </c>
    </row>
    <row r="9" spans="1:18" ht="12.75">
      <c r="A9" s="43">
        <v>6</v>
      </c>
      <c r="B9" s="68">
        <f>offsets!J32</f>
        <v>16.998768828901188</v>
      </c>
      <c r="C9" s="65">
        <f>IF('Input Data'!E36=TRUE,"",IF('Input Data'!N$23="G",'Input Data'!G10,IF('Input Data'!N$23="H",'Input Data'!H10)))</f>
        <v>16.738746023691327</v>
      </c>
      <c r="D9" s="66">
        <f>IF('Input Data'!E36=TRUE,"",(B9-B$20))</f>
        <v>14.0782573287061</v>
      </c>
      <c r="E9" s="66">
        <f>IF('Input Data'!E36=TRUE,"",(C9-C$20))</f>
        <v>14.080881496422005</v>
      </c>
      <c r="F9" s="67">
        <f>IF('Input Data'!E36=TRUE,"",(E9-D9))</f>
        <v>0.0026241677159060117</v>
      </c>
      <c r="G9" s="469">
        <f>IF('Input Data'!E36=TRUE,"",(F9-F$20))</f>
        <v>0.002998062681114355</v>
      </c>
      <c r="H9" s="475"/>
      <c r="I9" s="475">
        <v>0.002998062681114355</v>
      </c>
      <c r="J9" s="508">
        <v>0.003</v>
      </c>
      <c r="K9" s="476">
        <v>0.004365899124640471</v>
      </c>
      <c r="L9" s="475">
        <v>-0.003</v>
      </c>
      <c r="M9" s="477">
        <v>0.004110925483288952</v>
      </c>
      <c r="N9" s="513">
        <v>0.003</v>
      </c>
      <c r="O9" s="477">
        <v>0.003480156255275979</v>
      </c>
      <c r="P9" s="513">
        <v>0.005</v>
      </c>
      <c r="Q9" s="477">
        <v>0.005023887730536636</v>
      </c>
      <c r="R9">
        <v>8</v>
      </c>
    </row>
    <row r="10" spans="1:17" ht="12.75">
      <c r="A10" s="43">
        <v>7</v>
      </c>
      <c r="B10" s="68">
        <f>offsets!J36</f>
      </c>
      <c r="C10" s="65">
        <f>IF('Input Data'!E37=TRUE,"",IF('Input Data'!N$23="G",'Input Data'!G11,IF('Input Data'!N$23="H",'Input Data'!H11)))</f>
      </c>
      <c r="D10" s="66">
        <f>IF('Input Data'!E37=TRUE,"",(B10-B$20))</f>
      </c>
      <c r="E10" s="66">
        <f>IF('Input Data'!E37=TRUE,"",(C10-C$20))</f>
      </c>
      <c r="F10" s="67">
        <f>IF('Input Data'!E37=TRUE,"",(E10-D10))</f>
      </c>
      <c r="G10" s="469">
        <f>IF('Input Data'!E37=TRUE,"",(F10-F$20))</f>
      </c>
      <c r="H10" s="475"/>
      <c r="I10" s="475"/>
      <c r="J10" s="508"/>
      <c r="K10" s="476"/>
      <c r="L10" s="475"/>
      <c r="M10" s="477"/>
      <c r="N10" s="513"/>
      <c r="O10" s="477"/>
      <c r="P10" s="513"/>
      <c r="Q10" s="477"/>
    </row>
    <row r="11" spans="1:17" ht="12.75">
      <c r="A11" s="43">
        <v>8</v>
      </c>
      <c r="B11" s="68">
        <f>offsets!J40</f>
      </c>
      <c r="C11" s="65">
        <f>IF('Input Data'!E38=TRUE,"",IF('Input Data'!N$23="G",'Input Data'!G12,IF('Input Data'!N$23="H",'Input Data'!H12)))</f>
      </c>
      <c r="D11" s="66">
        <f>IF('Input Data'!E38=TRUE,"",(B11-B$20))</f>
      </c>
      <c r="E11" s="66">
        <f>IF('Input Data'!E38=TRUE,"",(C11-C$20))</f>
      </c>
      <c r="F11" s="67">
        <f>IF('Input Data'!E38=TRUE,"",(E11-D11))</f>
      </c>
      <c r="G11" s="469">
        <f>IF('Input Data'!E38=TRUE,"",(F11-F$20))</f>
      </c>
      <c r="H11" s="475"/>
      <c r="I11" s="475"/>
      <c r="J11" s="508"/>
      <c r="K11" s="476"/>
      <c r="L11" s="475"/>
      <c r="M11" s="475"/>
      <c r="N11" s="513"/>
      <c r="O11" s="477"/>
      <c r="P11" s="513"/>
      <c r="Q11" s="477"/>
    </row>
    <row r="12" spans="1:17" ht="12.75">
      <c r="A12" s="43">
        <v>9</v>
      </c>
      <c r="B12" s="68">
        <f>offsets!J44</f>
      </c>
      <c r="C12" s="65">
        <f>IF('Input Data'!E39=TRUE,"",IF('Input Data'!N$23="G",'Input Data'!G13,IF('Input Data'!N$23="H",'Input Data'!H13)))</f>
      </c>
      <c r="D12" s="66">
        <f>IF('Input Data'!E39=TRUE,"",(B12-B$20))</f>
      </c>
      <c r="E12" s="66">
        <f>IF('Input Data'!E39=TRUE,"",(C12-C$20))</f>
      </c>
      <c r="F12" s="67">
        <f>IF('Input Data'!E39=TRUE,"",(E12-D12))</f>
      </c>
      <c r="G12" s="469">
        <f>IF('Input Data'!E39=TRUE,"",(F12-F$20))</f>
      </c>
      <c r="H12" s="475"/>
      <c r="I12" s="475"/>
      <c r="J12" s="508"/>
      <c r="K12" s="476"/>
      <c r="L12" s="475"/>
      <c r="M12" s="477"/>
      <c r="N12" s="513"/>
      <c r="O12" s="477"/>
      <c r="P12" s="513"/>
      <c r="Q12" s="477"/>
    </row>
    <row r="13" spans="1:17" ht="12.75">
      <c r="A13" s="43">
        <v>10</v>
      </c>
      <c r="B13" s="68">
        <f>offsets!J48</f>
      </c>
      <c r="C13" s="65">
        <f>IF('Input Data'!E40=TRUE,"",IF('Input Data'!N$23="G",'Input Data'!G14,IF('Input Data'!N$23="H",'Input Data'!H14)))</f>
      </c>
      <c r="D13" s="66">
        <f>IF('Input Data'!E40=TRUE,"",(B13-B$20))</f>
      </c>
      <c r="E13" s="66">
        <f>IF('Input Data'!E40=TRUE,"",(C13-C$20))</f>
      </c>
      <c r="F13" s="67">
        <f>IF('Input Data'!E40=TRUE,"",(E13-D13))</f>
      </c>
      <c r="G13" s="469">
        <f>IF('Input Data'!E40=TRUE,"",(F13-F$20))</f>
      </c>
      <c r="H13" s="475"/>
      <c r="I13" s="475"/>
      <c r="J13" s="508"/>
      <c r="K13" s="476"/>
      <c r="L13" s="475"/>
      <c r="M13" s="477"/>
      <c r="N13" s="513"/>
      <c r="O13" s="477"/>
      <c r="P13" s="513"/>
      <c r="Q13" s="477"/>
    </row>
    <row r="14" spans="1:17" ht="12.75">
      <c r="A14" s="43">
        <v>11</v>
      </c>
      <c r="B14" s="68">
        <f>offsets!J52</f>
      </c>
      <c r="C14" s="65">
        <f>IF('Input Data'!E41=TRUE,"",IF('Input Data'!N$23="G",'Input Data'!G15,IF('Input Data'!N$23="H",'Input Data'!H15)))</f>
      </c>
      <c r="D14" s="66">
        <f>IF('Input Data'!E41=TRUE,"",(B14-B$20))</f>
      </c>
      <c r="E14" s="66">
        <f>IF('Input Data'!E41=TRUE,"",(C14-C$20))</f>
      </c>
      <c r="F14" s="67">
        <f>IF('Input Data'!E41=TRUE,"",(E14-D14))</f>
      </c>
      <c r="G14" s="469">
        <f>IF('Input Data'!E41=TRUE,"",(F14-F$20))</f>
      </c>
      <c r="H14" s="475"/>
      <c r="I14" s="476"/>
      <c r="J14" s="508"/>
      <c r="K14" s="475"/>
      <c r="L14" s="475"/>
      <c r="M14" s="477"/>
      <c r="N14" s="513"/>
      <c r="O14" s="477"/>
      <c r="P14" s="513"/>
      <c r="Q14" s="477"/>
    </row>
    <row r="15" spans="1:17" ht="12.75">
      <c r="A15" s="43">
        <v>12</v>
      </c>
      <c r="B15" s="68">
        <f>offsets!J56</f>
      </c>
      <c r="C15" s="65">
        <f>IF('Input Data'!E42=TRUE,"",IF('Input Data'!N$23="G",'Input Data'!G16,IF('Input Data'!N$23="H",'Input Data'!H16)))</f>
      </c>
      <c r="D15" s="66">
        <f>IF('Input Data'!E42=TRUE,"",(B15-B$20))</f>
      </c>
      <c r="E15" s="66">
        <f>IF('Input Data'!E42=TRUE,"",(C15-C$20))</f>
      </c>
      <c r="F15" s="67">
        <f>IF('Input Data'!E42=TRUE,"",(E15-D15))</f>
      </c>
      <c r="G15" s="469">
        <f>IF('Input Data'!E42=TRUE,"",(F15-F$20))</f>
      </c>
      <c r="H15" s="475"/>
      <c r="I15" s="476"/>
      <c r="J15" s="508"/>
      <c r="K15" s="475"/>
      <c r="L15" s="475"/>
      <c r="M15" s="477"/>
      <c r="N15" s="513"/>
      <c r="O15" s="477"/>
      <c r="P15" s="513"/>
      <c r="Q15" s="477"/>
    </row>
    <row r="16" spans="1:17" ht="12.75">
      <c r="A16" s="43">
        <v>13</v>
      </c>
      <c r="B16" s="68">
        <f>offsets!J60</f>
      </c>
      <c r="C16" s="65">
        <f>IF('Input Data'!E43=TRUE,"",IF('Input Data'!N$23="G",'Input Data'!G17,IF('Input Data'!N$23="H",'Input Data'!H17)))</f>
      </c>
      <c r="D16" s="66">
        <f>IF('Input Data'!E43=TRUE,"",(B16-B$20))</f>
      </c>
      <c r="E16" s="66">
        <f>IF('Input Data'!E43=TRUE,"",(C16-C$20))</f>
      </c>
      <c r="F16" s="67">
        <f>IF('Input Data'!E43=TRUE,"",(E16-D16))</f>
      </c>
      <c r="G16" s="469">
        <f>IF('Input Data'!E43=TRUE,"",(F16-F$20))</f>
      </c>
      <c r="H16" s="477"/>
      <c r="I16" s="478"/>
      <c r="J16" s="509"/>
      <c r="K16" s="475"/>
      <c r="L16" s="475"/>
      <c r="M16" s="477"/>
      <c r="N16" s="513"/>
      <c r="O16" s="477"/>
      <c r="P16" s="513"/>
      <c r="Q16" s="477"/>
    </row>
    <row r="17" spans="1:17" ht="12.75">
      <c r="A17" s="43">
        <v>14</v>
      </c>
      <c r="B17" s="68">
        <f>offsets!J64</f>
      </c>
      <c r="C17" s="65">
        <f>IF('Input Data'!E44=TRUE,"",IF('Input Data'!N$23="G",'Input Data'!G18,IF('Input Data'!N$23="H",'Input Data'!H18)))</f>
      </c>
      <c r="D17" s="66">
        <f>IF('Input Data'!E44=TRUE,"",(B17-B$20))</f>
      </c>
      <c r="E17" s="66">
        <f>IF('Input Data'!E44=TRUE,"",(C17-C$20))</f>
      </c>
      <c r="F17" s="67">
        <f>IF('Input Data'!E44=TRUE,"",(E17-D17))</f>
      </c>
      <c r="G17" s="469">
        <f>IF('Input Data'!E44=TRUE,"",(F17-F$20))</f>
      </c>
      <c r="H17" s="477"/>
      <c r="I17" s="477"/>
      <c r="J17" s="509"/>
      <c r="K17" s="475"/>
      <c r="L17" s="475"/>
      <c r="M17" s="477"/>
      <c r="N17" s="513"/>
      <c r="O17" s="477"/>
      <c r="P17" s="513"/>
      <c r="Q17" s="477"/>
    </row>
    <row r="18" spans="1:17" ht="12" customHeight="1" thickBot="1">
      <c r="A18" s="43">
        <v>15</v>
      </c>
      <c r="B18" s="68">
        <f>offsets!J68</f>
      </c>
      <c r="C18" s="65">
        <f>IF('Input Data'!E45=TRUE,"",IF('Input Data'!N$23="G",'Input Data'!G19,IF('Input Data'!N$23="H",'Input Data'!H19)))</f>
      </c>
      <c r="D18" s="66">
        <f>IF('Input Data'!E45=TRUE,"",(B18-B$20))</f>
      </c>
      <c r="E18" s="66">
        <f>IF('Input Data'!E45=TRUE,"",(C18-C$20))</f>
      </c>
      <c r="F18" s="67">
        <f>IF('Input Data'!E45=TRUE,"",(E18-D18))</f>
      </c>
      <c r="G18" s="469">
        <f>IF('Input Data'!E45=TRUE,"",(F18-F$20))</f>
      </c>
      <c r="H18" s="477"/>
      <c r="I18" s="477"/>
      <c r="J18" s="509"/>
      <c r="K18" s="475"/>
      <c r="L18" s="475"/>
      <c r="M18" s="477"/>
      <c r="N18" s="513"/>
      <c r="O18" s="477"/>
      <c r="P18" s="513"/>
      <c r="Q18" s="477"/>
    </row>
    <row r="19" spans="1:17" ht="12.75">
      <c r="A19" s="51" t="s">
        <v>20</v>
      </c>
      <c r="B19" s="69">
        <f>MAX(B4:B18)</f>
        <v>18.151276313216336</v>
      </c>
      <c r="C19" s="69">
        <f>MAX(C4:C18)</f>
        <v>17.890232951562723</v>
      </c>
      <c r="D19" s="69">
        <f>MAX(D4:D18)</f>
        <v>15.230764813021247</v>
      </c>
      <c r="E19" s="70">
        <f>MAX(E4:E18)</f>
        <v>15.232368424293401</v>
      </c>
      <c r="F19" s="71">
        <f>MAX(F4:F18)</f>
        <v>0.004401218522729344</v>
      </c>
      <c r="G19" s="4"/>
      <c r="H19" s="477"/>
      <c r="I19" s="477"/>
      <c r="J19" s="509"/>
      <c r="K19" s="475"/>
      <c r="L19" s="475"/>
      <c r="M19" s="477"/>
      <c r="N19" s="513"/>
      <c r="O19" s="477"/>
      <c r="P19" s="513"/>
      <c r="Q19" s="477"/>
    </row>
    <row r="20" spans="1:17" ht="13.5" thickBot="1">
      <c r="A20" s="52" t="s">
        <v>21</v>
      </c>
      <c r="B20" s="72">
        <f>MIN(B4:B18)</f>
        <v>2.9205115001950883</v>
      </c>
      <c r="C20" s="72">
        <f>MIN(C4:C18)</f>
        <v>2.6578645272693215</v>
      </c>
      <c r="D20" s="72">
        <f>MIN(D4:D18)</f>
        <v>0</v>
      </c>
      <c r="E20" s="73">
        <f>MIN(E4:E18)</f>
        <v>0</v>
      </c>
      <c r="F20" s="467">
        <f>MIN(F4:F18)</f>
        <v>-0.0003738949652083434</v>
      </c>
      <c r="G20" s="4"/>
      <c r="H20" s="477"/>
      <c r="I20" s="477"/>
      <c r="J20" s="509"/>
      <c r="K20" s="475"/>
      <c r="L20" s="475"/>
      <c r="M20" s="477"/>
      <c r="N20" s="513"/>
      <c r="O20" s="477"/>
      <c r="P20" s="513"/>
      <c r="Q20" s="477"/>
    </row>
    <row r="21" spans="1:17" ht="13.5" thickBot="1">
      <c r="A21" s="53" t="s">
        <v>22</v>
      </c>
      <c r="B21" s="54"/>
      <c r="C21" s="55"/>
      <c r="D21" s="2"/>
      <c r="E21" s="2"/>
      <c r="F21" s="468"/>
      <c r="G21" s="470">
        <f aca="true" t="shared" si="0" ref="G21:L21">SUM(G4:G20)</f>
        <v>0.014440833490761307</v>
      </c>
      <c r="H21" s="516">
        <f t="shared" si="0"/>
        <v>0.002</v>
      </c>
      <c r="I21" s="516">
        <f t="shared" si="0"/>
        <v>0.014440833490761307</v>
      </c>
      <c r="J21" s="517">
        <f t="shared" si="0"/>
        <v>0.009000000000000001</v>
      </c>
      <c r="K21" s="516">
        <f t="shared" si="0"/>
        <v>0.015950247768359738</v>
      </c>
      <c r="L21" s="516">
        <f t="shared" si="0"/>
        <v>-0.006</v>
      </c>
      <c r="M21" s="516">
        <f>SUM(M4:M20)</f>
        <v>0.015947900322935915</v>
      </c>
      <c r="N21" s="516">
        <f>SUM(N4:N20)</f>
        <v>0.006</v>
      </c>
      <c r="O21" s="516">
        <f>SUM(O4:O20)</f>
        <v>0.009090321138797819</v>
      </c>
      <c r="P21" s="516">
        <f>SUM(P4:P20)</f>
        <v>0.01</v>
      </c>
      <c r="Q21" s="516">
        <f>SUM(Q4:Q20)</f>
        <v>0.01639089031203511</v>
      </c>
    </row>
    <row r="22" spans="1:17" ht="13.5" thickBot="1">
      <c r="A22" s="56"/>
      <c r="B22" s="75">
        <f>B19-B20</f>
        <v>15.230764813021247</v>
      </c>
      <c r="C22" s="76">
        <f>C19-C20</f>
        <v>15.232368424293401</v>
      </c>
      <c r="D22" s="2"/>
      <c r="E22" s="2"/>
      <c r="F22" s="471" t="s">
        <v>86</v>
      </c>
      <c r="G22" s="472">
        <f aca="true" t="shared" si="1" ref="G22:L22">G21/8</f>
        <v>0.0018051041863451633</v>
      </c>
      <c r="H22" s="472">
        <f t="shared" si="1"/>
        <v>0.00025</v>
      </c>
      <c r="I22" s="472">
        <f t="shared" si="1"/>
        <v>0.0018051041863451633</v>
      </c>
      <c r="J22" s="510">
        <f t="shared" si="1"/>
        <v>0.0011250000000000001</v>
      </c>
      <c r="K22" s="472">
        <f t="shared" si="1"/>
        <v>0.001993780971044967</v>
      </c>
      <c r="L22" s="472">
        <f t="shared" si="1"/>
        <v>-0.00075</v>
      </c>
      <c r="M22" s="472">
        <f>M21/8</f>
        <v>0.0019934875403669894</v>
      </c>
      <c r="N22" s="472">
        <f>N21/8</f>
        <v>0.00075</v>
      </c>
      <c r="O22" s="472">
        <f>O21/8</f>
        <v>0.0011362901423497274</v>
      </c>
      <c r="P22" s="472">
        <f>P21/8</f>
        <v>0.00125</v>
      </c>
      <c r="Q22" s="472">
        <f>Q21/8</f>
        <v>0.002048861289004389</v>
      </c>
    </row>
    <row r="23" spans="1:11" ht="12.75">
      <c r="A23" s="56"/>
      <c r="B23" s="57"/>
      <c r="C23" s="58"/>
      <c r="D23" s="2"/>
      <c r="E23" s="2"/>
      <c r="F23" s="2"/>
      <c r="G23" s="438"/>
      <c r="H23" s="438"/>
      <c r="I23" s="438"/>
      <c r="J23" s="438"/>
      <c r="K23" s="438"/>
    </row>
    <row r="24" spans="1:7" ht="12.75">
      <c r="A24" s="56"/>
      <c r="B24" s="57" t="s">
        <v>23</v>
      </c>
      <c r="C24" s="58" t="s">
        <v>24</v>
      </c>
      <c r="D24" s="2"/>
      <c r="E24" s="2"/>
      <c r="F24" s="2"/>
      <c r="G24" s="2"/>
    </row>
    <row r="25" spans="1:7" ht="13.5" thickBot="1">
      <c r="A25" s="59"/>
      <c r="B25" s="60">
        <f>B20</f>
        <v>2.9205115001950883</v>
      </c>
      <c r="C25" s="61">
        <f>C20</f>
        <v>2.6578645272693215</v>
      </c>
      <c r="D25" s="2"/>
      <c r="E25" s="2"/>
      <c r="F25" s="2"/>
      <c r="G25" s="2"/>
    </row>
    <row r="26" ht="13.5" thickBot="1"/>
    <row r="27" spans="1:13" ht="12.75">
      <c r="A27" s="14"/>
      <c r="B27" s="521"/>
      <c r="C27" s="526" t="s">
        <v>88</v>
      </c>
      <c r="D27" s="479"/>
      <c r="E27" s="479"/>
      <c r="F27" s="479"/>
      <c r="G27" s="479"/>
      <c r="H27" s="387"/>
      <c r="M27" s="500"/>
    </row>
    <row r="28" spans="1:13" ht="13.5" thickBot="1">
      <c r="A28" s="363"/>
      <c r="B28" s="527" t="s">
        <v>93</v>
      </c>
      <c r="C28" s="520"/>
      <c r="D28" s="524"/>
      <c r="E28" s="524"/>
      <c r="F28" s="524"/>
      <c r="G28" s="524"/>
      <c r="H28" s="525"/>
      <c r="M28" s="500"/>
    </row>
    <row r="29" spans="1:14" ht="12.75">
      <c r="A29" s="3"/>
      <c r="B29" s="522">
        <v>1</v>
      </c>
      <c r="C29" s="436">
        <f>Q4</f>
        <v>0.0007230596277940649</v>
      </c>
      <c r="D29" s="436">
        <f>O4</f>
        <v>0.0002888929512581129</v>
      </c>
      <c r="E29" s="436">
        <f>M4</f>
        <v>0</v>
      </c>
      <c r="F29" s="436">
        <f>K4</f>
        <v>0.001301299810502421</v>
      </c>
      <c r="G29" s="436">
        <f>I4</f>
        <v>0.0003738949652083434</v>
      </c>
      <c r="H29" s="480">
        <f>G4</f>
        <v>0.0003738949652083434</v>
      </c>
      <c r="M29" s="500"/>
      <c r="N29" s="392"/>
    </row>
    <row r="30" spans="1:14" ht="12.75">
      <c r="A30" s="3"/>
      <c r="B30" s="522">
        <v>2</v>
      </c>
      <c r="C30" s="436">
        <f aca="true" t="shared" si="2" ref="C30:C43">Q5</f>
        <v>0.005659876862877944</v>
      </c>
      <c r="D30" s="436">
        <f aca="true" t="shared" si="3" ref="D30:D43">O5</f>
        <v>0.003113906512273168</v>
      </c>
      <c r="E30" s="436">
        <f aca="true" t="shared" si="4" ref="E30:E43">M5</f>
        <v>0.004750724114657601</v>
      </c>
      <c r="F30" s="436">
        <f aca="true" t="shared" si="5" ref="F30:F43">K5</f>
        <v>0.004796322970080702</v>
      </c>
      <c r="G30" s="436">
        <f aca="true" t="shared" si="6" ref="G30:G43">I5</f>
        <v>0.004316256119138551</v>
      </c>
      <c r="H30" s="480">
        <f aca="true" t="shared" si="7" ref="H30:H43">G5</f>
        <v>0.004316256119138551</v>
      </c>
      <c r="M30" s="500"/>
      <c r="N30" s="392"/>
    </row>
    <row r="31" spans="1:14" ht="12.75">
      <c r="A31" s="3"/>
      <c r="B31" s="522">
        <v>3</v>
      </c>
      <c r="C31" s="436">
        <f t="shared" si="2"/>
        <v>0</v>
      </c>
      <c r="D31" s="436">
        <f t="shared" si="3"/>
        <v>0.0013429705888032828</v>
      </c>
      <c r="E31" s="436">
        <f t="shared" si="4"/>
        <v>0.0008550800603561726</v>
      </c>
      <c r="F31" s="436">
        <f t="shared" si="5"/>
        <v>0.0007393096420562628</v>
      </c>
      <c r="G31" s="436">
        <f t="shared" si="6"/>
        <v>0.004775113487937688</v>
      </c>
      <c r="H31" s="480">
        <f t="shared" si="7"/>
        <v>0.004775113487937688</v>
      </c>
      <c r="M31" s="500"/>
      <c r="N31" s="392"/>
    </row>
    <row r="32" spans="1:14" ht="12.75">
      <c r="A32" s="3"/>
      <c r="B32" s="522">
        <v>4</v>
      </c>
      <c r="C32" s="436">
        <f t="shared" si="2"/>
        <v>0.001638241372781124</v>
      </c>
      <c r="D32" s="436">
        <f t="shared" si="3"/>
        <v>0</v>
      </c>
      <c r="E32" s="436">
        <f t="shared" si="4"/>
        <v>0.002814615007998178</v>
      </c>
      <c r="F32" s="436">
        <f t="shared" si="5"/>
        <v>0</v>
      </c>
      <c r="G32" s="436">
        <f t="shared" si="6"/>
        <v>0</v>
      </c>
      <c r="H32" s="480">
        <f t="shared" si="7"/>
        <v>0</v>
      </c>
      <c r="M32" s="500"/>
      <c r="N32" s="392"/>
    </row>
    <row r="33" spans="1:14" ht="12.75">
      <c r="A33" s="14"/>
      <c r="B33" s="522">
        <v>5</v>
      </c>
      <c r="C33" s="436">
        <f t="shared" si="2"/>
        <v>0.0033458247180453426</v>
      </c>
      <c r="D33" s="436">
        <f t="shared" si="3"/>
        <v>0.0008643948311872762</v>
      </c>
      <c r="E33" s="436">
        <f t="shared" si="4"/>
        <v>0.003416555656635012</v>
      </c>
      <c r="F33" s="436">
        <f t="shared" si="5"/>
        <v>0.004747416221079881</v>
      </c>
      <c r="G33" s="436">
        <f t="shared" si="6"/>
        <v>0.0019775062373623697</v>
      </c>
      <c r="H33" s="480">
        <f t="shared" si="7"/>
        <v>0.0019775062373623697</v>
      </c>
      <c r="M33" s="500"/>
      <c r="N33" s="392"/>
    </row>
    <row r="34" spans="1:14" ht="12.75">
      <c r="A34" s="14"/>
      <c r="B34" s="522">
        <v>6</v>
      </c>
      <c r="C34" s="436">
        <f t="shared" si="2"/>
        <v>0.005023887730536636</v>
      </c>
      <c r="D34" s="436">
        <f t="shared" si="3"/>
        <v>0.003480156255275979</v>
      </c>
      <c r="E34" s="436">
        <f t="shared" si="4"/>
        <v>0.004110925483288952</v>
      </c>
      <c r="F34" s="436">
        <f t="shared" si="5"/>
        <v>0.004365899124640471</v>
      </c>
      <c r="G34" s="436">
        <f t="shared" si="6"/>
        <v>0.002998062681114355</v>
      </c>
      <c r="H34" s="480">
        <f t="shared" si="7"/>
        <v>0.002998062681114355</v>
      </c>
      <c r="M34" s="500"/>
      <c r="N34" s="392"/>
    </row>
    <row r="35" spans="1:14" ht="12.75">
      <c r="A35" s="14"/>
      <c r="B35" s="522">
        <v>7</v>
      </c>
      <c r="C35" s="436">
        <f t="shared" si="2"/>
        <v>0</v>
      </c>
      <c r="D35" s="436">
        <f t="shared" si="3"/>
        <v>0</v>
      </c>
      <c r="E35" s="436">
        <f t="shared" si="4"/>
        <v>0</v>
      </c>
      <c r="F35" s="436">
        <f t="shared" si="5"/>
        <v>0</v>
      </c>
      <c r="G35" s="436">
        <f t="shared" si="6"/>
        <v>0</v>
      </c>
      <c r="H35" s="480">
        <f t="shared" si="7"/>
      </c>
      <c r="M35" s="500"/>
      <c r="N35" s="392"/>
    </row>
    <row r="36" spans="1:14" ht="12.75">
      <c r="A36" s="14"/>
      <c r="B36" s="522">
        <v>8</v>
      </c>
      <c r="C36" s="436">
        <f t="shared" si="2"/>
        <v>0</v>
      </c>
      <c r="D36" s="436">
        <f t="shared" si="3"/>
        <v>0</v>
      </c>
      <c r="E36" s="436">
        <f t="shared" si="4"/>
        <v>0</v>
      </c>
      <c r="F36" s="436">
        <f t="shared" si="5"/>
        <v>0</v>
      </c>
      <c r="G36" s="436">
        <f t="shared" si="6"/>
        <v>0</v>
      </c>
      <c r="H36" s="480">
        <f t="shared" si="7"/>
      </c>
      <c r="M36" s="500"/>
      <c r="N36" s="392"/>
    </row>
    <row r="37" spans="1:14" ht="12.75">
      <c r="A37" s="14"/>
      <c r="B37" s="522">
        <v>9</v>
      </c>
      <c r="C37" s="436">
        <f t="shared" si="2"/>
        <v>0</v>
      </c>
      <c r="D37" s="436">
        <f t="shared" si="3"/>
        <v>0</v>
      </c>
      <c r="E37" s="436">
        <f t="shared" si="4"/>
        <v>0</v>
      </c>
      <c r="F37" s="436">
        <f t="shared" si="5"/>
        <v>0</v>
      </c>
      <c r="G37" s="436">
        <f t="shared" si="6"/>
        <v>0</v>
      </c>
      <c r="H37" s="480">
        <f t="shared" si="7"/>
      </c>
      <c r="M37" s="500"/>
      <c r="N37" s="392"/>
    </row>
    <row r="38" spans="1:13" ht="12.75">
      <c r="A38" s="14"/>
      <c r="B38" s="522">
        <v>10</v>
      </c>
      <c r="C38" s="436">
        <f t="shared" si="2"/>
        <v>0</v>
      </c>
      <c r="D38" s="436">
        <f t="shared" si="3"/>
        <v>0</v>
      </c>
      <c r="E38" s="436">
        <f t="shared" si="4"/>
        <v>0</v>
      </c>
      <c r="F38" s="436">
        <f t="shared" si="5"/>
        <v>0</v>
      </c>
      <c r="G38" s="436">
        <f t="shared" si="6"/>
        <v>0</v>
      </c>
      <c r="H38" s="480">
        <f t="shared" si="7"/>
      </c>
      <c r="M38" s="500"/>
    </row>
    <row r="39" spans="1:13" ht="12.75">
      <c r="A39" s="14"/>
      <c r="B39" s="522">
        <v>11</v>
      </c>
      <c r="C39" s="436">
        <f t="shared" si="2"/>
        <v>0</v>
      </c>
      <c r="D39" s="436">
        <f t="shared" si="3"/>
        <v>0</v>
      </c>
      <c r="E39" s="436">
        <f t="shared" si="4"/>
        <v>0</v>
      </c>
      <c r="F39" s="436">
        <f t="shared" si="5"/>
        <v>0</v>
      </c>
      <c r="G39" s="436">
        <f t="shared" si="6"/>
        <v>0</v>
      </c>
      <c r="H39" s="480">
        <f t="shared" si="7"/>
      </c>
      <c r="M39" s="500"/>
    </row>
    <row r="40" spans="1:13" ht="12.75">
      <c r="A40" s="14"/>
      <c r="B40" s="522">
        <v>12</v>
      </c>
      <c r="C40" s="436">
        <f t="shared" si="2"/>
        <v>0</v>
      </c>
      <c r="D40" s="436">
        <f t="shared" si="3"/>
        <v>0</v>
      </c>
      <c r="E40" s="436">
        <f t="shared" si="4"/>
        <v>0</v>
      </c>
      <c r="F40" s="436">
        <f t="shared" si="5"/>
        <v>0</v>
      </c>
      <c r="G40" s="436">
        <f t="shared" si="6"/>
        <v>0</v>
      </c>
      <c r="H40" s="480">
        <f t="shared" si="7"/>
      </c>
      <c r="M40" s="500"/>
    </row>
    <row r="41" spans="2:13" ht="12.75">
      <c r="B41" s="522">
        <v>13</v>
      </c>
      <c r="C41" s="436">
        <f t="shared" si="2"/>
        <v>0</v>
      </c>
      <c r="D41" s="436">
        <f t="shared" si="3"/>
        <v>0</v>
      </c>
      <c r="E41" s="436">
        <f t="shared" si="4"/>
        <v>0</v>
      </c>
      <c r="F41" s="436">
        <f t="shared" si="5"/>
        <v>0</v>
      </c>
      <c r="G41" s="436">
        <f t="shared" si="6"/>
        <v>0</v>
      </c>
      <c r="H41" s="480">
        <f t="shared" si="7"/>
      </c>
      <c r="M41" s="500"/>
    </row>
    <row r="42" spans="2:13" ht="12.75">
      <c r="B42" s="522">
        <v>14</v>
      </c>
      <c r="C42" s="436">
        <f t="shared" si="2"/>
        <v>0</v>
      </c>
      <c r="D42" s="436">
        <f t="shared" si="3"/>
        <v>0</v>
      </c>
      <c r="E42" s="436">
        <f t="shared" si="4"/>
        <v>0</v>
      </c>
      <c r="F42" s="436">
        <f t="shared" si="5"/>
        <v>0</v>
      </c>
      <c r="G42" s="436">
        <f t="shared" si="6"/>
        <v>0</v>
      </c>
      <c r="H42" s="480">
        <f t="shared" si="7"/>
      </c>
      <c r="M42" s="4"/>
    </row>
    <row r="43" spans="2:13" ht="12.75">
      <c r="B43" s="522">
        <v>15</v>
      </c>
      <c r="C43" s="436">
        <f t="shared" si="2"/>
        <v>0</v>
      </c>
      <c r="D43" s="436">
        <f t="shared" si="3"/>
        <v>0</v>
      </c>
      <c r="E43" s="436">
        <f t="shared" si="4"/>
        <v>0</v>
      </c>
      <c r="F43" s="436">
        <f t="shared" si="5"/>
        <v>0</v>
      </c>
      <c r="G43" s="436">
        <f t="shared" si="6"/>
        <v>0</v>
      </c>
      <c r="H43" s="480">
        <f t="shared" si="7"/>
      </c>
      <c r="M43" s="4"/>
    </row>
    <row r="44" spans="2:13" ht="13.5" thickBot="1">
      <c r="B44" s="523" t="s">
        <v>89</v>
      </c>
      <c r="C44" s="481">
        <f>Q22</f>
        <v>0.002048861289004389</v>
      </c>
      <c r="D44" s="481">
        <f>O22</f>
        <v>0.0011362901423497274</v>
      </c>
      <c r="E44" s="481">
        <f>M22</f>
        <v>0.0019934875403669894</v>
      </c>
      <c r="F44" s="481">
        <f>K22</f>
        <v>0.001993780971044967</v>
      </c>
      <c r="G44" s="481">
        <f>I22</f>
        <v>0.0018051041863451633</v>
      </c>
      <c r="H44" s="482">
        <f>G22</f>
        <v>0.0018051041863451633</v>
      </c>
      <c r="M44" s="483"/>
    </row>
    <row r="45" ht="12.75">
      <c r="M45" s="48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80">
      <selection activeCell="A104" sqref="A104"/>
    </sheetView>
  </sheetViews>
  <sheetFormatPr defaultColWidth="9.140625" defaultRowHeight="12.75"/>
  <sheetData>
    <row r="1" ht="27.75" customHeight="1">
      <c r="A1" s="381" t="s">
        <v>73</v>
      </c>
    </row>
    <row r="2" spans="1:24" ht="24" customHeight="1">
      <c r="A2" s="371" t="s">
        <v>16</v>
      </c>
      <c r="B2" s="371" t="s">
        <v>17</v>
      </c>
      <c r="C2" s="371" t="s">
        <v>18</v>
      </c>
      <c r="D2" s="372" t="s">
        <v>16</v>
      </c>
      <c r="E2" s="372" t="s">
        <v>17</v>
      </c>
      <c r="F2" s="372" t="s">
        <v>18</v>
      </c>
      <c r="G2" s="374" t="s">
        <v>16</v>
      </c>
      <c r="H2" s="374" t="s">
        <v>17</v>
      </c>
      <c r="I2" s="374" t="s">
        <v>18</v>
      </c>
      <c r="J2" s="375" t="s">
        <v>16</v>
      </c>
      <c r="K2" s="375" t="s">
        <v>17</v>
      </c>
      <c r="L2" s="375" t="s">
        <v>18</v>
      </c>
      <c r="M2" s="376" t="s">
        <v>16</v>
      </c>
      <c r="N2" s="376" t="s">
        <v>17</v>
      </c>
      <c r="O2" s="376" t="s">
        <v>18</v>
      </c>
      <c r="P2" s="377" t="s">
        <v>16</v>
      </c>
      <c r="Q2" s="377" t="s">
        <v>17</v>
      </c>
      <c r="R2" s="377" t="s">
        <v>18</v>
      </c>
      <c r="S2" s="379" t="s">
        <v>16</v>
      </c>
      <c r="T2" s="379" t="s">
        <v>17</v>
      </c>
      <c r="U2" s="379" t="s">
        <v>18</v>
      </c>
      <c r="V2" s="384" t="s">
        <v>16</v>
      </c>
      <c r="W2" s="384" t="s">
        <v>17</v>
      </c>
      <c r="X2" s="384" t="s">
        <v>18</v>
      </c>
    </row>
    <row r="103" spans="1:24" ht="12.75">
      <c r="A103" s="368">
        <f aca="true" t="shared" si="0" ref="A103:U103">SUM(A3:A102)</f>
        <v>0</v>
      </c>
      <c r="B103" s="368">
        <f t="shared" si="0"/>
        <v>0</v>
      </c>
      <c r="C103" s="368">
        <f t="shared" si="0"/>
        <v>0</v>
      </c>
      <c r="D103" s="369">
        <f t="shared" si="0"/>
        <v>0</v>
      </c>
      <c r="E103" s="369">
        <f t="shared" si="0"/>
        <v>0</v>
      </c>
      <c r="F103" s="369">
        <f t="shared" si="0"/>
        <v>0</v>
      </c>
      <c r="G103" s="373">
        <f t="shared" si="0"/>
        <v>0</v>
      </c>
      <c r="H103" s="373">
        <f t="shared" si="0"/>
        <v>0</v>
      </c>
      <c r="I103" s="373">
        <f t="shared" si="0"/>
        <v>0</v>
      </c>
      <c r="J103" s="365">
        <f t="shared" si="0"/>
        <v>0</v>
      </c>
      <c r="K103" s="365">
        <f t="shared" si="0"/>
        <v>0</v>
      </c>
      <c r="L103" s="365">
        <f t="shared" si="0"/>
        <v>0</v>
      </c>
      <c r="M103" s="366">
        <f t="shared" si="0"/>
        <v>0</v>
      </c>
      <c r="N103" s="366">
        <f t="shared" si="0"/>
        <v>0</v>
      </c>
      <c r="O103" s="366">
        <f t="shared" si="0"/>
        <v>0</v>
      </c>
      <c r="P103" s="382">
        <f t="shared" si="0"/>
        <v>0</v>
      </c>
      <c r="Q103" s="382">
        <f t="shared" si="0"/>
        <v>0</v>
      </c>
      <c r="R103" s="382">
        <f t="shared" si="0"/>
        <v>0</v>
      </c>
      <c r="S103" s="378">
        <f t="shared" si="0"/>
        <v>0</v>
      </c>
      <c r="T103" s="378">
        <f t="shared" si="0"/>
        <v>0</v>
      </c>
      <c r="U103" s="378">
        <f t="shared" si="0"/>
        <v>0</v>
      </c>
      <c r="V103" s="367">
        <f>SUM(V3:V102)</f>
        <v>0</v>
      </c>
      <c r="W103" s="367">
        <f>SUM(W3:W102)</f>
        <v>0</v>
      </c>
      <c r="X103" s="367">
        <f>SUM(X3:X102)</f>
        <v>0</v>
      </c>
    </row>
    <row r="104" spans="1:24" ht="12.75">
      <c r="A104" s="368">
        <f aca="true" t="shared" si="1" ref="A104:U104">A103/100</f>
        <v>0</v>
      </c>
      <c r="B104" s="368">
        <f t="shared" si="1"/>
        <v>0</v>
      </c>
      <c r="C104" s="368">
        <f t="shared" si="1"/>
        <v>0</v>
      </c>
      <c r="D104" s="369">
        <f t="shared" si="1"/>
        <v>0</v>
      </c>
      <c r="E104" s="369">
        <f t="shared" si="1"/>
        <v>0</v>
      </c>
      <c r="F104" s="369">
        <f t="shared" si="1"/>
        <v>0</v>
      </c>
      <c r="G104" s="373">
        <f t="shared" si="1"/>
        <v>0</v>
      </c>
      <c r="H104" s="373">
        <f t="shared" si="1"/>
        <v>0</v>
      </c>
      <c r="I104" s="373">
        <f t="shared" si="1"/>
        <v>0</v>
      </c>
      <c r="J104" s="365">
        <f t="shared" si="1"/>
        <v>0</v>
      </c>
      <c r="K104" s="365">
        <f t="shared" si="1"/>
        <v>0</v>
      </c>
      <c r="L104" s="365">
        <f t="shared" si="1"/>
        <v>0</v>
      </c>
      <c r="M104" s="366">
        <f t="shared" si="1"/>
        <v>0</v>
      </c>
      <c r="N104" s="366">
        <f t="shared" si="1"/>
        <v>0</v>
      </c>
      <c r="O104" s="366">
        <f t="shared" si="1"/>
        <v>0</v>
      </c>
      <c r="P104" s="382">
        <f t="shared" si="1"/>
        <v>0</v>
      </c>
      <c r="Q104" s="382">
        <f t="shared" si="1"/>
        <v>0</v>
      </c>
      <c r="R104" s="382">
        <f t="shared" si="1"/>
        <v>0</v>
      </c>
      <c r="S104" s="378">
        <f t="shared" si="1"/>
        <v>0</v>
      </c>
      <c r="T104" s="378">
        <f t="shared" si="1"/>
        <v>0</v>
      </c>
      <c r="U104" s="378">
        <f t="shared" si="1"/>
        <v>0</v>
      </c>
      <c r="V104" s="367">
        <f>V103/100</f>
        <v>0</v>
      </c>
      <c r="W104" s="367">
        <f>W103/100</f>
        <v>0</v>
      </c>
      <c r="X104" s="367">
        <f>X103/100</f>
        <v>0</v>
      </c>
    </row>
    <row r="105" spans="1:24" ht="20.25">
      <c r="A105" s="371" t="s">
        <v>16</v>
      </c>
      <c r="B105" s="371" t="s">
        <v>17</v>
      </c>
      <c r="C105" s="371" t="s">
        <v>18</v>
      </c>
      <c r="D105" s="372" t="s">
        <v>16</v>
      </c>
      <c r="E105" s="372" t="s">
        <v>17</v>
      </c>
      <c r="F105" s="372" t="s">
        <v>18</v>
      </c>
      <c r="G105" s="374" t="s">
        <v>16</v>
      </c>
      <c r="H105" s="374" t="s">
        <v>17</v>
      </c>
      <c r="I105" s="374" t="s">
        <v>18</v>
      </c>
      <c r="J105" s="375" t="s">
        <v>16</v>
      </c>
      <c r="K105" s="375" t="s">
        <v>17</v>
      </c>
      <c r="L105" s="375" t="s">
        <v>18</v>
      </c>
      <c r="M105" s="376" t="s">
        <v>16</v>
      </c>
      <c r="N105" s="376" t="s">
        <v>17</v>
      </c>
      <c r="O105" s="376" t="s">
        <v>18</v>
      </c>
      <c r="P105" s="383" t="s">
        <v>16</v>
      </c>
      <c r="Q105" s="383" t="s">
        <v>17</v>
      </c>
      <c r="R105" s="383" t="s">
        <v>18</v>
      </c>
      <c r="S105" s="379" t="s">
        <v>16</v>
      </c>
      <c r="T105" s="379" t="s">
        <v>17</v>
      </c>
      <c r="U105" s="379" t="s">
        <v>18</v>
      </c>
      <c r="V105" s="384" t="s">
        <v>16</v>
      </c>
      <c r="W105" s="384" t="s">
        <v>17</v>
      </c>
      <c r="X105" s="384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B14" sqref="B13:B14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12" t="s">
        <v>54</v>
      </c>
      <c r="B1" s="413"/>
      <c r="C1" s="413"/>
      <c r="D1" s="414"/>
      <c r="E1" s="380" t="s">
        <v>55</v>
      </c>
      <c r="F1" s="380" t="s">
        <v>55</v>
      </c>
      <c r="G1" s="380" t="s">
        <v>55</v>
      </c>
      <c r="H1" s="420" t="s">
        <v>74</v>
      </c>
      <c r="I1" s="421"/>
      <c r="J1" s="422"/>
      <c r="K1" s="370" t="s">
        <v>76</v>
      </c>
      <c r="L1" s="370" t="s">
        <v>59</v>
      </c>
      <c r="M1" s="380" t="s">
        <v>75</v>
      </c>
      <c r="N1" s="380"/>
    </row>
    <row r="2" spans="1:14" ht="12.75">
      <c r="A2" s="415"/>
      <c r="B2" s="416" t="s">
        <v>16</v>
      </c>
      <c r="C2" s="416" t="s">
        <v>17</v>
      </c>
      <c r="D2" s="417" t="s">
        <v>18</v>
      </c>
      <c r="E2" s="380" t="s">
        <v>56</v>
      </c>
      <c r="F2" s="380" t="s">
        <v>57</v>
      </c>
      <c r="G2" s="380" t="s">
        <v>58</v>
      </c>
      <c r="H2" s="423" t="s">
        <v>16</v>
      </c>
      <c r="I2" s="424" t="s">
        <v>17</v>
      </c>
      <c r="J2" s="425" t="s">
        <v>18</v>
      </c>
      <c r="K2" s="370" t="s">
        <v>77</v>
      </c>
      <c r="L2" s="370" t="s">
        <v>56</v>
      </c>
      <c r="M2" s="380" t="s">
        <v>60</v>
      </c>
      <c r="N2" s="380" t="s">
        <v>61</v>
      </c>
    </row>
    <row r="3" spans="1:14" ht="12.75">
      <c r="A3" s="418">
        <v>1</v>
      </c>
      <c r="B3" s="501">
        <f>'Super Point Data'!A$104</f>
        <v>0</v>
      </c>
      <c r="C3" s="501">
        <f>'Super Point Data'!B$104</f>
        <v>0</v>
      </c>
      <c r="D3" s="501">
        <f>'Super Point Data'!C$104</f>
        <v>0</v>
      </c>
      <c r="E3" s="392">
        <f>SQRT((B3)^2+(C3)^2+(D3)^2)</f>
        <v>0</v>
      </c>
      <c r="F3" s="392">
        <f>E3/12</f>
        <v>0</v>
      </c>
      <c r="G3" s="392">
        <f>F3*0.3048</f>
        <v>0</v>
      </c>
      <c r="H3" s="426"/>
      <c r="I3" s="427"/>
      <c r="J3" s="428"/>
      <c r="K3" s="432">
        <f>IF(AND(ISBLANK(H3),ISBLANK(I3),ISBLANK(J3)),"",SQRT((B3-H3)^2+(C3-I3)^2+(D3-J3)^2))</f>
      </c>
      <c r="L3" s="432">
        <f>IF(AND(ISBLANK(H3),ISBLANK(I3),ISBLANK(J3)),"",0.00002+(G3*0.0000008)+0.000036+(G3*0.000006)*39.3701)</f>
      </c>
      <c r="M3" s="432">
        <f>IF(AND(ISBLANK(H3),ISBLANK(I3),ISBLANK(J3)),"",ABS(K3-L3))</f>
      </c>
      <c r="N3" s="391">
        <f>IF(AND(ISBLANK(H3),ISBLANK(I3),ISBLANK(J3)),"",IF(K3&gt;L3*2,"FAIL","PASS"))</f>
      </c>
    </row>
    <row r="4" spans="1:14" ht="12.75">
      <c r="A4" s="418">
        <v>2</v>
      </c>
      <c r="B4" s="501">
        <f>'Super Point Data'!D$104</f>
        <v>0</v>
      </c>
      <c r="C4" s="501">
        <f>'Super Point Data'!E$104</f>
        <v>0</v>
      </c>
      <c r="D4" s="501">
        <f>'Super Point Data'!F$104</f>
        <v>0</v>
      </c>
      <c r="E4" s="392">
        <f aca="true" t="shared" si="0" ref="E4:E10">SQRT((B4)^2+(C4)^2+(D4)^2)</f>
        <v>0</v>
      </c>
      <c r="F4" s="392">
        <f aca="true" t="shared" si="1" ref="F4:F10">E4/12</f>
        <v>0</v>
      </c>
      <c r="G4" s="392">
        <f aca="true" t="shared" si="2" ref="G4:G10">F4*0.3048</f>
        <v>0</v>
      </c>
      <c r="H4" s="426"/>
      <c r="I4" s="427"/>
      <c r="J4" s="428"/>
      <c r="K4" s="432">
        <f>IF(AND(ISBLANK(H4),ISBLANK(I4),ISBLANK(J4)),"",SQRT((B4-H4)^2+(C4-I4)^2+(D4-J4)^2))</f>
      </c>
      <c r="L4" s="432">
        <f>IF(AND(ISBLANK(H4),ISBLANK(I4),ISBLANK(J4)),"",0.00002+(G4*0.0000008)+0.000036+(G4*0.000006)*39.3701)</f>
      </c>
      <c r="M4" s="432">
        <f>IF(AND(ISBLANK(H4),ISBLANK(I4),ISBLANK(J4)),"",ABS(K4-L4))</f>
      </c>
      <c r="N4" s="391">
        <f>IF(AND(ISBLANK(H4),ISBLANK(I4),ISBLANK(J4)),"",IF(K4&gt;L4*2,"FAIL","PASS"))</f>
      </c>
    </row>
    <row r="5" spans="1:14" ht="12.75">
      <c r="A5" s="418">
        <v>3</v>
      </c>
      <c r="B5" s="501">
        <f>'Super Point Data'!G$104</f>
        <v>0</v>
      </c>
      <c r="C5" s="501">
        <f>'Super Point Data'!H$104</f>
        <v>0</v>
      </c>
      <c r="D5" s="501">
        <f>'Super Point Data'!I$104</f>
        <v>0</v>
      </c>
      <c r="E5" s="392">
        <f t="shared" si="0"/>
        <v>0</v>
      </c>
      <c r="F5" s="392">
        <f t="shared" si="1"/>
        <v>0</v>
      </c>
      <c r="G5" s="392">
        <f t="shared" si="2"/>
        <v>0</v>
      </c>
      <c r="H5" s="426"/>
      <c r="I5" s="427"/>
      <c r="J5" s="428"/>
      <c r="K5" s="432">
        <f aca="true" t="shared" si="3" ref="K5:K10">IF(AND(ISBLANK(H5),ISBLANK(I5),ISBLANK(J5)),"",SQRT((B5-H5)^2+(C5-I5)^2+(D5-J5)^2))</f>
      </c>
      <c r="L5" s="432">
        <f aca="true" t="shared" si="4" ref="L5:L10">IF(AND(ISBLANK(H5),ISBLANK(I5),ISBLANK(J5)),"",0.00002+(G5*0.0000008)+0.000036+(G5*0.000006)*39.3701)</f>
      </c>
      <c r="M5" s="432">
        <f aca="true" t="shared" si="5" ref="M5:M10">IF(AND(ISBLANK(H5),ISBLANK(I5),ISBLANK(J5)),"",ABS(K5-L5))</f>
      </c>
      <c r="N5" s="391">
        <f aca="true" t="shared" si="6" ref="N5:N10">IF(AND(ISBLANK(H5),ISBLANK(I5),ISBLANK(J5)),"",IF(K5&gt;L5*2,"FAIL","PASS"))</f>
      </c>
    </row>
    <row r="6" spans="1:14" ht="12.75">
      <c r="A6" s="418">
        <v>4</v>
      </c>
      <c r="B6" s="501">
        <f>'Super Point Data'!J$104</f>
        <v>0</v>
      </c>
      <c r="C6" s="501">
        <f>'Super Point Data'!K$104</f>
        <v>0</v>
      </c>
      <c r="D6" s="501">
        <f>'Super Point Data'!L$104</f>
        <v>0</v>
      </c>
      <c r="E6" s="392">
        <f t="shared" si="0"/>
        <v>0</v>
      </c>
      <c r="F6" s="392">
        <f t="shared" si="1"/>
        <v>0</v>
      </c>
      <c r="G6" s="392">
        <f t="shared" si="2"/>
        <v>0</v>
      </c>
      <c r="H6" s="426"/>
      <c r="I6" s="427"/>
      <c r="J6" s="428"/>
      <c r="K6" s="432">
        <f t="shared" si="3"/>
      </c>
      <c r="L6" s="432">
        <f t="shared" si="4"/>
      </c>
      <c r="M6" s="432">
        <f t="shared" si="5"/>
      </c>
      <c r="N6" s="391">
        <f t="shared" si="6"/>
      </c>
    </row>
    <row r="7" spans="1:14" ht="12.75">
      <c r="A7" s="418">
        <v>5</v>
      </c>
      <c r="B7" s="501">
        <f>'Super Point Data'!M$104</f>
        <v>0</v>
      </c>
      <c r="C7" s="501">
        <f>'Super Point Data'!N$104</f>
        <v>0</v>
      </c>
      <c r="D7" s="501">
        <f>'Super Point Data'!C$104</f>
        <v>0</v>
      </c>
      <c r="E7" s="392">
        <f t="shared" si="0"/>
        <v>0</v>
      </c>
      <c r="F7" s="392">
        <f t="shared" si="1"/>
        <v>0</v>
      </c>
      <c r="G7" s="392">
        <f t="shared" si="2"/>
        <v>0</v>
      </c>
      <c r="H7" s="426"/>
      <c r="I7" s="427"/>
      <c r="J7" s="428"/>
      <c r="K7" s="432">
        <f t="shared" si="3"/>
      </c>
      <c r="L7" s="432">
        <f t="shared" si="4"/>
      </c>
      <c r="M7" s="432">
        <f t="shared" si="5"/>
      </c>
      <c r="N7" s="391">
        <f t="shared" si="6"/>
      </c>
    </row>
    <row r="8" spans="1:14" ht="12.75">
      <c r="A8" s="418">
        <v>6</v>
      </c>
      <c r="B8" s="501">
        <f>'Super Point Data'!P$104</f>
        <v>0</v>
      </c>
      <c r="C8" s="501">
        <f>'Super Point Data'!Q$104</f>
        <v>0</v>
      </c>
      <c r="D8" s="501">
        <f>'Super Point Data'!R$104</f>
        <v>0</v>
      </c>
      <c r="E8" s="392">
        <f t="shared" si="0"/>
        <v>0</v>
      </c>
      <c r="F8" s="392">
        <f t="shared" si="1"/>
        <v>0</v>
      </c>
      <c r="G8" s="392">
        <f t="shared" si="2"/>
        <v>0</v>
      </c>
      <c r="H8" s="426"/>
      <c r="I8" s="427"/>
      <c r="J8" s="428"/>
      <c r="K8" s="432">
        <f t="shared" si="3"/>
      </c>
      <c r="L8" s="432">
        <f t="shared" si="4"/>
      </c>
      <c r="M8" s="432">
        <f t="shared" si="5"/>
      </c>
      <c r="N8" s="391">
        <f t="shared" si="6"/>
      </c>
    </row>
    <row r="9" spans="1:14" ht="12.75">
      <c r="A9" s="418">
        <v>7</v>
      </c>
      <c r="B9" s="501">
        <f>'Super Point Data'!S$104</f>
        <v>0</v>
      </c>
      <c r="C9" s="501">
        <f>'Super Point Data'!T$104</f>
        <v>0</v>
      </c>
      <c r="D9" s="501">
        <f>'Super Point Data'!U$104</f>
        <v>0</v>
      </c>
      <c r="E9" s="392">
        <f t="shared" si="0"/>
        <v>0</v>
      </c>
      <c r="F9" s="392">
        <f t="shared" si="1"/>
        <v>0</v>
      </c>
      <c r="G9" s="392">
        <f t="shared" si="2"/>
        <v>0</v>
      </c>
      <c r="H9" s="426"/>
      <c r="I9" s="427"/>
      <c r="J9" s="428"/>
      <c r="K9" s="432">
        <f t="shared" si="3"/>
      </c>
      <c r="L9" s="432">
        <f t="shared" si="4"/>
      </c>
      <c r="M9" s="432">
        <f t="shared" si="5"/>
      </c>
      <c r="N9" s="391">
        <f t="shared" si="6"/>
      </c>
    </row>
    <row r="10" spans="1:14" ht="13.5" thickBot="1">
      <c r="A10" s="419">
        <v>8</v>
      </c>
      <c r="B10" s="501">
        <f>'Super Point Data'!V$104</f>
        <v>0</v>
      </c>
      <c r="C10" s="501">
        <f>'Super Point Data'!W$104</f>
        <v>0</v>
      </c>
      <c r="D10" s="501">
        <f>'Super Point Data'!X$104</f>
        <v>0</v>
      </c>
      <c r="E10" s="392">
        <f t="shared" si="0"/>
        <v>0</v>
      </c>
      <c r="F10" s="392">
        <f t="shared" si="1"/>
        <v>0</v>
      </c>
      <c r="G10" s="392">
        <f t="shared" si="2"/>
        <v>0</v>
      </c>
      <c r="H10" s="429"/>
      <c r="I10" s="430"/>
      <c r="J10" s="431"/>
      <c r="K10" s="432">
        <f t="shared" si="3"/>
      </c>
      <c r="L10" s="432">
        <f t="shared" si="4"/>
      </c>
      <c r="M10" s="432">
        <f t="shared" si="5"/>
      </c>
      <c r="N10" s="391">
        <f t="shared" si="6"/>
      </c>
    </row>
    <row r="11" ht="13.5" thickBot="1"/>
    <row r="12" spans="7:10" ht="12.75">
      <c r="G12" s="463"/>
      <c r="H12" s="452" t="s">
        <v>82</v>
      </c>
      <c r="I12" s="453" t="s">
        <v>83</v>
      </c>
      <c r="J12" s="454" t="s">
        <v>84</v>
      </c>
    </row>
    <row r="13" spans="7:11" ht="12.75">
      <c r="G13" s="455">
        <v>1</v>
      </c>
      <c r="H13" s="456">
        <f>B3-H3</f>
        <v>0</v>
      </c>
      <c r="I13" s="457">
        <f>C3-I3</f>
        <v>0</v>
      </c>
      <c r="J13" s="458">
        <f>D3-J3</f>
        <v>0</v>
      </c>
      <c r="K13" s="391"/>
    </row>
    <row r="14" spans="7:11" ht="12.75">
      <c r="G14" s="455">
        <v>2</v>
      </c>
      <c r="H14" s="456">
        <f aca="true" t="shared" si="7" ref="H14:H20">B4-H4</f>
        <v>0</v>
      </c>
      <c r="I14" s="457">
        <f aca="true" t="shared" si="8" ref="I14:I20">C4-I4</f>
        <v>0</v>
      </c>
      <c r="J14" s="458">
        <f aca="true" t="shared" si="9" ref="J14:J20">D4-J4</f>
        <v>0</v>
      </c>
      <c r="K14" s="391"/>
    </row>
    <row r="15" spans="7:11" ht="12.75">
      <c r="G15" s="455">
        <v>3</v>
      </c>
      <c r="H15" s="456">
        <f t="shared" si="7"/>
        <v>0</v>
      </c>
      <c r="I15" s="457">
        <f t="shared" si="8"/>
        <v>0</v>
      </c>
      <c r="J15" s="458">
        <f t="shared" si="9"/>
        <v>0</v>
      </c>
      <c r="K15" s="391"/>
    </row>
    <row r="16" spans="7:11" ht="12.75">
      <c r="G16" s="455">
        <v>4</v>
      </c>
      <c r="H16" s="456">
        <f t="shared" si="7"/>
        <v>0</v>
      </c>
      <c r="I16" s="457">
        <f t="shared" si="8"/>
        <v>0</v>
      </c>
      <c r="J16" s="458">
        <f t="shared" si="9"/>
        <v>0</v>
      </c>
      <c r="K16" s="391"/>
    </row>
    <row r="17" spans="7:11" ht="12.75">
      <c r="G17" s="455">
        <v>5</v>
      </c>
      <c r="H17" s="456">
        <f t="shared" si="7"/>
        <v>0</v>
      </c>
      <c r="I17" s="457">
        <f t="shared" si="8"/>
        <v>0</v>
      </c>
      <c r="J17" s="458">
        <f t="shared" si="9"/>
        <v>0</v>
      </c>
      <c r="K17" s="391"/>
    </row>
    <row r="18" spans="7:11" ht="12.75">
      <c r="G18" s="455">
        <v>6</v>
      </c>
      <c r="H18" s="456">
        <f t="shared" si="7"/>
        <v>0</v>
      </c>
      <c r="I18" s="457">
        <f t="shared" si="8"/>
        <v>0</v>
      </c>
      <c r="J18" s="458">
        <f t="shared" si="9"/>
        <v>0</v>
      </c>
      <c r="K18" s="391"/>
    </row>
    <row r="19" spans="7:11" ht="12.75">
      <c r="G19" s="455">
        <v>7</v>
      </c>
      <c r="H19" s="456">
        <f t="shared" si="7"/>
        <v>0</v>
      </c>
      <c r="I19" s="457">
        <f t="shared" si="8"/>
        <v>0</v>
      </c>
      <c r="J19" s="458">
        <f t="shared" si="9"/>
        <v>0</v>
      </c>
      <c r="K19" s="391"/>
    </row>
    <row r="20" spans="7:11" ht="13.5" thickBot="1">
      <c r="G20" s="459">
        <v>8</v>
      </c>
      <c r="H20" s="460">
        <f t="shared" si="7"/>
        <v>0</v>
      </c>
      <c r="I20" s="461">
        <f t="shared" si="8"/>
        <v>0</v>
      </c>
      <c r="J20" s="462">
        <f t="shared" si="9"/>
        <v>0</v>
      </c>
      <c r="K20" s="391"/>
    </row>
    <row r="24" ht="13.5" thickBot="1"/>
    <row r="25" spans="1:11" ht="18.75" thickBot="1">
      <c r="A25" s="390" t="s">
        <v>62</v>
      </c>
      <c r="B25" s="386"/>
      <c r="C25" s="386"/>
      <c r="D25" s="386"/>
      <c r="E25" s="385"/>
      <c r="F25" s="386" t="s">
        <v>63</v>
      </c>
      <c r="G25" s="386"/>
      <c r="H25" s="387"/>
      <c r="I25" s="386" t="s">
        <v>64</v>
      </c>
      <c r="J25" s="386"/>
      <c r="K25" s="387"/>
    </row>
    <row r="26" spans="1:11" ht="12.75">
      <c r="A26" s="394" t="s">
        <v>65</v>
      </c>
      <c r="B26" s="394" t="s">
        <v>65</v>
      </c>
      <c r="C26" s="394" t="s">
        <v>66</v>
      </c>
      <c r="D26" s="394" t="s">
        <v>67</v>
      </c>
      <c r="E26" s="388"/>
      <c r="F26" s="1" t="s">
        <v>59</v>
      </c>
      <c r="G26" s="1"/>
      <c r="H26" s="389"/>
      <c r="I26" s="1" t="s">
        <v>68</v>
      </c>
      <c r="J26" s="2"/>
      <c r="K26" s="393" t="s">
        <v>65</v>
      </c>
    </row>
    <row r="27" spans="1:11" ht="13.5" thickBot="1">
      <c r="A27" s="395" t="s">
        <v>57</v>
      </c>
      <c r="B27" s="395" t="s">
        <v>69</v>
      </c>
      <c r="C27" s="395" t="s">
        <v>69</v>
      </c>
      <c r="D27" s="395" t="s">
        <v>69</v>
      </c>
      <c r="E27" s="388"/>
      <c r="F27" s="2" t="s">
        <v>69</v>
      </c>
      <c r="G27" s="1"/>
      <c r="H27" s="393" t="s">
        <v>70</v>
      </c>
      <c r="I27" s="1"/>
      <c r="J27" s="2" t="s">
        <v>70</v>
      </c>
      <c r="K27" s="393" t="s">
        <v>71</v>
      </c>
    </row>
    <row r="28" spans="1:11" ht="12.75">
      <c r="A28" s="396">
        <v>0</v>
      </c>
      <c r="B28" s="396">
        <f>A28*0.3048</f>
        <v>0</v>
      </c>
      <c r="C28" s="397">
        <f>0.00002+(B28*0.0000008)</f>
        <v>2E-05</v>
      </c>
      <c r="D28" s="397">
        <f>0.000036+(B28*0.000006)</f>
        <v>3.6E-05</v>
      </c>
      <c r="E28" s="400" t="s">
        <v>72</v>
      </c>
      <c r="F28" s="401">
        <f aca="true" t="shared" si="10" ref="F28:F36">C28+D28</f>
        <v>5.6000000000000006E-05</v>
      </c>
      <c r="G28" s="402" t="s">
        <v>72</v>
      </c>
      <c r="H28" s="403">
        <f aca="true" t="shared" si="11" ref="H28:H36">F28*39.3701</f>
        <v>0.0022047256000000005</v>
      </c>
      <c r="I28" s="402" t="s">
        <v>72</v>
      </c>
      <c r="J28" s="401">
        <f aca="true" t="shared" si="12" ref="J28:J36">H28/2</f>
        <v>0.0011023628000000002</v>
      </c>
      <c r="K28" s="403">
        <v>0</v>
      </c>
    </row>
    <row r="29" spans="1:11" ht="12.75">
      <c r="A29" s="396">
        <v>5</v>
      </c>
      <c r="B29" s="396">
        <f aca="true" t="shared" si="13" ref="B29:B36">A29*0.3048</f>
        <v>1.524</v>
      </c>
      <c r="C29" s="397">
        <f aca="true" t="shared" si="14" ref="C29:C36">0.00002+(B29*0.0000008)</f>
        <v>2.1219200000000002E-05</v>
      </c>
      <c r="D29" s="397">
        <f aca="true" t="shared" si="15" ref="D29:D36">0.000036+(B29*0.000006)</f>
        <v>4.5144E-05</v>
      </c>
      <c r="E29" s="404" t="s">
        <v>72</v>
      </c>
      <c r="F29" s="405">
        <f t="shared" si="10"/>
        <v>6.63632E-05</v>
      </c>
      <c r="G29" s="406" t="s">
        <v>72</v>
      </c>
      <c r="H29" s="407">
        <f t="shared" si="11"/>
        <v>0.00261272582032</v>
      </c>
      <c r="I29" s="406" t="s">
        <v>72</v>
      </c>
      <c r="J29" s="405">
        <f t="shared" si="12"/>
        <v>0.00130636291016</v>
      </c>
      <c r="K29" s="407">
        <v>5</v>
      </c>
    </row>
    <row r="30" spans="1:11" ht="12.75">
      <c r="A30" s="396">
        <v>10</v>
      </c>
      <c r="B30" s="396">
        <f t="shared" si="13"/>
        <v>3.048</v>
      </c>
      <c r="C30" s="397">
        <f t="shared" si="14"/>
        <v>2.2438400000000002E-05</v>
      </c>
      <c r="D30" s="397">
        <f t="shared" si="15"/>
        <v>5.4288000000000006E-05</v>
      </c>
      <c r="E30" s="404" t="s">
        <v>72</v>
      </c>
      <c r="F30" s="405">
        <f t="shared" si="10"/>
        <v>7.672640000000001E-05</v>
      </c>
      <c r="G30" s="406" t="s">
        <v>72</v>
      </c>
      <c r="H30" s="407">
        <f t="shared" si="11"/>
        <v>0.0030207260406400005</v>
      </c>
      <c r="I30" s="406" t="s">
        <v>72</v>
      </c>
      <c r="J30" s="405">
        <f t="shared" si="12"/>
        <v>0.0015103630203200003</v>
      </c>
      <c r="K30" s="407">
        <v>10</v>
      </c>
    </row>
    <row r="31" spans="1:11" ht="12.75">
      <c r="A31" s="396">
        <v>15</v>
      </c>
      <c r="B31" s="396">
        <f t="shared" si="13"/>
        <v>4.572</v>
      </c>
      <c r="C31" s="397">
        <f t="shared" si="14"/>
        <v>2.3657600000000002E-05</v>
      </c>
      <c r="D31" s="397">
        <f t="shared" si="15"/>
        <v>6.3432E-05</v>
      </c>
      <c r="E31" s="404" t="s">
        <v>72</v>
      </c>
      <c r="F31" s="405">
        <f t="shared" si="10"/>
        <v>8.708960000000001E-05</v>
      </c>
      <c r="G31" s="406" t="s">
        <v>72</v>
      </c>
      <c r="H31" s="407">
        <f t="shared" si="11"/>
        <v>0.0034287262609600006</v>
      </c>
      <c r="I31" s="406" t="s">
        <v>72</v>
      </c>
      <c r="J31" s="405">
        <f t="shared" si="12"/>
        <v>0.0017143631304800003</v>
      </c>
      <c r="K31" s="407">
        <v>15</v>
      </c>
    </row>
    <row r="32" spans="1:11" ht="12.75">
      <c r="A32" s="396">
        <v>20</v>
      </c>
      <c r="B32" s="396">
        <f t="shared" si="13"/>
        <v>6.096</v>
      </c>
      <c r="C32" s="397">
        <f t="shared" si="14"/>
        <v>2.4876800000000002E-05</v>
      </c>
      <c r="D32" s="397">
        <f t="shared" si="15"/>
        <v>7.2576E-05</v>
      </c>
      <c r="E32" s="404" t="s">
        <v>72</v>
      </c>
      <c r="F32" s="405">
        <f t="shared" si="10"/>
        <v>9.74528E-05</v>
      </c>
      <c r="G32" s="406" t="s">
        <v>72</v>
      </c>
      <c r="H32" s="407">
        <f t="shared" si="11"/>
        <v>0.00383672648128</v>
      </c>
      <c r="I32" s="406" t="s">
        <v>72</v>
      </c>
      <c r="J32" s="405">
        <f t="shared" si="12"/>
        <v>0.00191836324064</v>
      </c>
      <c r="K32" s="407">
        <v>20</v>
      </c>
    </row>
    <row r="33" spans="1:11" ht="12.75">
      <c r="A33" s="396">
        <v>25</v>
      </c>
      <c r="B33" s="396">
        <f t="shared" si="13"/>
        <v>7.62</v>
      </c>
      <c r="C33" s="397">
        <f t="shared" si="14"/>
        <v>2.6096000000000002E-05</v>
      </c>
      <c r="D33" s="397">
        <f t="shared" si="15"/>
        <v>8.172E-05</v>
      </c>
      <c r="E33" s="404" t="s">
        <v>72</v>
      </c>
      <c r="F33" s="405">
        <f t="shared" si="10"/>
        <v>0.000107816</v>
      </c>
      <c r="G33" s="406" t="s">
        <v>72</v>
      </c>
      <c r="H33" s="407">
        <f t="shared" si="11"/>
        <v>0.0042447267016</v>
      </c>
      <c r="I33" s="406" t="s">
        <v>72</v>
      </c>
      <c r="J33" s="405">
        <f t="shared" si="12"/>
        <v>0.0021223633508</v>
      </c>
      <c r="K33" s="407">
        <v>25</v>
      </c>
    </row>
    <row r="34" spans="1:11" ht="12.75">
      <c r="A34" s="396">
        <v>30</v>
      </c>
      <c r="B34" s="396">
        <f t="shared" si="13"/>
        <v>9.144</v>
      </c>
      <c r="C34" s="397">
        <f t="shared" si="14"/>
        <v>2.7315200000000002E-05</v>
      </c>
      <c r="D34" s="397">
        <f t="shared" si="15"/>
        <v>9.0864E-05</v>
      </c>
      <c r="E34" s="404" t="s">
        <v>72</v>
      </c>
      <c r="F34" s="405">
        <f t="shared" si="10"/>
        <v>0.00011817920000000001</v>
      </c>
      <c r="G34" s="406" t="s">
        <v>72</v>
      </c>
      <c r="H34" s="407">
        <f t="shared" si="11"/>
        <v>0.004652726921920001</v>
      </c>
      <c r="I34" s="406" t="s">
        <v>72</v>
      </c>
      <c r="J34" s="405">
        <f t="shared" si="12"/>
        <v>0.0023263634609600003</v>
      </c>
      <c r="K34" s="407">
        <v>30</v>
      </c>
    </row>
    <row r="35" spans="1:11" ht="12.75">
      <c r="A35" s="396">
        <v>35</v>
      </c>
      <c r="B35" s="396">
        <f t="shared" si="13"/>
        <v>10.668000000000001</v>
      </c>
      <c r="C35" s="397">
        <f t="shared" si="14"/>
        <v>2.8534400000000002E-05</v>
      </c>
      <c r="D35" s="397">
        <f t="shared" si="15"/>
        <v>0.00010000800000000001</v>
      </c>
      <c r="E35" s="404" t="s">
        <v>72</v>
      </c>
      <c r="F35" s="405">
        <f t="shared" si="10"/>
        <v>0.00012854240000000002</v>
      </c>
      <c r="G35" s="406" t="s">
        <v>72</v>
      </c>
      <c r="H35" s="407">
        <f t="shared" si="11"/>
        <v>0.005060727142240001</v>
      </c>
      <c r="I35" s="406" t="s">
        <v>72</v>
      </c>
      <c r="J35" s="405">
        <f t="shared" si="12"/>
        <v>0.0025303635711200006</v>
      </c>
      <c r="K35" s="407">
        <v>35</v>
      </c>
    </row>
    <row r="36" spans="1:11" ht="13.5" thickBot="1">
      <c r="A36" s="398">
        <v>40</v>
      </c>
      <c r="B36" s="398">
        <f t="shared" si="13"/>
        <v>12.192</v>
      </c>
      <c r="C36" s="399">
        <f t="shared" si="14"/>
        <v>2.97536E-05</v>
      </c>
      <c r="D36" s="399">
        <f t="shared" si="15"/>
        <v>0.000109152</v>
      </c>
      <c r="E36" s="408" t="s">
        <v>72</v>
      </c>
      <c r="F36" s="409">
        <f t="shared" si="10"/>
        <v>0.0001389056</v>
      </c>
      <c r="G36" s="410" t="s">
        <v>72</v>
      </c>
      <c r="H36" s="411">
        <f t="shared" si="11"/>
        <v>0.00546872736256</v>
      </c>
      <c r="I36" s="410" t="s">
        <v>72</v>
      </c>
      <c r="J36" s="409">
        <f t="shared" si="12"/>
        <v>0.00273436368128</v>
      </c>
      <c r="K36" s="411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faro preferred user</cp:lastModifiedBy>
  <cp:lastPrinted>2007-07-27T13:55:28Z</cp:lastPrinted>
  <dcterms:created xsi:type="dcterms:W3CDTF">2007-07-06T13:15:08Z</dcterms:created>
  <dcterms:modified xsi:type="dcterms:W3CDTF">2007-11-01T15:13:27Z</dcterms:modified>
  <cp:category/>
  <cp:version/>
  <cp:contentType/>
  <cp:contentStatus/>
</cp:coreProperties>
</file>