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731" yWindow="2880" windowWidth="17475" windowHeight="5175" activeTab="0"/>
  </bookViews>
  <sheets>
    <sheet name="Input Data" sheetId="1" r:id="rId1"/>
    <sheet name="offsets" sheetId="2" r:id="rId2"/>
    <sheet name="Adjustments" sheetId="3" r:id="rId3"/>
    <sheet name="Stability Checks" sheetId="4" r:id="rId4"/>
  </sheets>
  <definedNames/>
  <calcPr fullCalcOnLoad="1"/>
</workbook>
</file>

<file path=xl/sharedStrings.xml><?xml version="1.0" encoding="utf-8"?>
<sst xmlns="http://schemas.openxmlformats.org/spreadsheetml/2006/main" count="344" uniqueCount="102">
  <si>
    <t>Point</t>
  </si>
  <si>
    <t>x</t>
  </si>
  <si>
    <t>y</t>
  </si>
  <si>
    <t>z</t>
  </si>
  <si>
    <t>Normal</t>
  </si>
  <si>
    <t>Gamma</t>
  </si>
  <si>
    <t>Gzero</t>
  </si>
  <si>
    <t>Lzero</t>
  </si>
  <si>
    <t>gamma x L0</t>
  </si>
  <si>
    <t>G0 * gamma</t>
  </si>
  <si>
    <t>point on plane</t>
  </si>
  <si>
    <t>Offset</t>
  </si>
  <si>
    <t>phi</t>
  </si>
  <si>
    <t>psi</t>
  </si>
  <si>
    <t>Datum D</t>
  </si>
  <si>
    <t>ID</t>
  </si>
  <si>
    <t>X</t>
  </si>
  <si>
    <t>Y</t>
  </si>
  <si>
    <t>Z</t>
  </si>
  <si>
    <t>Our_z</t>
  </si>
  <si>
    <t>Max</t>
  </si>
  <si>
    <t>Min</t>
  </si>
  <si>
    <t>Range</t>
  </si>
  <si>
    <t>Our_ref</t>
  </si>
  <si>
    <t>Major_ref</t>
  </si>
  <si>
    <t>Our_delta</t>
  </si>
  <si>
    <t>adjustment</t>
  </si>
  <si>
    <t>comp_adj</t>
  </si>
  <si>
    <t>Unit normal</t>
  </si>
  <si>
    <t>(sheet 2)</t>
  </si>
  <si>
    <t>Unit Vectors Normal to Datum Planes</t>
  </si>
  <si>
    <t>Datum E</t>
  </si>
  <si>
    <t>Winding_z</t>
  </si>
  <si>
    <t>Dist_E</t>
  </si>
  <si>
    <t>Dist_D</t>
  </si>
  <si>
    <t>Winding_delta</t>
  </si>
  <si>
    <t>Reference Plane Points</t>
  </si>
  <si>
    <t>Det(A) =</t>
  </si>
  <si>
    <t>Det(A1) =</t>
  </si>
  <si>
    <t>Det(A2) =</t>
  </si>
  <si>
    <t>Det(A3) =</t>
  </si>
  <si>
    <t>Monument Coordinates</t>
  </si>
  <si>
    <t>Go/No go</t>
  </si>
  <si>
    <t>PASTE VALUES INTO APPROPRIATE CELLS</t>
  </si>
  <si>
    <t>Coil / Fudicial Reference Coordinates per Art Brooks</t>
  </si>
  <si>
    <t>Measured Data Points</t>
  </si>
  <si>
    <t>Enter a 1 next to the Coil Type used</t>
  </si>
  <si>
    <t>Coil A</t>
  </si>
  <si>
    <t>Coil B</t>
  </si>
  <si>
    <t>Coil C</t>
  </si>
  <si>
    <t>Enter a 1 to indicate which Datum faces Up.</t>
  </si>
  <si>
    <t>Datum D Up</t>
  </si>
  <si>
    <t>Datum E Up</t>
  </si>
  <si>
    <t>Degrees</t>
  </si>
  <si>
    <t>Super Point Globals</t>
  </si>
  <si>
    <t>Distance</t>
  </si>
  <si>
    <t>(inch)</t>
  </si>
  <si>
    <t>(feet)</t>
  </si>
  <si>
    <t>(meters)</t>
  </si>
  <si>
    <t>MPE</t>
  </si>
  <si>
    <t>Tolerance</t>
  </si>
  <si>
    <t>Pass/Fail</t>
  </si>
  <si>
    <t>Error Per Distance Guide</t>
  </si>
  <si>
    <t>Maximum Permissible Error</t>
  </si>
  <si>
    <t>Typical Performance</t>
  </si>
  <si>
    <t>Length</t>
  </si>
  <si>
    <t>Abs Dist Error</t>
  </si>
  <si>
    <t>Trans Error</t>
  </si>
  <si>
    <t>MPE/2</t>
  </si>
  <si>
    <t xml:space="preserve"> (meters)</t>
  </si>
  <si>
    <t>(inches)</t>
  </si>
  <si>
    <t>(ft)</t>
  </si>
  <si>
    <t>±</t>
  </si>
  <si>
    <t>POINT DATA</t>
  </si>
  <si>
    <t xml:space="preserve">Difference to </t>
  </si>
  <si>
    <t>3D Distance</t>
  </si>
  <si>
    <t>to Super Pt</t>
  </si>
  <si>
    <t>Datum D Angle</t>
  </si>
  <si>
    <t>Dist_D or Dist_E Selection</t>
  </si>
  <si>
    <t>Direction of Coil Flange</t>
  </si>
  <si>
    <t>Datum E Angle</t>
  </si>
  <si>
    <t>dx</t>
  </si>
  <si>
    <t>dy</t>
  </si>
  <si>
    <t>dz</t>
  </si>
  <si>
    <t>"remaining"</t>
  </si>
  <si>
    <t>AVERAGE</t>
  </si>
  <si>
    <t>Adjustment History - Trending</t>
  </si>
  <si>
    <t>FOR CHART</t>
  </si>
  <si>
    <t>AVG</t>
  </si>
  <si>
    <t>Adjust</t>
  </si>
  <si>
    <t>Comp</t>
  </si>
  <si>
    <t>initial 1</t>
  </si>
  <si>
    <t>Fudicial #</t>
  </si>
  <si>
    <t>Measured</t>
  </si>
  <si>
    <t>gamma dot offset</t>
  </si>
  <si>
    <t>Nominals</t>
  </si>
  <si>
    <t>050208 Initial</t>
  </si>
  <si>
    <t>050208 Post Adj 1</t>
  </si>
  <si>
    <t>050508 Post Adj 2</t>
  </si>
  <si>
    <t>st Adj 3</t>
  </si>
  <si>
    <t>050708 Post Adj 5</t>
  </si>
  <si>
    <t>051208  post adj 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</si>
</sst>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E+00"/>
    <numFmt numFmtId="166" formatCode="0.000"/>
    <numFmt numFmtId="167" formatCode="0.00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b/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ck"/>
      <top>
        <color indexed="63"/>
      </top>
      <bottom style="thin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medium"/>
    </border>
    <border>
      <left style="thick"/>
      <right style="thick"/>
      <top style="medium"/>
      <bottom style="thin"/>
    </border>
    <border>
      <left style="thick"/>
      <right style="medium"/>
      <top style="medium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medium"/>
      <top style="thin"/>
      <bottom style="thin"/>
    </border>
    <border>
      <left style="thick"/>
      <right style="thick"/>
      <top style="thin"/>
      <bottom style="medium"/>
    </border>
    <border>
      <left style="thick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4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166" fontId="0" fillId="2" borderId="6" xfId="0" applyNumberFormat="1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167" fontId="0" fillId="3" borderId="9" xfId="0" applyNumberFormat="1" applyFill="1" applyBorder="1" applyAlignment="1">
      <alignment/>
    </xf>
    <xf numFmtId="167" fontId="0" fillId="3" borderId="14" xfId="0" applyNumberFormat="1" applyFill="1" applyBorder="1" applyAlignment="1">
      <alignment/>
    </xf>
    <xf numFmtId="0" fontId="4" fillId="3" borderId="15" xfId="0" applyFont="1" applyFill="1" applyBorder="1" applyAlignment="1">
      <alignment/>
    </xf>
    <xf numFmtId="167" fontId="0" fillId="3" borderId="7" xfId="0" applyNumberFormat="1" applyFill="1" applyBorder="1" applyAlignment="1">
      <alignment/>
    </xf>
    <xf numFmtId="167" fontId="0" fillId="3" borderId="12" xfId="0" applyNumberFormat="1" applyFill="1" applyBorder="1" applyAlignment="1">
      <alignment/>
    </xf>
    <xf numFmtId="0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6" fontId="4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66" fontId="4" fillId="0" borderId="20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6" borderId="32" xfId="0" applyFont="1" applyFill="1" applyBorder="1" applyAlignment="1">
      <alignment horizontal="center"/>
    </xf>
    <xf numFmtId="0" fontId="4" fillId="6" borderId="33" xfId="0" applyFont="1" applyFill="1" applyBorder="1" applyAlignment="1">
      <alignment horizontal="center"/>
    </xf>
    <xf numFmtId="164" fontId="0" fillId="5" borderId="34" xfId="0" applyNumberFormat="1" applyFill="1" applyBorder="1" applyAlignment="1">
      <alignment horizontal="center"/>
    </xf>
    <xf numFmtId="164" fontId="0" fillId="5" borderId="28" xfId="0" applyNumberFormat="1" applyFill="1" applyBorder="1" applyAlignment="1" quotePrefix="1">
      <alignment horizontal="center"/>
    </xf>
    <xf numFmtId="164" fontId="0" fillId="5" borderId="34" xfId="0" applyNumberFormat="1" applyFill="1" applyBorder="1" applyAlignment="1" quotePrefix="1">
      <alignment horizontal="center"/>
    </xf>
    <xf numFmtId="164" fontId="0" fillId="5" borderId="35" xfId="0" applyNumberFormat="1" applyFill="1" applyBorder="1" applyAlignment="1" quotePrefix="1">
      <alignment horizontal="center"/>
    </xf>
    <xf numFmtId="164" fontId="0" fillId="5" borderId="28" xfId="0" applyNumberFormat="1" applyFill="1" applyBorder="1" applyAlignment="1">
      <alignment horizontal="center"/>
    </xf>
    <xf numFmtId="164" fontId="0" fillId="2" borderId="25" xfId="0" applyNumberFormat="1" applyFill="1" applyBorder="1" applyAlignment="1" quotePrefix="1">
      <alignment horizontal="center"/>
    </xf>
    <xf numFmtId="164" fontId="0" fillId="2" borderId="36" xfId="0" applyNumberFormat="1" applyFill="1" applyBorder="1" applyAlignment="1" quotePrefix="1">
      <alignment horizontal="center"/>
    </xf>
    <xf numFmtId="164" fontId="0" fillId="2" borderId="37" xfId="0" applyNumberFormat="1" applyFill="1" applyBorder="1" applyAlignment="1" quotePrefix="1">
      <alignment horizontal="center"/>
    </xf>
    <xf numFmtId="164" fontId="0" fillId="2" borderId="30" xfId="0" applyNumberFormat="1" applyFill="1" applyBorder="1" applyAlignment="1" quotePrefix="1">
      <alignment horizontal="center"/>
    </xf>
    <xf numFmtId="164" fontId="0" fillId="2" borderId="38" xfId="0" applyNumberFormat="1" applyFill="1" applyBorder="1" applyAlignment="1" quotePrefix="1">
      <alignment horizontal="center"/>
    </xf>
    <xf numFmtId="0" fontId="0" fillId="0" borderId="0" xfId="0" applyAlignment="1">
      <alignment horizontal="center"/>
    </xf>
    <xf numFmtId="164" fontId="0" fillId="0" borderId="28" xfId="0" applyNumberFormat="1" applyBorder="1" applyAlignment="1" quotePrefix="1">
      <alignment horizontal="center"/>
    </xf>
    <xf numFmtId="164" fontId="0" fillId="0" borderId="29" xfId="0" applyNumberFormat="1" applyBorder="1" applyAlignment="1" quotePrefix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7" fillId="7" borderId="0" xfId="0" applyFont="1" applyFill="1" applyAlignment="1">
      <alignment/>
    </xf>
    <xf numFmtId="166" fontId="0" fillId="2" borderId="11" xfId="0" applyNumberFormat="1" applyFill="1" applyBorder="1" applyAlignment="1">
      <alignment horizontal="center"/>
    </xf>
    <xf numFmtId="166" fontId="0" fillId="2" borderId="12" xfId="0" applyNumberFormat="1" applyFill="1" applyBorder="1" applyAlignment="1">
      <alignment horizontal="center"/>
    </xf>
    <xf numFmtId="0" fontId="0" fillId="2" borderId="32" xfId="0" applyFill="1" applyBorder="1" applyAlignment="1">
      <alignment/>
    </xf>
    <xf numFmtId="0" fontId="4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166" fontId="0" fillId="2" borderId="41" xfId="0" applyNumberFormat="1" applyFill="1" applyBorder="1" applyAlignment="1">
      <alignment horizontal="center"/>
    </xf>
    <xf numFmtId="166" fontId="0" fillId="2" borderId="42" xfId="0" applyNumberFormat="1" applyFill="1" applyBorder="1" applyAlignment="1">
      <alignment horizontal="center"/>
    </xf>
    <xf numFmtId="1" fontId="0" fillId="2" borderId="43" xfId="0" applyNumberFormat="1" applyFill="1" applyBorder="1" applyAlignment="1">
      <alignment horizontal="center"/>
    </xf>
    <xf numFmtId="2" fontId="0" fillId="2" borderId="41" xfId="0" applyNumberForma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49" fontId="4" fillId="2" borderId="46" xfId="0" applyNumberFormat="1" applyFont="1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164" fontId="0" fillId="2" borderId="48" xfId="0" applyNumberFormat="1" applyFill="1" applyBorder="1" applyAlignment="1">
      <alignment horizontal="center"/>
    </xf>
    <xf numFmtId="49" fontId="0" fillId="2" borderId="49" xfId="0" applyNumberForma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8" fillId="3" borderId="9" xfId="0" applyFont="1" applyFill="1" applyBorder="1" applyAlignment="1">
      <alignment horizontal="center"/>
    </xf>
    <xf numFmtId="0" fontId="8" fillId="3" borderId="14" xfId="0" applyFont="1" applyFill="1" applyBorder="1" applyAlignment="1">
      <alignment/>
    </xf>
    <xf numFmtId="0" fontId="8" fillId="3" borderId="1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164" fontId="1" fillId="3" borderId="6" xfId="0" applyNumberFormat="1" applyFont="1" applyFill="1" applyBorder="1" applyAlignment="1" quotePrefix="1">
      <alignment horizontal="center"/>
    </xf>
    <xf numFmtId="164" fontId="1" fillId="3" borderId="11" xfId="0" applyNumberFormat="1" applyFont="1" applyFill="1" applyBorder="1" applyAlignment="1" quotePrefix="1">
      <alignment horizontal="center"/>
    </xf>
    <xf numFmtId="164" fontId="1" fillId="3" borderId="50" xfId="0" applyNumberFormat="1" applyFont="1" applyFill="1" applyBorder="1" applyAlignment="1" quotePrefix="1">
      <alignment horizontal="center"/>
    </xf>
    <xf numFmtId="0" fontId="8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 quotePrefix="1">
      <alignment horizontal="center"/>
    </xf>
    <xf numFmtId="164" fontId="1" fillId="3" borderId="51" xfId="0" applyNumberFormat="1" applyFont="1" applyFill="1" applyBorder="1" applyAlignment="1" quotePrefix="1">
      <alignment horizontal="center"/>
    </xf>
    <xf numFmtId="164" fontId="8" fillId="0" borderId="52" xfId="0" applyNumberFormat="1" applyFont="1" applyFill="1" applyBorder="1" applyAlignment="1" quotePrefix="1">
      <alignment horizontal="center"/>
    </xf>
    <xf numFmtId="0" fontId="8" fillId="8" borderId="8" xfId="0" applyFont="1" applyFill="1" applyBorder="1" applyAlignment="1">
      <alignment horizontal="center"/>
    </xf>
    <xf numFmtId="164" fontId="8" fillId="8" borderId="9" xfId="0" applyNumberFormat="1" applyFont="1" applyFill="1" applyBorder="1" applyAlignment="1">
      <alignment horizontal="center"/>
    </xf>
    <xf numFmtId="0" fontId="1" fillId="8" borderId="9" xfId="0" applyFont="1" applyFill="1" applyBorder="1" applyAlignment="1">
      <alignment/>
    </xf>
    <xf numFmtId="0" fontId="8" fillId="8" borderId="9" xfId="0" applyFont="1" applyFill="1" applyBorder="1" applyAlignment="1">
      <alignment horizontal="center"/>
    </xf>
    <xf numFmtId="0" fontId="8" fillId="8" borderId="14" xfId="0" applyFont="1" applyFill="1" applyBorder="1" applyAlignment="1">
      <alignment/>
    </xf>
    <xf numFmtId="0" fontId="8" fillId="8" borderId="10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164" fontId="1" fillId="8" borderId="6" xfId="0" applyNumberFormat="1" applyFont="1" applyFill="1" applyBorder="1" applyAlignment="1" quotePrefix="1">
      <alignment horizontal="center"/>
    </xf>
    <xf numFmtId="164" fontId="1" fillId="8" borderId="11" xfId="0" applyNumberFormat="1" applyFont="1" applyFill="1" applyBorder="1" applyAlignment="1" quotePrefix="1">
      <alignment horizontal="center"/>
    </xf>
    <xf numFmtId="164" fontId="1" fillId="8" borderId="50" xfId="0" applyNumberFormat="1" applyFont="1" applyFill="1" applyBorder="1" applyAlignment="1" quotePrefix="1">
      <alignment horizontal="center"/>
    </xf>
    <xf numFmtId="0" fontId="8" fillId="8" borderId="7" xfId="0" applyFont="1" applyFill="1" applyBorder="1" applyAlignment="1">
      <alignment horizontal="center"/>
    </xf>
    <xf numFmtId="164" fontId="1" fillId="8" borderId="7" xfId="0" applyNumberFormat="1" applyFont="1" applyFill="1" applyBorder="1" applyAlignment="1" quotePrefix="1">
      <alignment horizontal="center"/>
    </xf>
    <xf numFmtId="164" fontId="1" fillId="8" borderId="51" xfId="0" applyNumberFormat="1" applyFont="1" applyFill="1" applyBorder="1" applyAlignment="1" quotePrefix="1">
      <alignment horizontal="center"/>
    </xf>
    <xf numFmtId="0" fontId="8" fillId="2" borderId="8" xfId="0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8" fillId="2" borderId="9" xfId="0" applyFont="1" applyFill="1" applyBorder="1" applyAlignment="1">
      <alignment horizontal="center"/>
    </xf>
    <xf numFmtId="0" fontId="8" fillId="2" borderId="14" xfId="0" applyFont="1" applyFill="1" applyBorder="1" applyAlignment="1">
      <alignment/>
    </xf>
    <xf numFmtId="0" fontId="8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4" fontId="1" fillId="2" borderId="6" xfId="0" applyNumberFormat="1" applyFont="1" applyFill="1" applyBorder="1" applyAlignment="1" quotePrefix="1">
      <alignment horizontal="center"/>
    </xf>
    <xf numFmtId="164" fontId="1" fillId="2" borderId="11" xfId="0" applyNumberFormat="1" applyFont="1" applyFill="1" applyBorder="1" applyAlignment="1" quotePrefix="1">
      <alignment horizontal="center"/>
    </xf>
    <xf numFmtId="164" fontId="1" fillId="2" borderId="50" xfId="0" applyNumberFormat="1" applyFont="1" applyFill="1" applyBorder="1" applyAlignment="1" quotePrefix="1">
      <alignment horizontal="center"/>
    </xf>
    <xf numFmtId="0" fontId="8" fillId="2" borderId="7" xfId="0" applyFont="1" applyFill="1" applyBorder="1" applyAlignment="1">
      <alignment horizontal="center"/>
    </xf>
    <xf numFmtId="164" fontId="1" fillId="2" borderId="7" xfId="0" applyNumberFormat="1" applyFont="1" applyFill="1" applyBorder="1" applyAlignment="1" quotePrefix="1">
      <alignment horizontal="center"/>
    </xf>
    <xf numFmtId="164" fontId="1" fillId="2" borderId="51" xfId="0" applyNumberFormat="1" applyFont="1" applyFill="1" applyBorder="1" applyAlignment="1" quotePrefix="1">
      <alignment horizontal="center"/>
    </xf>
    <xf numFmtId="0" fontId="8" fillId="6" borderId="8" xfId="0" applyFont="1" applyFill="1" applyBorder="1" applyAlignment="1">
      <alignment horizontal="center"/>
    </xf>
    <xf numFmtId="164" fontId="8" fillId="6" borderId="9" xfId="0" applyNumberFormat="1" applyFont="1" applyFill="1" applyBorder="1" applyAlignment="1">
      <alignment horizontal="center"/>
    </xf>
    <xf numFmtId="0" fontId="1" fillId="6" borderId="9" xfId="0" applyFont="1" applyFill="1" applyBorder="1" applyAlignment="1">
      <alignment/>
    </xf>
    <xf numFmtId="0" fontId="8" fillId="6" borderId="9" xfId="0" applyFont="1" applyFill="1" applyBorder="1" applyAlignment="1">
      <alignment horizontal="center"/>
    </xf>
    <xf numFmtId="0" fontId="8" fillId="6" borderId="14" xfId="0" applyFont="1" applyFill="1" applyBorder="1" applyAlignment="1">
      <alignment/>
    </xf>
    <xf numFmtId="0" fontId="8" fillId="6" borderId="10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164" fontId="1" fillId="6" borderId="6" xfId="0" applyNumberFormat="1" applyFont="1" applyFill="1" applyBorder="1" applyAlignment="1" quotePrefix="1">
      <alignment horizontal="center"/>
    </xf>
    <xf numFmtId="164" fontId="1" fillId="6" borderId="11" xfId="0" applyNumberFormat="1" applyFont="1" applyFill="1" applyBorder="1" applyAlignment="1" quotePrefix="1">
      <alignment horizontal="center"/>
    </xf>
    <xf numFmtId="164" fontId="1" fillId="6" borderId="50" xfId="0" applyNumberFormat="1" applyFont="1" applyFill="1" applyBorder="1" applyAlignment="1" quotePrefix="1">
      <alignment horizontal="center"/>
    </xf>
    <xf numFmtId="0" fontId="8" fillId="6" borderId="7" xfId="0" applyFont="1" applyFill="1" applyBorder="1" applyAlignment="1">
      <alignment horizontal="center"/>
    </xf>
    <xf numFmtId="164" fontId="1" fillId="6" borderId="7" xfId="0" applyNumberFormat="1" applyFont="1" applyFill="1" applyBorder="1" applyAlignment="1" quotePrefix="1">
      <alignment horizontal="center"/>
    </xf>
    <xf numFmtId="164" fontId="1" fillId="6" borderId="51" xfId="0" applyNumberFormat="1" applyFont="1" applyFill="1" applyBorder="1" applyAlignment="1" quotePrefix="1">
      <alignment horizontal="center"/>
    </xf>
    <xf numFmtId="0" fontId="8" fillId="9" borderId="8" xfId="0" applyFont="1" applyFill="1" applyBorder="1" applyAlignment="1">
      <alignment horizontal="center"/>
    </xf>
    <xf numFmtId="164" fontId="8" fillId="9" borderId="9" xfId="0" applyNumberFormat="1" applyFont="1" applyFill="1" applyBorder="1" applyAlignment="1">
      <alignment horizontal="center"/>
    </xf>
    <xf numFmtId="0" fontId="1" fillId="9" borderId="9" xfId="0" applyFont="1" applyFill="1" applyBorder="1" applyAlignment="1">
      <alignment/>
    </xf>
    <xf numFmtId="0" fontId="8" fillId="9" borderId="9" xfId="0" applyFont="1" applyFill="1" applyBorder="1" applyAlignment="1">
      <alignment horizontal="center"/>
    </xf>
    <xf numFmtId="0" fontId="8" fillId="9" borderId="14" xfId="0" applyFont="1" applyFill="1" applyBorder="1" applyAlignment="1">
      <alignment/>
    </xf>
    <xf numFmtId="0" fontId="8" fillId="9" borderId="10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164" fontId="1" fillId="9" borderId="6" xfId="0" applyNumberFormat="1" applyFont="1" applyFill="1" applyBorder="1" applyAlignment="1" quotePrefix="1">
      <alignment horizontal="center"/>
    </xf>
    <xf numFmtId="164" fontId="1" fillId="9" borderId="11" xfId="0" applyNumberFormat="1" applyFont="1" applyFill="1" applyBorder="1" applyAlignment="1" quotePrefix="1">
      <alignment horizontal="center"/>
    </xf>
    <xf numFmtId="164" fontId="1" fillId="9" borderId="50" xfId="0" applyNumberFormat="1" applyFont="1" applyFill="1" applyBorder="1" applyAlignment="1" quotePrefix="1">
      <alignment horizontal="center"/>
    </xf>
    <xf numFmtId="0" fontId="8" fillId="9" borderId="7" xfId="0" applyFont="1" applyFill="1" applyBorder="1" applyAlignment="1">
      <alignment horizontal="center"/>
    </xf>
    <xf numFmtId="164" fontId="1" fillId="9" borderId="7" xfId="0" applyNumberFormat="1" applyFont="1" applyFill="1" applyBorder="1" applyAlignment="1" quotePrefix="1">
      <alignment horizontal="center"/>
    </xf>
    <xf numFmtId="164" fontId="1" fillId="9" borderId="51" xfId="0" applyNumberFormat="1" applyFont="1" applyFill="1" applyBorder="1" applyAlignment="1" quotePrefix="1">
      <alignment horizontal="center"/>
    </xf>
    <xf numFmtId="0" fontId="8" fillId="10" borderId="8" xfId="0" applyFont="1" applyFill="1" applyBorder="1" applyAlignment="1">
      <alignment horizontal="center"/>
    </xf>
    <xf numFmtId="164" fontId="8" fillId="10" borderId="9" xfId="0" applyNumberFormat="1" applyFont="1" applyFill="1" applyBorder="1" applyAlignment="1">
      <alignment horizontal="center"/>
    </xf>
    <xf numFmtId="0" fontId="1" fillId="10" borderId="9" xfId="0" applyFont="1" applyFill="1" applyBorder="1" applyAlignment="1">
      <alignment/>
    </xf>
    <xf numFmtId="0" fontId="8" fillId="10" borderId="9" xfId="0" applyFont="1" applyFill="1" applyBorder="1" applyAlignment="1">
      <alignment horizontal="center"/>
    </xf>
    <xf numFmtId="0" fontId="8" fillId="10" borderId="14" xfId="0" applyFont="1" applyFill="1" applyBorder="1" applyAlignment="1">
      <alignment/>
    </xf>
    <xf numFmtId="0" fontId="8" fillId="10" borderId="1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8" fillId="10" borderId="6" xfId="0" applyFont="1" applyFill="1" applyBorder="1" applyAlignment="1">
      <alignment horizontal="center"/>
    </xf>
    <xf numFmtId="164" fontId="1" fillId="10" borderId="6" xfId="0" applyNumberFormat="1" applyFont="1" applyFill="1" applyBorder="1" applyAlignment="1" quotePrefix="1">
      <alignment horizontal="center"/>
    </xf>
    <xf numFmtId="164" fontId="1" fillId="10" borderId="11" xfId="0" applyNumberFormat="1" applyFont="1" applyFill="1" applyBorder="1" applyAlignment="1" quotePrefix="1">
      <alignment horizontal="center"/>
    </xf>
    <xf numFmtId="164" fontId="1" fillId="10" borderId="50" xfId="0" applyNumberFormat="1" applyFont="1" applyFill="1" applyBorder="1" applyAlignment="1" quotePrefix="1">
      <alignment horizontal="center"/>
    </xf>
    <xf numFmtId="0" fontId="8" fillId="10" borderId="7" xfId="0" applyFont="1" applyFill="1" applyBorder="1" applyAlignment="1">
      <alignment horizontal="center"/>
    </xf>
    <xf numFmtId="164" fontId="1" fillId="10" borderId="7" xfId="0" applyNumberFormat="1" applyFont="1" applyFill="1" applyBorder="1" applyAlignment="1" quotePrefix="1">
      <alignment horizontal="center"/>
    </xf>
    <xf numFmtId="164" fontId="1" fillId="10" borderId="51" xfId="0" applyNumberFormat="1" applyFont="1" applyFill="1" applyBorder="1" applyAlignment="1" quotePrefix="1">
      <alignment horizontal="center"/>
    </xf>
    <xf numFmtId="0" fontId="8" fillId="5" borderId="8" xfId="0" applyFont="1" applyFill="1" applyBorder="1" applyAlignment="1">
      <alignment horizontal="center"/>
    </xf>
    <xf numFmtId="164" fontId="8" fillId="5" borderId="9" xfId="0" applyNumberFormat="1" applyFont="1" applyFill="1" applyBorder="1" applyAlignment="1">
      <alignment horizontal="center"/>
    </xf>
    <xf numFmtId="0" fontId="1" fillId="5" borderId="9" xfId="0" applyFont="1" applyFill="1" applyBorder="1" applyAlignment="1">
      <alignment/>
    </xf>
    <xf numFmtId="0" fontId="8" fillId="5" borderId="9" xfId="0" applyFont="1" applyFill="1" applyBorder="1" applyAlignment="1">
      <alignment horizontal="center"/>
    </xf>
    <xf numFmtId="0" fontId="8" fillId="5" borderId="14" xfId="0" applyFont="1" applyFill="1" applyBorder="1" applyAlignment="1">
      <alignment/>
    </xf>
    <xf numFmtId="0" fontId="8" fillId="5" borderId="10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164" fontId="1" fillId="5" borderId="6" xfId="0" applyNumberFormat="1" applyFont="1" applyFill="1" applyBorder="1" applyAlignment="1" quotePrefix="1">
      <alignment horizontal="center"/>
    </xf>
    <xf numFmtId="164" fontId="1" fillId="5" borderId="11" xfId="0" applyNumberFormat="1" applyFont="1" applyFill="1" applyBorder="1" applyAlignment="1" quotePrefix="1">
      <alignment horizontal="center"/>
    </xf>
    <xf numFmtId="164" fontId="1" fillId="5" borderId="50" xfId="0" applyNumberFormat="1" applyFont="1" applyFill="1" applyBorder="1" applyAlignment="1" quotePrefix="1">
      <alignment horizontal="center"/>
    </xf>
    <xf numFmtId="0" fontId="8" fillId="5" borderId="7" xfId="0" applyFont="1" applyFill="1" applyBorder="1" applyAlignment="1">
      <alignment horizontal="center"/>
    </xf>
    <xf numFmtId="164" fontId="1" fillId="5" borderId="7" xfId="0" applyNumberFormat="1" applyFont="1" applyFill="1" applyBorder="1" applyAlignment="1" quotePrefix="1">
      <alignment horizontal="center"/>
    </xf>
    <xf numFmtId="164" fontId="1" fillId="5" borderId="51" xfId="0" applyNumberFormat="1" applyFont="1" applyFill="1" applyBorder="1" applyAlignment="1" quotePrefix="1">
      <alignment horizontal="center"/>
    </xf>
    <xf numFmtId="0" fontId="8" fillId="11" borderId="8" xfId="0" applyFont="1" applyFill="1" applyBorder="1" applyAlignment="1">
      <alignment horizontal="center"/>
    </xf>
    <xf numFmtId="164" fontId="8" fillId="11" borderId="9" xfId="0" applyNumberFormat="1" applyFont="1" applyFill="1" applyBorder="1" applyAlignment="1">
      <alignment horizontal="center"/>
    </xf>
    <xf numFmtId="0" fontId="1" fillId="11" borderId="9" xfId="0" applyFont="1" applyFill="1" applyBorder="1" applyAlignment="1">
      <alignment/>
    </xf>
    <xf numFmtId="0" fontId="8" fillId="11" borderId="9" xfId="0" applyFont="1" applyFill="1" applyBorder="1" applyAlignment="1">
      <alignment horizontal="center"/>
    </xf>
    <xf numFmtId="0" fontId="8" fillId="11" borderId="14" xfId="0" applyFont="1" applyFill="1" applyBorder="1" applyAlignment="1">
      <alignment/>
    </xf>
    <xf numFmtId="0" fontId="8" fillId="11" borderId="10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164" fontId="1" fillId="11" borderId="6" xfId="0" applyNumberFormat="1" applyFont="1" applyFill="1" applyBorder="1" applyAlignment="1" quotePrefix="1">
      <alignment horizontal="center"/>
    </xf>
    <xf numFmtId="164" fontId="1" fillId="11" borderId="11" xfId="0" applyNumberFormat="1" applyFont="1" applyFill="1" applyBorder="1" applyAlignment="1" quotePrefix="1">
      <alignment horizontal="center"/>
    </xf>
    <xf numFmtId="164" fontId="1" fillId="11" borderId="50" xfId="0" applyNumberFormat="1" applyFont="1" applyFill="1" applyBorder="1" applyAlignment="1" quotePrefix="1">
      <alignment horizontal="center"/>
    </xf>
    <xf numFmtId="0" fontId="8" fillId="11" borderId="7" xfId="0" applyFont="1" applyFill="1" applyBorder="1" applyAlignment="1">
      <alignment horizontal="center"/>
    </xf>
    <xf numFmtId="164" fontId="1" fillId="11" borderId="7" xfId="0" applyNumberFormat="1" applyFont="1" applyFill="1" applyBorder="1" applyAlignment="1" quotePrefix="1">
      <alignment horizontal="center"/>
    </xf>
    <xf numFmtId="164" fontId="1" fillId="11" borderId="51" xfId="0" applyNumberFormat="1" applyFont="1" applyFill="1" applyBorder="1" applyAlignment="1" quotePrefix="1">
      <alignment horizontal="center"/>
    </xf>
    <xf numFmtId="0" fontId="8" fillId="12" borderId="8" xfId="0" applyFont="1" applyFill="1" applyBorder="1" applyAlignment="1">
      <alignment horizontal="center"/>
    </xf>
    <xf numFmtId="164" fontId="8" fillId="12" borderId="9" xfId="0" applyNumberFormat="1" applyFont="1" applyFill="1" applyBorder="1" applyAlignment="1">
      <alignment horizontal="center"/>
    </xf>
    <xf numFmtId="0" fontId="1" fillId="12" borderId="9" xfId="0" applyFont="1" applyFill="1" applyBorder="1" applyAlignment="1">
      <alignment/>
    </xf>
    <xf numFmtId="0" fontId="8" fillId="12" borderId="9" xfId="0" applyFont="1" applyFill="1" applyBorder="1" applyAlignment="1">
      <alignment horizontal="center"/>
    </xf>
    <xf numFmtId="0" fontId="8" fillId="12" borderId="14" xfId="0" applyFont="1" applyFill="1" applyBorder="1" applyAlignment="1">
      <alignment/>
    </xf>
    <xf numFmtId="0" fontId="8" fillId="12" borderId="10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/>
    </xf>
    <xf numFmtId="0" fontId="8" fillId="12" borderId="6" xfId="0" applyFont="1" applyFill="1" applyBorder="1" applyAlignment="1">
      <alignment horizontal="center"/>
    </xf>
    <xf numFmtId="164" fontId="1" fillId="12" borderId="6" xfId="0" applyNumberFormat="1" applyFont="1" applyFill="1" applyBorder="1" applyAlignment="1" quotePrefix="1">
      <alignment horizontal="center"/>
    </xf>
    <xf numFmtId="164" fontId="1" fillId="12" borderId="11" xfId="0" applyNumberFormat="1" applyFont="1" applyFill="1" applyBorder="1" applyAlignment="1" quotePrefix="1">
      <alignment horizontal="center"/>
    </xf>
    <xf numFmtId="164" fontId="1" fillId="12" borderId="50" xfId="0" applyNumberFormat="1" applyFont="1" applyFill="1" applyBorder="1" applyAlignment="1" quotePrefix="1">
      <alignment horizontal="center"/>
    </xf>
    <xf numFmtId="0" fontId="8" fillId="12" borderId="7" xfId="0" applyFont="1" applyFill="1" applyBorder="1" applyAlignment="1">
      <alignment horizontal="center"/>
    </xf>
    <xf numFmtId="164" fontId="1" fillId="12" borderId="7" xfId="0" applyNumberFormat="1" applyFont="1" applyFill="1" applyBorder="1" applyAlignment="1" quotePrefix="1">
      <alignment horizontal="center"/>
    </xf>
    <xf numFmtId="164" fontId="1" fillId="12" borderId="51" xfId="0" applyNumberFormat="1" applyFont="1" applyFill="1" applyBorder="1" applyAlignment="1" quotePrefix="1">
      <alignment horizontal="center"/>
    </xf>
    <xf numFmtId="0" fontId="8" fillId="13" borderId="8" xfId="0" applyFont="1" applyFill="1" applyBorder="1" applyAlignment="1">
      <alignment horizontal="center"/>
    </xf>
    <xf numFmtId="164" fontId="8" fillId="13" borderId="9" xfId="0" applyNumberFormat="1" applyFont="1" applyFill="1" applyBorder="1" applyAlignment="1">
      <alignment horizontal="center"/>
    </xf>
    <xf numFmtId="0" fontId="1" fillId="13" borderId="9" xfId="0" applyFont="1" applyFill="1" applyBorder="1" applyAlignment="1">
      <alignment/>
    </xf>
    <xf numFmtId="0" fontId="8" fillId="13" borderId="9" xfId="0" applyFont="1" applyFill="1" applyBorder="1" applyAlignment="1">
      <alignment horizontal="center"/>
    </xf>
    <xf numFmtId="0" fontId="8" fillId="13" borderId="14" xfId="0" applyFont="1" applyFill="1" applyBorder="1" applyAlignment="1">
      <alignment/>
    </xf>
    <xf numFmtId="0" fontId="8" fillId="13" borderId="10" xfId="0" applyFont="1" applyFill="1" applyBorder="1" applyAlignment="1">
      <alignment horizontal="center"/>
    </xf>
    <xf numFmtId="0" fontId="1" fillId="13" borderId="6" xfId="0" applyFont="1" applyFill="1" applyBorder="1" applyAlignment="1">
      <alignment horizontal="center"/>
    </xf>
    <xf numFmtId="0" fontId="8" fillId="13" borderId="6" xfId="0" applyFont="1" applyFill="1" applyBorder="1" applyAlignment="1">
      <alignment horizontal="center"/>
    </xf>
    <xf numFmtId="164" fontId="1" fillId="13" borderId="6" xfId="0" applyNumberFormat="1" applyFont="1" applyFill="1" applyBorder="1" applyAlignment="1" quotePrefix="1">
      <alignment horizontal="center"/>
    </xf>
    <xf numFmtId="164" fontId="1" fillId="13" borderId="11" xfId="0" applyNumberFormat="1" applyFont="1" applyFill="1" applyBorder="1" applyAlignment="1" quotePrefix="1">
      <alignment horizontal="center"/>
    </xf>
    <xf numFmtId="164" fontId="1" fillId="13" borderId="50" xfId="0" applyNumberFormat="1" applyFont="1" applyFill="1" applyBorder="1" applyAlignment="1" quotePrefix="1">
      <alignment horizontal="center"/>
    </xf>
    <xf numFmtId="0" fontId="8" fillId="13" borderId="7" xfId="0" applyFont="1" applyFill="1" applyBorder="1" applyAlignment="1">
      <alignment horizontal="center"/>
    </xf>
    <xf numFmtId="164" fontId="1" fillId="13" borderId="7" xfId="0" applyNumberFormat="1" applyFont="1" applyFill="1" applyBorder="1" applyAlignment="1" quotePrefix="1">
      <alignment horizontal="center"/>
    </xf>
    <xf numFmtId="164" fontId="1" fillId="13" borderId="51" xfId="0" applyNumberFormat="1" applyFont="1" applyFill="1" applyBorder="1" applyAlignment="1" quotePrefix="1">
      <alignment horizontal="center"/>
    </xf>
    <xf numFmtId="0" fontId="8" fillId="0" borderId="53" xfId="0" applyFont="1" applyFill="1" applyBorder="1" applyAlignment="1">
      <alignment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14" borderId="9" xfId="0" applyFont="1" applyFill="1" applyBorder="1" applyAlignment="1">
      <alignment/>
    </xf>
    <xf numFmtId="0" fontId="8" fillId="14" borderId="9" xfId="0" applyFont="1" applyFill="1" applyBorder="1" applyAlignment="1">
      <alignment horizontal="center"/>
    </xf>
    <xf numFmtId="0" fontId="8" fillId="14" borderId="14" xfId="0" applyFont="1" applyFill="1" applyBorder="1" applyAlignment="1">
      <alignment/>
    </xf>
    <xf numFmtId="0" fontId="8" fillId="14" borderId="6" xfId="0" applyFont="1" applyFill="1" applyBorder="1" applyAlignment="1">
      <alignment horizontal="center"/>
    </xf>
    <xf numFmtId="164" fontId="1" fillId="14" borderId="6" xfId="0" applyNumberFormat="1" applyFont="1" applyFill="1" applyBorder="1" applyAlignment="1" quotePrefix="1">
      <alignment horizontal="center"/>
    </xf>
    <xf numFmtId="164" fontId="1" fillId="14" borderId="11" xfId="0" applyNumberFormat="1" applyFont="1" applyFill="1" applyBorder="1" applyAlignment="1" quotePrefix="1">
      <alignment horizontal="center"/>
    </xf>
    <xf numFmtId="164" fontId="1" fillId="14" borderId="50" xfId="0" applyNumberFormat="1" applyFont="1" applyFill="1" applyBorder="1" applyAlignment="1" quotePrefix="1">
      <alignment horizontal="center"/>
    </xf>
    <xf numFmtId="0" fontId="8" fillId="14" borderId="7" xfId="0" applyFont="1" applyFill="1" applyBorder="1" applyAlignment="1">
      <alignment horizontal="center"/>
    </xf>
    <xf numFmtId="164" fontId="1" fillId="14" borderId="7" xfId="0" applyNumberFormat="1" applyFont="1" applyFill="1" applyBorder="1" applyAlignment="1" quotePrefix="1">
      <alignment horizontal="center"/>
    </xf>
    <xf numFmtId="164" fontId="1" fillId="14" borderId="51" xfId="0" applyNumberFormat="1" applyFont="1" applyFill="1" applyBorder="1" applyAlignment="1" quotePrefix="1">
      <alignment horizontal="center"/>
    </xf>
    <xf numFmtId="0" fontId="8" fillId="14" borderId="8" xfId="0" applyFont="1" applyFill="1" applyBorder="1" applyAlignment="1">
      <alignment horizontal="center"/>
    </xf>
    <xf numFmtId="164" fontId="8" fillId="14" borderId="9" xfId="0" applyNumberFormat="1" applyFont="1" applyFill="1" applyBorder="1" applyAlignment="1">
      <alignment horizontal="center"/>
    </xf>
    <xf numFmtId="0" fontId="8" fillId="14" borderId="10" xfId="0" applyFont="1" applyFill="1" applyBorder="1" applyAlignment="1">
      <alignment horizontal="center"/>
    </xf>
    <xf numFmtId="0" fontId="1" fillId="14" borderId="6" xfId="0" applyFont="1" applyFill="1" applyBorder="1" applyAlignment="1">
      <alignment horizontal="center"/>
    </xf>
    <xf numFmtId="0" fontId="8" fillId="15" borderId="8" xfId="0" applyFont="1" applyFill="1" applyBorder="1" applyAlignment="1">
      <alignment horizontal="center"/>
    </xf>
    <xf numFmtId="164" fontId="8" fillId="15" borderId="9" xfId="0" applyNumberFormat="1" applyFont="1" applyFill="1" applyBorder="1" applyAlignment="1">
      <alignment horizontal="center"/>
    </xf>
    <xf numFmtId="0" fontId="1" fillId="15" borderId="9" xfId="0" applyFont="1" applyFill="1" applyBorder="1" applyAlignment="1">
      <alignment/>
    </xf>
    <xf numFmtId="0" fontId="8" fillId="15" borderId="9" xfId="0" applyFont="1" applyFill="1" applyBorder="1" applyAlignment="1">
      <alignment horizontal="center"/>
    </xf>
    <xf numFmtId="0" fontId="8" fillId="15" borderId="14" xfId="0" applyFont="1" applyFill="1" applyBorder="1" applyAlignment="1">
      <alignment/>
    </xf>
    <xf numFmtId="0" fontId="8" fillId="15" borderId="10" xfId="0" applyFont="1" applyFill="1" applyBorder="1" applyAlignment="1">
      <alignment horizontal="center"/>
    </xf>
    <xf numFmtId="0" fontId="1" fillId="15" borderId="6" xfId="0" applyFont="1" applyFill="1" applyBorder="1" applyAlignment="1">
      <alignment horizontal="center"/>
    </xf>
    <xf numFmtId="0" fontId="8" fillId="15" borderId="6" xfId="0" applyFont="1" applyFill="1" applyBorder="1" applyAlignment="1">
      <alignment horizontal="center"/>
    </xf>
    <xf numFmtId="164" fontId="1" fillId="15" borderId="6" xfId="0" applyNumberFormat="1" applyFont="1" applyFill="1" applyBorder="1" applyAlignment="1" quotePrefix="1">
      <alignment horizontal="center"/>
    </xf>
    <xf numFmtId="164" fontId="1" fillId="15" borderId="11" xfId="0" applyNumberFormat="1" applyFont="1" applyFill="1" applyBorder="1" applyAlignment="1" quotePrefix="1">
      <alignment horizontal="center"/>
    </xf>
    <xf numFmtId="164" fontId="1" fillId="15" borderId="50" xfId="0" applyNumberFormat="1" applyFont="1" applyFill="1" applyBorder="1" applyAlignment="1" quotePrefix="1">
      <alignment horizontal="center"/>
    </xf>
    <xf numFmtId="0" fontId="8" fillId="15" borderId="7" xfId="0" applyFont="1" applyFill="1" applyBorder="1" applyAlignment="1">
      <alignment horizontal="center"/>
    </xf>
    <xf numFmtId="164" fontId="1" fillId="15" borderId="7" xfId="0" applyNumberFormat="1" applyFont="1" applyFill="1" applyBorder="1" applyAlignment="1" quotePrefix="1">
      <alignment horizontal="center"/>
    </xf>
    <xf numFmtId="164" fontId="1" fillId="15" borderId="51" xfId="0" applyNumberFormat="1" applyFont="1" applyFill="1" applyBorder="1" applyAlignment="1" quotePrefix="1">
      <alignment horizontal="center"/>
    </xf>
    <xf numFmtId="0" fontId="1" fillId="16" borderId="9" xfId="0" applyFont="1" applyFill="1" applyBorder="1" applyAlignment="1">
      <alignment/>
    </xf>
    <xf numFmtId="0" fontId="8" fillId="16" borderId="9" xfId="0" applyFont="1" applyFill="1" applyBorder="1" applyAlignment="1">
      <alignment horizontal="center"/>
    </xf>
    <xf numFmtId="0" fontId="8" fillId="16" borderId="14" xfId="0" applyFont="1" applyFill="1" applyBorder="1" applyAlignment="1">
      <alignment/>
    </xf>
    <xf numFmtId="0" fontId="8" fillId="16" borderId="6" xfId="0" applyFont="1" applyFill="1" applyBorder="1" applyAlignment="1">
      <alignment horizontal="center"/>
    </xf>
    <xf numFmtId="164" fontId="1" fillId="16" borderId="6" xfId="0" applyNumberFormat="1" applyFont="1" applyFill="1" applyBorder="1" applyAlignment="1" quotePrefix="1">
      <alignment horizontal="center"/>
    </xf>
    <xf numFmtId="164" fontId="1" fillId="16" borderId="11" xfId="0" applyNumberFormat="1" applyFont="1" applyFill="1" applyBorder="1" applyAlignment="1" quotePrefix="1">
      <alignment horizontal="center"/>
    </xf>
    <xf numFmtId="164" fontId="1" fillId="16" borderId="50" xfId="0" applyNumberFormat="1" applyFont="1" applyFill="1" applyBorder="1" applyAlignment="1" quotePrefix="1">
      <alignment horizontal="center"/>
    </xf>
    <xf numFmtId="0" fontId="8" fillId="16" borderId="7" xfId="0" applyFont="1" applyFill="1" applyBorder="1" applyAlignment="1">
      <alignment horizontal="center"/>
    </xf>
    <xf numFmtId="164" fontId="1" fillId="16" borderId="7" xfId="0" applyNumberFormat="1" applyFont="1" applyFill="1" applyBorder="1" applyAlignment="1" quotePrefix="1">
      <alignment horizontal="center"/>
    </xf>
    <xf numFmtId="164" fontId="1" fillId="16" borderId="51" xfId="0" applyNumberFormat="1" applyFont="1" applyFill="1" applyBorder="1" applyAlignment="1" quotePrefix="1">
      <alignment horizontal="center"/>
    </xf>
    <xf numFmtId="0" fontId="8" fillId="16" borderId="8" xfId="0" applyFont="1" applyFill="1" applyBorder="1" applyAlignment="1">
      <alignment horizontal="center"/>
    </xf>
    <xf numFmtId="164" fontId="8" fillId="16" borderId="9" xfId="0" applyNumberFormat="1" applyFont="1" applyFill="1" applyBorder="1" applyAlignment="1">
      <alignment horizontal="center"/>
    </xf>
    <xf numFmtId="0" fontId="8" fillId="16" borderId="10" xfId="0" applyFont="1" applyFill="1" applyBorder="1" applyAlignment="1">
      <alignment horizontal="center"/>
    </xf>
    <xf numFmtId="0" fontId="1" fillId="16" borderId="6" xfId="0" applyFont="1" applyFill="1" applyBorder="1" applyAlignment="1">
      <alignment horizontal="center"/>
    </xf>
    <xf numFmtId="0" fontId="1" fillId="7" borderId="9" xfId="0" applyFont="1" applyFill="1" applyBorder="1" applyAlignment="1">
      <alignment/>
    </xf>
    <xf numFmtId="0" fontId="8" fillId="7" borderId="9" xfId="0" applyFont="1" applyFill="1" applyBorder="1" applyAlignment="1">
      <alignment horizontal="center"/>
    </xf>
    <xf numFmtId="0" fontId="8" fillId="7" borderId="14" xfId="0" applyFont="1" applyFill="1" applyBorder="1" applyAlignment="1">
      <alignment/>
    </xf>
    <xf numFmtId="0" fontId="8" fillId="7" borderId="6" xfId="0" applyFont="1" applyFill="1" applyBorder="1" applyAlignment="1">
      <alignment horizontal="center"/>
    </xf>
    <xf numFmtId="164" fontId="1" fillId="7" borderId="6" xfId="0" applyNumberFormat="1" applyFont="1" applyFill="1" applyBorder="1" applyAlignment="1" quotePrefix="1">
      <alignment horizontal="center"/>
    </xf>
    <xf numFmtId="164" fontId="1" fillId="7" borderId="11" xfId="0" applyNumberFormat="1" applyFont="1" applyFill="1" applyBorder="1" applyAlignment="1" quotePrefix="1">
      <alignment horizontal="center"/>
    </xf>
    <xf numFmtId="164" fontId="1" fillId="7" borderId="50" xfId="0" applyNumberFormat="1" applyFont="1" applyFill="1" applyBorder="1" applyAlignment="1" quotePrefix="1">
      <alignment horizontal="center"/>
    </xf>
    <xf numFmtId="0" fontId="8" fillId="7" borderId="7" xfId="0" applyFont="1" applyFill="1" applyBorder="1" applyAlignment="1">
      <alignment horizontal="center"/>
    </xf>
    <xf numFmtId="164" fontId="1" fillId="7" borderId="7" xfId="0" applyNumberFormat="1" applyFont="1" applyFill="1" applyBorder="1" applyAlignment="1" quotePrefix="1">
      <alignment horizontal="center"/>
    </xf>
    <xf numFmtId="164" fontId="1" fillId="7" borderId="51" xfId="0" applyNumberFormat="1" applyFont="1" applyFill="1" applyBorder="1" applyAlignment="1" quotePrefix="1">
      <alignment horizontal="center"/>
    </xf>
    <xf numFmtId="0" fontId="8" fillId="7" borderId="8" xfId="0" applyFont="1" applyFill="1" applyBorder="1" applyAlignment="1">
      <alignment horizontal="center"/>
    </xf>
    <xf numFmtId="164" fontId="8" fillId="7" borderId="9" xfId="0" applyNumberFormat="1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8" fillId="17" borderId="9" xfId="0" applyFont="1" applyFill="1" applyBorder="1" applyAlignment="1">
      <alignment horizontal="center"/>
    </xf>
    <xf numFmtId="0" fontId="8" fillId="17" borderId="14" xfId="0" applyFont="1" applyFill="1" applyBorder="1" applyAlignment="1">
      <alignment/>
    </xf>
    <xf numFmtId="164" fontId="1" fillId="17" borderId="6" xfId="0" applyNumberFormat="1" applyFont="1" applyFill="1" applyBorder="1" applyAlignment="1" quotePrefix="1">
      <alignment horizontal="center"/>
    </xf>
    <xf numFmtId="164" fontId="1" fillId="17" borderId="11" xfId="0" applyNumberFormat="1" applyFont="1" applyFill="1" applyBorder="1" applyAlignment="1" quotePrefix="1">
      <alignment horizontal="center"/>
    </xf>
    <xf numFmtId="164" fontId="1" fillId="17" borderId="50" xfId="0" applyNumberFormat="1" applyFont="1" applyFill="1" applyBorder="1" applyAlignment="1" quotePrefix="1">
      <alignment horizontal="center"/>
    </xf>
    <xf numFmtId="164" fontId="1" fillId="17" borderId="7" xfId="0" applyNumberFormat="1" applyFont="1" applyFill="1" applyBorder="1" applyAlignment="1" quotePrefix="1">
      <alignment horizontal="center"/>
    </xf>
    <xf numFmtId="164" fontId="1" fillId="17" borderId="51" xfId="0" applyNumberFormat="1" applyFont="1" applyFill="1" applyBorder="1" applyAlignment="1" quotePrefix="1">
      <alignment horizontal="center"/>
    </xf>
    <xf numFmtId="0" fontId="8" fillId="17" borderId="8" xfId="0" applyFont="1" applyFill="1" applyBorder="1" applyAlignment="1">
      <alignment horizontal="center"/>
    </xf>
    <xf numFmtId="164" fontId="8" fillId="17" borderId="9" xfId="0" applyNumberFormat="1" applyFont="1" applyFill="1" applyBorder="1" applyAlignment="1">
      <alignment horizontal="center"/>
    </xf>
    <xf numFmtId="0" fontId="8" fillId="17" borderId="57" xfId="0" applyFont="1" applyFill="1" applyBorder="1" applyAlignment="1">
      <alignment horizontal="center"/>
    </xf>
    <xf numFmtId="0" fontId="8" fillId="17" borderId="58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17" borderId="59" xfId="0" applyFont="1" applyFill="1" applyBorder="1" applyAlignment="1">
      <alignment/>
    </xf>
    <xf numFmtId="164" fontId="8" fillId="17" borderId="14" xfId="0" applyNumberFormat="1" applyFont="1" applyFill="1" applyBorder="1" applyAlignment="1">
      <alignment horizontal="center"/>
    </xf>
    <xf numFmtId="0" fontId="8" fillId="17" borderId="15" xfId="0" applyFont="1" applyFill="1" applyBorder="1" applyAlignment="1">
      <alignment horizontal="center"/>
    </xf>
    <xf numFmtId="0" fontId="1" fillId="17" borderId="7" xfId="0" applyFont="1" applyFill="1" applyBorder="1" applyAlignment="1">
      <alignment horizontal="center"/>
    </xf>
    <xf numFmtId="0" fontId="1" fillId="17" borderId="12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60" xfId="0" applyFill="1" applyBorder="1" applyAlignment="1">
      <alignment/>
    </xf>
    <xf numFmtId="0" fontId="0" fillId="5" borderId="4" xfId="0" applyFill="1" applyBorder="1" applyAlignment="1">
      <alignment/>
    </xf>
    <xf numFmtId="0" fontId="4" fillId="5" borderId="8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4" fillId="5" borderId="15" xfId="0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4" fillId="5" borderId="10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5" borderId="0" xfId="0" applyFont="1" applyFill="1" applyBorder="1" applyAlignment="1">
      <alignment/>
    </xf>
    <xf numFmtId="0" fontId="4" fillId="5" borderId="61" xfId="0" applyFont="1" applyFill="1" applyBorder="1" applyAlignment="1">
      <alignment horizontal="right"/>
    </xf>
    <xf numFmtId="0" fontId="0" fillId="0" borderId="50" xfId="0" applyFill="1" applyBorder="1" applyAlignment="1">
      <alignment/>
    </xf>
    <xf numFmtId="0" fontId="8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5" borderId="1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165" fontId="1" fillId="0" borderId="0" xfId="0" applyNumberFormat="1" applyFont="1" applyBorder="1" applyAlignment="1" quotePrefix="1">
      <alignment horizontal="center"/>
    </xf>
    <xf numFmtId="0" fontId="8" fillId="5" borderId="62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60" xfId="0" applyFont="1" applyFill="1" applyBorder="1" applyAlignment="1">
      <alignment horizontal="center"/>
    </xf>
    <xf numFmtId="164" fontId="1" fillId="5" borderId="62" xfId="0" applyNumberFormat="1" applyFont="1" applyFill="1" applyBorder="1" applyAlignment="1" quotePrefix="1">
      <alignment horizontal="center"/>
    </xf>
    <xf numFmtId="164" fontId="1" fillId="5" borderId="0" xfId="0" applyNumberFormat="1" applyFont="1" applyFill="1" applyBorder="1" applyAlignment="1" quotePrefix="1">
      <alignment horizontal="center"/>
    </xf>
    <xf numFmtId="164" fontId="1" fillId="5" borderId="60" xfId="0" applyNumberFormat="1" applyFont="1" applyFill="1" applyBorder="1" applyAlignment="1" quotePrefix="1">
      <alignment horizontal="center"/>
    </xf>
    <xf numFmtId="164" fontId="1" fillId="5" borderId="60" xfId="0" applyNumberFormat="1" applyFont="1" applyFill="1" applyBorder="1" applyAlignment="1">
      <alignment horizontal="center"/>
    </xf>
    <xf numFmtId="164" fontId="1" fillId="5" borderId="13" xfId="0" applyNumberFormat="1" applyFont="1" applyFill="1" applyBorder="1" applyAlignment="1" quotePrefix="1">
      <alignment horizontal="center"/>
    </xf>
    <xf numFmtId="164" fontId="1" fillId="5" borderId="4" xfId="0" applyNumberFormat="1" applyFont="1" applyFill="1" applyBorder="1" applyAlignment="1" quotePrefix="1">
      <alignment horizontal="center"/>
    </xf>
    <xf numFmtId="164" fontId="1" fillId="5" borderId="5" xfId="0" applyNumberFormat="1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5" borderId="60" xfId="0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6" fontId="0" fillId="0" borderId="0" xfId="0" applyNumberForma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62" xfId="0" applyBorder="1" applyAlignment="1">
      <alignment/>
    </xf>
    <xf numFmtId="0" fontId="0" fillId="0" borderId="60" xfId="0" applyBorder="1" applyAlignment="1">
      <alignment/>
    </xf>
    <xf numFmtId="0" fontId="7" fillId="0" borderId="1" xfId="0" applyFont="1" applyBorder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6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168" fontId="0" fillId="0" borderId="39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8" fontId="0" fillId="0" borderId="40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63" xfId="0" applyNumberFormat="1" applyBorder="1" applyAlignment="1">
      <alignment horizontal="right"/>
    </xf>
    <xf numFmtId="164" fontId="0" fillId="0" borderId="64" xfId="0" applyNumberFormat="1" applyBorder="1" applyAlignment="1">
      <alignment horizontal="center"/>
    </xf>
    <xf numFmtId="164" fontId="0" fillId="0" borderId="64" xfId="0" applyNumberFormat="1" applyBorder="1" applyAlignment="1">
      <alignment horizontal="right"/>
    </xf>
    <xf numFmtId="164" fontId="0" fillId="0" borderId="65" xfId="0" applyNumberFormat="1" applyBorder="1" applyAlignment="1">
      <alignment horizontal="center"/>
    </xf>
    <xf numFmtId="164" fontId="0" fillId="0" borderId="66" xfId="0" applyNumberFormat="1" applyBorder="1" applyAlignment="1">
      <alignment horizontal="right"/>
    </xf>
    <xf numFmtId="164" fontId="0" fillId="0" borderId="67" xfId="0" applyNumberFormat="1" applyBorder="1" applyAlignment="1">
      <alignment horizontal="center"/>
    </xf>
    <xf numFmtId="164" fontId="0" fillId="0" borderId="67" xfId="0" applyNumberFormat="1" applyBorder="1" applyAlignment="1">
      <alignment horizontal="right"/>
    </xf>
    <xf numFmtId="164" fontId="0" fillId="0" borderId="68" xfId="0" applyNumberFormat="1" applyBorder="1" applyAlignment="1">
      <alignment horizontal="center"/>
    </xf>
    <xf numFmtId="164" fontId="0" fillId="0" borderId="69" xfId="0" applyNumberFormat="1" applyBorder="1" applyAlignment="1">
      <alignment horizontal="right"/>
    </xf>
    <xf numFmtId="164" fontId="0" fillId="0" borderId="70" xfId="0" applyNumberFormat="1" applyBorder="1" applyAlignment="1">
      <alignment horizontal="center"/>
    </xf>
    <xf numFmtId="164" fontId="0" fillId="0" borderId="70" xfId="0" applyNumberFormat="1" applyBorder="1" applyAlignment="1">
      <alignment horizontal="right"/>
    </xf>
    <xf numFmtId="164" fontId="0" fillId="0" borderId="71" xfId="0" applyNumberFormat="1" applyBorder="1" applyAlignment="1">
      <alignment horizontal="center"/>
    </xf>
    <xf numFmtId="0" fontId="7" fillId="18" borderId="1" xfId="0" applyFont="1" applyFill="1" applyBorder="1" applyAlignment="1">
      <alignment/>
    </xf>
    <xf numFmtId="0" fontId="4" fillId="18" borderId="2" xfId="0" applyFont="1" applyFill="1" applyBorder="1" applyAlignment="1">
      <alignment/>
    </xf>
    <xf numFmtId="0" fontId="4" fillId="18" borderId="3" xfId="0" applyFont="1" applyFill="1" applyBorder="1" applyAlignment="1">
      <alignment/>
    </xf>
    <xf numFmtId="0" fontId="0" fillId="18" borderId="8" xfId="0" applyFill="1" applyBorder="1" applyAlignment="1">
      <alignment/>
    </xf>
    <xf numFmtId="0" fontId="4" fillId="18" borderId="9" xfId="0" applyFont="1" applyFill="1" applyBorder="1" applyAlignment="1">
      <alignment/>
    </xf>
    <xf numFmtId="0" fontId="4" fillId="18" borderId="14" xfId="0" applyFont="1" applyFill="1" applyBorder="1" applyAlignment="1">
      <alignment/>
    </xf>
    <xf numFmtId="0" fontId="0" fillId="18" borderId="10" xfId="0" applyFill="1" applyBorder="1" applyAlignment="1">
      <alignment/>
    </xf>
    <xf numFmtId="0" fontId="0" fillId="18" borderId="15" xfId="0" applyFill="1" applyBorder="1" applyAlignment="1">
      <alignment/>
    </xf>
    <xf numFmtId="0" fontId="7" fillId="13" borderId="1" xfId="0" applyFont="1" applyFill="1" applyBorder="1" applyAlignment="1">
      <alignment/>
    </xf>
    <xf numFmtId="0" fontId="4" fillId="13" borderId="2" xfId="0" applyFont="1" applyFill="1" applyBorder="1" applyAlignment="1">
      <alignment/>
    </xf>
    <xf numFmtId="0" fontId="4" fillId="13" borderId="3" xfId="0" applyFont="1" applyFill="1" applyBorder="1" applyAlignment="1">
      <alignment/>
    </xf>
    <xf numFmtId="0" fontId="4" fillId="13" borderId="8" xfId="0" applyFont="1" applyFill="1" applyBorder="1" applyAlignment="1">
      <alignment/>
    </xf>
    <xf numFmtId="0" fontId="4" fillId="13" borderId="9" xfId="0" applyFont="1" applyFill="1" applyBorder="1" applyAlignment="1">
      <alignment/>
    </xf>
    <xf numFmtId="0" fontId="4" fillId="13" borderId="14" xfId="0" applyFont="1" applyFill="1" applyBorder="1" applyAlignment="1">
      <alignment/>
    </xf>
    <xf numFmtId="166" fontId="0" fillId="13" borderId="10" xfId="0" applyNumberFormat="1" applyFill="1" applyBorder="1" applyAlignment="1">
      <alignment/>
    </xf>
    <xf numFmtId="166" fontId="0" fillId="13" borderId="6" xfId="0" applyNumberFormat="1" applyFill="1" applyBorder="1" applyAlignment="1">
      <alignment/>
    </xf>
    <xf numFmtId="166" fontId="0" fillId="13" borderId="11" xfId="0" applyNumberFormat="1" applyFill="1" applyBorder="1" applyAlignment="1">
      <alignment/>
    </xf>
    <xf numFmtId="166" fontId="0" fillId="13" borderId="15" xfId="0" applyNumberFormat="1" applyFill="1" applyBorder="1" applyAlignment="1">
      <alignment/>
    </xf>
    <xf numFmtId="166" fontId="0" fillId="13" borderId="7" xfId="0" applyNumberFormat="1" applyFill="1" applyBorder="1" applyAlignment="1">
      <alignment/>
    </xf>
    <xf numFmtId="166" fontId="0" fillId="13" borderId="12" xfId="0" applyNumberFormat="1" applyFill="1" applyBorder="1" applyAlignment="1">
      <alignment/>
    </xf>
    <xf numFmtId="164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0" fontId="5" fillId="5" borderId="63" xfId="0" applyFont="1" applyFill="1" applyBorder="1" applyAlignment="1">
      <alignment horizontal="center"/>
    </xf>
    <xf numFmtId="0" fontId="5" fillId="5" borderId="66" xfId="0" applyFont="1" applyFill="1" applyBorder="1" applyAlignment="1">
      <alignment horizontal="center"/>
    </xf>
    <xf numFmtId="0" fontId="5" fillId="5" borderId="6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0" fillId="5" borderId="10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11" xfId="0" applyFill="1" applyBorder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66" xfId="0" applyFill="1" applyBorder="1" applyAlignment="1">
      <alignment/>
    </xf>
    <xf numFmtId="164" fontId="0" fillId="5" borderId="10" xfId="0" applyNumberFormat="1" applyFill="1" applyBorder="1" applyAlignment="1">
      <alignment/>
    </xf>
    <xf numFmtId="164" fontId="0" fillId="5" borderId="6" xfId="0" applyNumberFormat="1" applyFill="1" applyBorder="1" applyAlignment="1">
      <alignment/>
    </xf>
    <xf numFmtId="164" fontId="0" fillId="5" borderId="11" xfId="0" applyNumberFormat="1" applyFill="1" applyBorder="1" applyAlignment="1">
      <alignment/>
    </xf>
    <xf numFmtId="0" fontId="0" fillId="5" borderId="69" xfId="0" applyFill="1" applyBorder="1" applyAlignment="1">
      <alignment/>
    </xf>
    <xf numFmtId="164" fontId="0" fillId="5" borderId="15" xfId="0" applyNumberFormat="1" applyFill="1" applyBorder="1" applyAlignment="1">
      <alignment/>
    </xf>
    <xf numFmtId="164" fontId="0" fillId="5" borderId="7" xfId="0" applyNumberFormat="1" applyFill="1" applyBorder="1" applyAlignment="1">
      <alignment/>
    </xf>
    <xf numFmtId="164" fontId="0" fillId="5" borderId="12" xfId="0" applyNumberFormat="1" applyFill="1" applyBorder="1" applyAlignment="1">
      <alignment/>
    </xf>
    <xf numFmtId="0" fontId="0" fillId="5" borderId="1" xfId="0" applyFill="1" applyBorder="1" applyAlignment="1">
      <alignment/>
    </xf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2" borderId="72" xfId="0" applyNumberFormat="1" applyFill="1" applyBorder="1" applyAlignment="1" quotePrefix="1">
      <alignment horizontal="center"/>
    </xf>
    <xf numFmtId="0" fontId="0" fillId="0" borderId="1" xfId="0" applyBorder="1" applyAlignment="1">
      <alignment horizontal="center"/>
    </xf>
    <xf numFmtId="166" fontId="0" fillId="6" borderId="73" xfId="0" applyNumberFormat="1" applyFill="1" applyBorder="1" applyAlignment="1" quotePrefix="1">
      <alignment horizontal="center"/>
    </xf>
    <xf numFmtId="166" fontId="0" fillId="0" borderId="32" xfId="0" applyNumberFormat="1" applyBorder="1" applyAlignment="1">
      <alignment horizontal="center"/>
    </xf>
    <xf numFmtId="0" fontId="4" fillId="5" borderId="74" xfId="0" applyFont="1" applyFill="1" applyBorder="1" applyAlignment="1">
      <alignment horizontal="center"/>
    </xf>
    <xf numFmtId="166" fontId="0" fillId="5" borderId="52" xfId="0" applyNumberFormat="1" applyFill="1" applyBorder="1" applyAlignment="1">
      <alignment horizontal="center"/>
    </xf>
    <xf numFmtId="166" fontId="0" fillId="0" borderId="39" xfId="0" applyNumberFormat="1" applyBorder="1" applyAlignment="1">
      <alignment horizontal="center"/>
    </xf>
    <xf numFmtId="166" fontId="0" fillId="0" borderId="39" xfId="0" applyNumberFormat="1" applyFill="1" applyBorder="1" applyAlignment="1">
      <alignment horizontal="center"/>
    </xf>
    <xf numFmtId="166" fontId="0" fillId="0" borderId="39" xfId="0" applyNumberFormat="1" applyBorder="1" applyAlignment="1">
      <alignment/>
    </xf>
    <xf numFmtId="166" fontId="0" fillId="0" borderId="39" xfId="0" applyNumberFormat="1" applyBorder="1" applyAlignment="1" quotePrefix="1">
      <alignment/>
    </xf>
    <xf numFmtId="0" fontId="0" fillId="0" borderId="39" xfId="0" applyBorder="1" applyAlignment="1">
      <alignment/>
    </xf>
    <xf numFmtId="0" fontId="0" fillId="0" borderId="2" xfId="0" applyFill="1" applyBorder="1" applyAlignment="1">
      <alignment/>
    </xf>
    <xf numFmtId="166" fontId="0" fillId="0" borderId="60" xfId="0" applyNumberFormat="1" applyFill="1" applyBorder="1" applyAlignment="1">
      <alignment/>
    </xf>
    <xf numFmtId="166" fontId="0" fillId="0" borderId="4" xfId="0" applyNumberFormat="1" applyFill="1" applyBorder="1" applyAlignment="1">
      <alignment/>
    </xf>
    <xf numFmtId="166" fontId="0" fillId="0" borderId="5" xfId="0" applyNumberFormat="1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66" fontId="0" fillId="0" borderId="10" xfId="0" applyNumberFormat="1" applyFill="1" applyBorder="1" applyAlignment="1">
      <alignment horizontal="center"/>
    </xf>
    <xf numFmtId="166" fontId="0" fillId="0" borderId="6" xfId="0" applyNumberFormat="1" applyFill="1" applyBorder="1" applyAlignment="1">
      <alignment horizontal="center"/>
    </xf>
    <xf numFmtId="166" fontId="0" fillId="0" borderId="11" xfId="0" applyNumberFormat="1" applyFill="1" applyBorder="1" applyAlignment="1">
      <alignment horizontal="center"/>
    </xf>
    <xf numFmtId="166" fontId="0" fillId="0" borderId="15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12" xfId="0" applyNumberFormat="1" applyFill="1" applyBorder="1" applyAlignment="1">
      <alignment horizontal="center"/>
    </xf>
    <xf numFmtId="166" fontId="0" fillId="0" borderId="0" xfId="0" applyNumberFormat="1" applyFill="1" applyBorder="1" applyAlignment="1" quotePrefix="1">
      <alignment horizontal="center"/>
    </xf>
    <xf numFmtId="166" fontId="0" fillId="18" borderId="6" xfId="0" applyNumberFormat="1" applyFill="1" applyBorder="1" applyAlignment="1" quotePrefix="1">
      <alignment/>
    </xf>
    <xf numFmtId="0" fontId="0" fillId="0" borderId="75" xfId="0" applyBorder="1" applyAlignment="1">
      <alignment horizontal="center"/>
    </xf>
    <xf numFmtId="0" fontId="4" fillId="0" borderId="76" xfId="0" applyFont="1" applyFill="1" applyBorder="1" applyAlignment="1">
      <alignment horizontal="center"/>
    </xf>
    <xf numFmtId="166" fontId="4" fillId="0" borderId="76" xfId="0" applyNumberFormat="1" applyFont="1" applyFill="1" applyBorder="1" applyAlignment="1">
      <alignment horizontal="center"/>
    </xf>
    <xf numFmtId="166" fontId="4" fillId="0" borderId="77" xfId="0" applyNumberFormat="1" applyFont="1" applyFill="1" applyBorder="1" applyAlignment="1">
      <alignment horizontal="center"/>
    </xf>
    <xf numFmtId="0" fontId="4" fillId="6" borderId="62" xfId="0" applyFont="1" applyFill="1" applyBorder="1" applyAlignment="1">
      <alignment horizontal="center"/>
    </xf>
    <xf numFmtId="166" fontId="0" fillId="0" borderId="68" xfId="0" applyNumberFormat="1" applyBorder="1" applyAlignment="1">
      <alignment horizontal="center"/>
    </xf>
    <xf numFmtId="166" fontId="0" fillId="0" borderId="68" xfId="0" applyNumberFormat="1" applyBorder="1" applyAlignment="1">
      <alignment/>
    </xf>
    <xf numFmtId="0" fontId="0" fillId="0" borderId="68" xfId="0" applyBorder="1" applyAlignment="1">
      <alignment/>
    </xf>
    <xf numFmtId="166" fontId="0" fillId="5" borderId="78" xfId="0" applyNumberFormat="1" applyFill="1" applyBorder="1" applyAlignment="1">
      <alignment horizontal="center"/>
    </xf>
    <xf numFmtId="166" fontId="0" fillId="0" borderId="66" xfId="0" applyNumberFormat="1" applyBorder="1" applyAlignment="1">
      <alignment/>
    </xf>
    <xf numFmtId="0" fontId="0" fillId="0" borderId="66" xfId="0" applyBorder="1" applyAlignment="1">
      <alignment/>
    </xf>
    <xf numFmtId="0" fontId="0" fillId="0" borderId="52" xfId="0" applyBorder="1" applyAlignment="1">
      <alignment/>
    </xf>
    <xf numFmtId="166" fontId="0" fillId="0" borderId="72" xfId="0" applyNumberFormat="1" applyBorder="1" applyAlignment="1">
      <alignment horizontal="center"/>
    </xf>
    <xf numFmtId="166" fontId="0" fillId="0" borderId="79" xfId="0" applyNumberFormat="1" applyBorder="1" applyAlignment="1">
      <alignment horizontal="center"/>
    </xf>
    <xf numFmtId="0" fontId="0" fillId="0" borderId="74" xfId="0" applyBorder="1" applyAlignment="1">
      <alignment horizontal="right"/>
    </xf>
    <xf numFmtId="0" fontId="0" fillId="0" borderId="78" xfId="0" applyBorder="1" applyAlignment="1">
      <alignment horizontal="right"/>
    </xf>
    <xf numFmtId="0" fontId="0" fillId="0" borderId="13" xfId="0" applyBorder="1" applyAlignment="1">
      <alignment/>
    </xf>
    <xf numFmtId="0" fontId="0" fillId="0" borderId="32" xfId="0" applyFill="1" applyBorder="1" applyAlignment="1">
      <alignment/>
    </xf>
    <xf numFmtId="0" fontId="4" fillId="0" borderId="80" xfId="0" applyNumberFormat="1" applyFont="1" applyFill="1" applyBorder="1" applyAlignment="1">
      <alignment horizontal="center"/>
    </xf>
    <xf numFmtId="0" fontId="0" fillId="0" borderId="33" xfId="0" applyBorder="1" applyAlignment="1">
      <alignment/>
    </xf>
    <xf numFmtId="0" fontId="4" fillId="0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12" fillId="0" borderId="1" xfId="0" applyFont="1" applyFill="1" applyBorder="1" applyAlignment="1">
      <alignment horizontal="right"/>
    </xf>
    <xf numFmtId="166" fontId="0" fillId="0" borderId="33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8" fillId="3" borderId="8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4" fillId="2" borderId="73" xfId="0" applyFont="1" applyFill="1" applyBorder="1" applyAlignment="1">
      <alignment horizontal="center"/>
    </xf>
    <xf numFmtId="0" fontId="4" fillId="2" borderId="66" xfId="0" applyFont="1" applyFill="1" applyBorder="1" applyAlignment="1">
      <alignment horizontal="center"/>
    </xf>
    <xf numFmtId="1" fontId="0" fillId="2" borderId="82" xfId="0" applyNumberFormat="1" applyFill="1" applyBorder="1" applyAlignment="1">
      <alignment horizontal="center"/>
    </xf>
    <xf numFmtId="0" fontId="0" fillId="2" borderId="83" xfId="0" applyFill="1" applyBorder="1" applyAlignment="1">
      <alignment horizontal="center"/>
    </xf>
    <xf numFmtId="0" fontId="0" fillId="2" borderId="84" xfId="0" applyFill="1" applyBorder="1" applyAlignment="1">
      <alignment horizontal="center"/>
    </xf>
    <xf numFmtId="0" fontId="0" fillId="2" borderId="85" xfId="0" applyFill="1" applyBorder="1" applyAlignment="1">
      <alignment horizontal="center"/>
    </xf>
    <xf numFmtId="0" fontId="0" fillId="4" borderId="6" xfId="0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 horizontal="right"/>
    </xf>
    <xf numFmtId="2" fontId="0" fillId="0" borderId="72" xfId="0" applyNumberFormat="1" applyBorder="1" applyAlignment="1">
      <alignment horizontal="center"/>
    </xf>
    <xf numFmtId="166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166" fontId="0" fillId="0" borderId="39" xfId="0" applyNumberFormat="1" applyFill="1" applyBorder="1" applyAlignment="1">
      <alignment/>
    </xf>
    <xf numFmtId="166" fontId="0" fillId="0" borderId="66" xfId="0" applyNumberFormat="1" applyFill="1" applyBorder="1" applyAlignment="1">
      <alignment/>
    </xf>
    <xf numFmtId="166" fontId="0" fillId="0" borderId="37" xfId="0" applyNumberFormat="1" applyFill="1" applyBorder="1" applyAlignment="1">
      <alignment horizontal="center"/>
    </xf>
    <xf numFmtId="166" fontId="0" fillId="0" borderId="68" xfId="0" applyNumberFormat="1" applyFill="1" applyBorder="1" applyAlignment="1">
      <alignment horizontal="center"/>
    </xf>
    <xf numFmtId="166" fontId="0" fillId="6" borderId="37" xfId="0" applyNumberFormat="1" applyFill="1" applyBorder="1" applyAlignment="1">
      <alignment/>
    </xf>
    <xf numFmtId="166" fontId="0" fillId="6" borderId="39" xfId="0" applyNumberFormat="1" applyFill="1" applyBorder="1" applyAlignment="1">
      <alignment/>
    </xf>
    <xf numFmtId="166" fontId="0" fillId="18" borderId="63" xfId="0" applyNumberFormat="1" applyFill="1" applyBorder="1" applyAlignment="1">
      <alignment/>
    </xf>
    <xf numFmtId="166" fontId="0" fillId="18" borderId="66" xfId="0" applyNumberFormat="1" applyFill="1" applyBorder="1" applyAlignment="1">
      <alignment/>
    </xf>
    <xf numFmtId="166" fontId="0" fillId="13" borderId="66" xfId="0" applyNumberFormat="1" applyFill="1" applyBorder="1" applyAlignment="1">
      <alignment/>
    </xf>
    <xf numFmtId="166" fontId="0" fillId="18" borderId="39" xfId="0" applyNumberFormat="1" applyFill="1" applyBorder="1" applyAlignment="1">
      <alignment horizontal="center"/>
    </xf>
    <xf numFmtId="166" fontId="0" fillId="13" borderId="39" xfId="0" applyNumberFormat="1" applyFill="1" applyBorder="1" applyAlignment="1">
      <alignment horizontal="center"/>
    </xf>
    <xf numFmtId="166" fontId="0" fillId="18" borderId="80" xfId="0" applyNumberFormat="1" applyFill="1" applyBorder="1" applyAlignment="1">
      <alignment horizontal="center"/>
    </xf>
    <xf numFmtId="166" fontId="0" fillId="13" borderId="68" xfId="0" applyNumberFormat="1" applyFill="1" applyBorder="1" applyAlignment="1">
      <alignment horizontal="center"/>
    </xf>
    <xf numFmtId="166" fontId="0" fillId="18" borderId="65" xfId="0" applyNumberFormat="1" applyFill="1" applyBorder="1" applyAlignment="1">
      <alignment horizontal="center"/>
    </xf>
    <xf numFmtId="166" fontId="0" fillId="18" borderId="68" xfId="0" applyNumberFormat="1" applyFill="1" applyBorder="1" applyAlignment="1">
      <alignment horizontal="center"/>
    </xf>
    <xf numFmtId="1" fontId="0" fillId="0" borderId="0" xfId="0" applyNumberFormat="1" applyFill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Compensated Adjustment History</a:t>
            </a:r>
          </a:p>
        </c:rich>
      </c:tx>
      <c:layout>
        <c:manualLayout>
          <c:xMode val="factor"/>
          <c:yMode val="factor"/>
          <c:x val="-0.32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265"/>
          <c:w val="0.82975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Adjustments!$B$29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Adjustments!$C$29:$H$29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Adjustments!$B$30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Adjustments!$C$30:$H$30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Adjustments!$B$31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Adjustments!$C$31:$H$31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Adjustments!$B$32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Adjustments!$C$32:$H$32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Adjustments!$B$33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Adjustments!$C$33:$H$33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Adjustments!$B$34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Adjustments!$C$34:$H$34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Adjustments!$B$35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Adjustments!$C$35:$H$35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Adjustments!$B$36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Adjustments!$C$36:$H$36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Adjustments!$B$37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Adjustments!$C$37:$H$37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Adjustments!$B$38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Adjustments!$C$38:$H$38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Adjustments!$B$39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Adjustments!$C$39:$H$39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Adjustments!$B$40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Adjustments!$C$40:$H$40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Adjustments!$B$41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Adjustments!$C$41:$H$41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Adjustments!$B$42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Adjustments!$C$42:$H$42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Adjustments!$B$43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Adjustments!$C$43:$H$43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Adjustments!$B$44</c:f>
              <c:strCache>
                <c:ptCount val="1"/>
                <c:pt idx="0">
                  <c:v>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Adjustments!$C$44:$H$44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2793852"/>
        <c:axId val="28273757"/>
      </c:lineChart>
      <c:catAx>
        <c:axId val="62793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Adjustment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73757"/>
        <c:crosses val="autoZero"/>
        <c:auto val="1"/>
        <c:lblOffset val="100"/>
        <c:noMultiLvlLbl val="0"/>
      </c:catAx>
      <c:valAx>
        <c:axId val="28273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793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22</xdr:row>
      <xdr:rowOff>142875</xdr:rowOff>
    </xdr:from>
    <xdr:to>
      <xdr:col>10</xdr:col>
      <xdr:colOff>95250</xdr:colOff>
      <xdr:row>49</xdr:row>
      <xdr:rowOff>114300</xdr:rowOff>
    </xdr:to>
    <xdr:graphicFrame>
      <xdr:nvGraphicFramePr>
        <xdr:cNvPr id="1" name="Chart 3"/>
        <xdr:cNvGraphicFramePr/>
      </xdr:nvGraphicFramePr>
      <xdr:xfrm>
        <a:off x="342900" y="3752850"/>
        <a:ext cx="67437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workbookViewId="0" topLeftCell="A1">
      <selection activeCell="D53" sqref="D53"/>
    </sheetView>
  </sheetViews>
  <sheetFormatPr defaultColWidth="9.140625" defaultRowHeight="12.75"/>
  <cols>
    <col min="1" max="6" width="10.7109375" style="0" customWidth="1"/>
    <col min="7" max="7" width="14.140625" style="0" customWidth="1"/>
    <col min="8" max="9" width="10.7109375" style="0" customWidth="1"/>
    <col min="10" max="10" width="14.7109375" style="0" customWidth="1"/>
    <col min="11" max="11" width="8.57421875" style="0" customWidth="1"/>
    <col min="13" max="13" width="9.00390625" style="0" customWidth="1"/>
    <col min="16" max="16" width="9.57421875" style="0" bestFit="1" customWidth="1"/>
  </cols>
  <sheetData>
    <row r="1" spans="1:18" ht="30.75" customHeight="1" thickBot="1">
      <c r="A1" s="80" t="s">
        <v>43</v>
      </c>
      <c r="B1" s="79"/>
      <c r="C1" s="79"/>
      <c r="D1" s="79"/>
      <c r="E1" s="79"/>
      <c r="F1" s="79"/>
      <c r="I1" s="1"/>
      <c r="K1" s="1"/>
      <c r="L1" s="1"/>
      <c r="M1" s="1"/>
      <c r="N1" s="1"/>
      <c r="O1" s="1"/>
      <c r="P1" s="1"/>
      <c r="Q1" s="1"/>
      <c r="R1" s="1"/>
    </row>
    <row r="2" spans="1:18" ht="13.5" thickBot="1">
      <c r="A2" s="5" t="s">
        <v>44</v>
      </c>
      <c r="B2" s="6"/>
      <c r="C2" s="6"/>
      <c r="D2" s="6"/>
      <c r="E2" s="6"/>
      <c r="F2" s="6"/>
      <c r="G2" s="6"/>
      <c r="H2" s="7"/>
      <c r="I2" s="457"/>
      <c r="J2" s="3"/>
      <c r="Q2" s="412"/>
      <c r="R2" s="412"/>
    </row>
    <row r="3" spans="1:18" ht="12.75">
      <c r="A3" s="83"/>
      <c r="B3" s="90" t="s">
        <v>1</v>
      </c>
      <c r="C3" s="91" t="s">
        <v>2</v>
      </c>
      <c r="D3" s="92" t="s">
        <v>3</v>
      </c>
      <c r="E3" s="90" t="s">
        <v>12</v>
      </c>
      <c r="F3" s="91" t="s">
        <v>13</v>
      </c>
      <c r="G3" s="91" t="s">
        <v>34</v>
      </c>
      <c r="H3" s="93" t="s">
        <v>33</v>
      </c>
      <c r="I3" s="490"/>
      <c r="J3" s="3"/>
      <c r="K3" t="s">
        <v>95</v>
      </c>
      <c r="Q3" s="412"/>
      <c r="R3" s="412"/>
    </row>
    <row r="4" spans="1:18" ht="13.5" thickBot="1">
      <c r="A4" s="98" t="s">
        <v>0</v>
      </c>
      <c r="B4" s="498"/>
      <c r="C4" s="499"/>
      <c r="D4" s="500"/>
      <c r="E4" s="94"/>
      <c r="F4" s="95"/>
      <c r="G4" s="96">
        <f>IF(D5&gt;-1,D5,"")</f>
      </c>
      <c r="H4" s="97"/>
      <c r="I4" s="502"/>
      <c r="J4" s="3"/>
      <c r="K4">
        <v>21.512</v>
      </c>
      <c r="L4">
        <v>45.685</v>
      </c>
      <c r="M4">
        <v>-8.815</v>
      </c>
      <c r="Q4" s="412"/>
      <c r="R4" s="412"/>
    </row>
    <row r="5" spans="1:18" ht="12.75">
      <c r="A5" s="495">
        <v>1</v>
      </c>
      <c r="B5" s="504">
        <v>21.512</v>
      </c>
      <c r="C5" s="504">
        <v>45.685</v>
      </c>
      <c r="D5" s="504">
        <v>-8.815</v>
      </c>
      <c r="E5" s="497">
        <f>57.3*ATAN2(B5-60,C5)</f>
        <v>130.12253929738432</v>
      </c>
      <c r="F5" s="89">
        <f>57.3*ATAN2(B5,D5)</f>
        <v>-22.284051315850746</v>
      </c>
      <c r="G5" s="86">
        <f>SUMPRODUCT(G$24:I$24,B5:D5)</f>
        <v>-0.9258531290059979</v>
      </c>
      <c r="H5" s="87">
        <f>SUMPRODUCT(G$23:I$23,B5:D5)</f>
        <v>7.074965293483042</v>
      </c>
      <c r="J5" s="3"/>
      <c r="K5">
        <v>27.868</v>
      </c>
      <c r="L5" s="14">
        <v>50.687</v>
      </c>
      <c r="M5">
        <v>-11.123</v>
      </c>
      <c r="Q5" s="412"/>
      <c r="R5" s="412"/>
    </row>
    <row r="6" spans="1:18" ht="12.75">
      <c r="A6" s="496">
        <v>2</v>
      </c>
      <c r="B6" s="504">
        <v>27.868</v>
      </c>
      <c r="C6" s="504">
        <v>50.687</v>
      </c>
      <c r="D6" s="504">
        <v>-11.123</v>
      </c>
      <c r="E6" s="497">
        <f aca="true" t="shared" si="0" ref="E6:E19">57.3*ATAN2(B6-60,C6)</f>
        <v>122.38084255832631</v>
      </c>
      <c r="F6" s="89">
        <f aca="true" t="shared" si="1" ref="F6:F19">57.3*ATAN2(B6,D6)</f>
        <v>-21.760107615140136</v>
      </c>
      <c r="G6" s="21">
        <f aca="true" t="shared" si="2" ref="G6:G19">SUMPRODUCT(G$24:I$24,B6:D6)</f>
        <v>-0.920783666801924</v>
      </c>
      <c r="H6" s="81">
        <f aca="true" t="shared" si="3" ref="H6:H19">SUMPRODUCT(G$23:I$23,B6:D6)</f>
        <v>9.392492765932083</v>
      </c>
      <c r="J6" s="3"/>
      <c r="K6">
        <v>55.99</v>
      </c>
      <c r="L6">
        <v>52.606</v>
      </c>
      <c r="M6">
        <v>-21.327</v>
      </c>
      <c r="Q6" s="412"/>
      <c r="R6" s="412"/>
    </row>
    <row r="7" spans="1:18" ht="12.75">
      <c r="A7" s="496">
        <v>3</v>
      </c>
      <c r="B7" s="504">
        <v>55.99</v>
      </c>
      <c r="C7" s="504">
        <v>52.606</v>
      </c>
      <c r="D7" s="504">
        <v>-21.327</v>
      </c>
      <c r="E7" s="497">
        <f t="shared" si="0"/>
        <v>94.36600884212237</v>
      </c>
      <c r="F7" s="89">
        <f t="shared" si="1"/>
        <v>-20.853738647645304</v>
      </c>
      <c r="G7" s="21">
        <f t="shared" si="2"/>
        <v>-0.8911166986968766</v>
      </c>
      <c r="H7" s="81">
        <f t="shared" si="3"/>
        <v>19.65224842795089</v>
      </c>
      <c r="J7" s="3"/>
      <c r="K7">
        <v>79.702</v>
      </c>
      <c r="L7">
        <v>38.149</v>
      </c>
      <c r="M7">
        <v>-29.952</v>
      </c>
      <c r="Q7" s="412"/>
      <c r="R7" s="412"/>
    </row>
    <row r="8" spans="1:18" ht="12.75">
      <c r="A8" s="496">
        <v>4</v>
      </c>
      <c r="B8" s="504">
        <v>79.702</v>
      </c>
      <c r="C8" s="504">
        <v>38.149</v>
      </c>
      <c r="D8" s="504">
        <v>-29.952</v>
      </c>
      <c r="E8" s="497">
        <f t="shared" si="0"/>
        <v>62.69058607299726</v>
      </c>
      <c r="F8" s="89">
        <f t="shared" si="1"/>
        <v>-20.59773001817334</v>
      </c>
      <c r="G8" s="21">
        <f t="shared" si="2"/>
        <v>-0.8859839144370838</v>
      </c>
      <c r="H8" s="81">
        <f t="shared" si="3"/>
        <v>28.286894906936922</v>
      </c>
      <c r="K8">
        <v>89.299</v>
      </c>
      <c r="L8">
        <v>26.546</v>
      </c>
      <c r="M8">
        <v>-33.443</v>
      </c>
      <c r="Q8" s="412"/>
      <c r="R8" s="412"/>
    </row>
    <row r="9" spans="1:18" ht="12.75">
      <c r="A9" s="496">
        <v>5</v>
      </c>
      <c r="B9" s="504">
        <v>89.299</v>
      </c>
      <c r="C9" s="504">
        <v>26.546</v>
      </c>
      <c r="D9" s="504">
        <v>-33.443</v>
      </c>
      <c r="E9" s="497">
        <f t="shared" si="0"/>
        <v>42.180872288582655</v>
      </c>
      <c r="F9" s="89">
        <f t="shared" si="1"/>
        <v>-20.532732626864775</v>
      </c>
      <c r="G9" s="21">
        <f t="shared" si="2"/>
        <v>-0.8840835381042389</v>
      </c>
      <c r="H9" s="81">
        <f t="shared" si="3"/>
        <v>31.781466446170295</v>
      </c>
      <c r="K9">
        <v>64.569</v>
      </c>
      <c r="L9">
        <v>-49.015</v>
      </c>
      <c r="M9">
        <v>-24.434</v>
      </c>
      <c r="Q9" s="412"/>
      <c r="R9" s="412"/>
    </row>
    <row r="10" spans="1:18" ht="12.75">
      <c r="A10" s="496">
        <v>6</v>
      </c>
      <c r="B10" s="504">
        <v>64.569</v>
      </c>
      <c r="C10" s="504">
        <v>-49.015</v>
      </c>
      <c r="D10" s="504">
        <v>-24.434</v>
      </c>
      <c r="E10" s="497">
        <f t="shared" si="0"/>
        <v>-84.68072249788223</v>
      </c>
      <c r="F10" s="89">
        <f t="shared" si="1"/>
        <v>-20.729015729865967</v>
      </c>
      <c r="G10" s="21">
        <f t="shared" si="2"/>
        <v>-0.8765508618877824</v>
      </c>
      <c r="H10" s="81">
        <f t="shared" si="3"/>
        <v>22.786623246681046</v>
      </c>
      <c r="K10">
        <v>45.845</v>
      </c>
      <c r="L10">
        <v>-53.37</v>
      </c>
      <c r="M10">
        <v>-17.616</v>
      </c>
      <c r="N10" s="412"/>
      <c r="O10" s="1"/>
      <c r="P10" s="412"/>
      <c r="Q10" s="412"/>
      <c r="R10" s="412"/>
    </row>
    <row r="11" spans="1:18" ht="12.75">
      <c r="A11" s="496">
        <v>7</v>
      </c>
      <c r="B11" s="504">
        <v>45.845</v>
      </c>
      <c r="C11" s="504">
        <v>-53.37</v>
      </c>
      <c r="D11" s="504">
        <v>-17.616</v>
      </c>
      <c r="E11" s="497">
        <f t="shared" si="0"/>
        <v>-104.86193731415962</v>
      </c>
      <c r="F11" s="89">
        <f t="shared" si="1"/>
        <v>-21.020883896947456</v>
      </c>
      <c r="G11" s="21">
        <f t="shared" si="2"/>
        <v>-0.8737117369992795</v>
      </c>
      <c r="H11" s="81">
        <f t="shared" si="3"/>
        <v>15.973959056095474</v>
      </c>
      <c r="K11">
        <v>25.807</v>
      </c>
      <c r="L11">
        <v>-42.483</v>
      </c>
      <c r="M11">
        <v>-10.338</v>
      </c>
      <c r="N11" s="453"/>
      <c r="O11" s="1"/>
      <c r="P11" s="1"/>
      <c r="Q11" s="1"/>
      <c r="R11" s="1"/>
    </row>
    <row r="12" spans="1:18" ht="12.75">
      <c r="A12" s="496">
        <v>8</v>
      </c>
      <c r="B12" s="504">
        <v>25.807</v>
      </c>
      <c r="C12" s="504">
        <v>-42.483</v>
      </c>
      <c r="D12" s="504">
        <v>-10.338</v>
      </c>
      <c r="E12" s="497">
        <f t="shared" si="0"/>
        <v>-128.8387956263317</v>
      </c>
      <c r="F12" s="89">
        <f t="shared" si="1"/>
        <v>-21.832103449002588</v>
      </c>
      <c r="G12" s="21">
        <f t="shared" si="2"/>
        <v>-0.8880284748791887</v>
      </c>
      <c r="H12" s="81">
        <f t="shared" si="3"/>
        <v>8.669052390216525</v>
      </c>
      <c r="K12" s="3"/>
      <c r="L12" s="1"/>
      <c r="M12" s="1"/>
      <c r="N12" s="1"/>
      <c r="O12" s="1"/>
      <c r="P12" s="1"/>
      <c r="Q12" s="1"/>
      <c r="R12" s="1"/>
    </row>
    <row r="13" spans="1:12" ht="12.75">
      <c r="A13" s="496">
        <v>9</v>
      </c>
      <c r="B13" s="504"/>
      <c r="C13" s="504"/>
      <c r="D13" s="504"/>
      <c r="E13" s="497">
        <f t="shared" si="0"/>
        <v>180.01325905069513</v>
      </c>
      <c r="F13" s="89" t="e">
        <f t="shared" si="1"/>
        <v>#DIV/0!</v>
      </c>
      <c r="G13" s="21">
        <f t="shared" si="2"/>
        <v>0</v>
      </c>
      <c r="H13" s="81">
        <f t="shared" si="3"/>
        <v>0</v>
      </c>
      <c r="L13" s="502"/>
    </row>
    <row r="14" spans="1:8" ht="12.75">
      <c r="A14" s="496">
        <v>10</v>
      </c>
      <c r="B14" s="504"/>
      <c r="C14" s="504"/>
      <c r="D14" s="504"/>
      <c r="E14" s="497">
        <f t="shared" si="0"/>
        <v>180.01325905069513</v>
      </c>
      <c r="F14" s="89" t="e">
        <f t="shared" si="1"/>
        <v>#DIV/0!</v>
      </c>
      <c r="G14" s="21">
        <f t="shared" si="2"/>
        <v>0</v>
      </c>
      <c r="H14" s="81">
        <f t="shared" si="3"/>
        <v>0</v>
      </c>
    </row>
    <row r="15" spans="1:8" ht="12.75">
      <c r="A15" s="496">
        <v>11</v>
      </c>
      <c r="B15" s="505"/>
      <c r="C15" s="505"/>
      <c r="D15" s="505"/>
      <c r="E15" s="497">
        <f t="shared" si="0"/>
        <v>180.01325905069513</v>
      </c>
      <c r="F15" s="89" t="e">
        <f t="shared" si="1"/>
        <v>#DIV/0!</v>
      </c>
      <c r="G15" s="21">
        <f t="shared" si="2"/>
        <v>0</v>
      </c>
      <c r="H15" s="81">
        <f t="shared" si="3"/>
        <v>0</v>
      </c>
    </row>
    <row r="16" spans="1:9" ht="12.75">
      <c r="A16" s="84">
        <v>12</v>
      </c>
      <c r="B16" s="458"/>
      <c r="C16" s="459"/>
      <c r="D16" s="460"/>
      <c r="E16" s="88">
        <f t="shared" si="0"/>
        <v>180.01325905069513</v>
      </c>
      <c r="F16" s="89" t="e">
        <f t="shared" si="1"/>
        <v>#DIV/0!</v>
      </c>
      <c r="G16" s="21">
        <f t="shared" si="2"/>
        <v>0</v>
      </c>
      <c r="H16" s="81">
        <f t="shared" si="3"/>
        <v>0</v>
      </c>
      <c r="I16" s="454"/>
    </row>
    <row r="17" spans="1:9" ht="13.5" thickBot="1">
      <c r="A17" s="84">
        <v>13</v>
      </c>
      <c r="B17" s="458"/>
      <c r="C17" s="459"/>
      <c r="D17" s="460"/>
      <c r="E17" s="88">
        <f t="shared" si="0"/>
        <v>180.01325905069513</v>
      </c>
      <c r="F17" s="89" t="e">
        <f t="shared" si="1"/>
        <v>#DIV/0!</v>
      </c>
      <c r="G17" s="21">
        <f t="shared" si="2"/>
        <v>0</v>
      </c>
      <c r="H17" s="81">
        <f t="shared" si="3"/>
        <v>0</v>
      </c>
      <c r="I17" s="454"/>
    </row>
    <row r="18" spans="1:14" ht="13.5" thickBot="1">
      <c r="A18" s="84">
        <v>14</v>
      </c>
      <c r="B18" s="458"/>
      <c r="C18" s="459"/>
      <c r="D18" s="460"/>
      <c r="E18" s="88">
        <f t="shared" si="0"/>
        <v>180.01325905069513</v>
      </c>
      <c r="F18" s="89" t="e">
        <f t="shared" si="1"/>
        <v>#DIV/0!</v>
      </c>
      <c r="G18" s="21">
        <f t="shared" si="2"/>
        <v>0</v>
      </c>
      <c r="H18" s="81">
        <f t="shared" si="3"/>
        <v>0</v>
      </c>
      <c r="I18" s="454"/>
      <c r="J18" s="23" t="s">
        <v>46</v>
      </c>
      <c r="K18" s="24"/>
      <c r="L18" s="24"/>
      <c r="M18" s="24"/>
      <c r="N18" s="357" t="s">
        <v>53</v>
      </c>
    </row>
    <row r="19" spans="1:14" ht="13.5" thickBot="1">
      <c r="A19" s="85">
        <v>15</v>
      </c>
      <c r="B19" s="461"/>
      <c r="C19" s="462"/>
      <c r="D19" s="463"/>
      <c r="E19" s="88">
        <f t="shared" si="0"/>
        <v>180.01325905069513</v>
      </c>
      <c r="F19" s="89" t="e">
        <f t="shared" si="1"/>
        <v>#DIV/0!</v>
      </c>
      <c r="G19" s="22">
        <f t="shared" si="2"/>
        <v>0</v>
      </c>
      <c r="H19" s="82">
        <f t="shared" si="3"/>
        <v>0</v>
      </c>
      <c r="I19" s="454"/>
      <c r="J19" s="324" t="s">
        <v>47</v>
      </c>
      <c r="K19" s="325"/>
      <c r="L19" s="330">
        <v>20</v>
      </c>
      <c r="M19" s="330">
        <v>0</v>
      </c>
      <c r="N19" s="322"/>
    </row>
    <row r="20" spans="10:15" ht="12.75">
      <c r="J20" s="328" t="s">
        <v>48</v>
      </c>
      <c r="K20" s="329">
        <v>1</v>
      </c>
      <c r="L20" s="330">
        <v>40</v>
      </c>
      <c r="M20" s="330">
        <v>20</v>
      </c>
      <c r="N20" s="322">
        <f>IF(AND(K19=1,ISBLANK(K20),ISBLANK(K21)),20,IF(AND(K20=1,ISBLANK(K19),ISBLANK(K21)),40,IF(AND(K21=1,ISBLANK(K19),ISBLANK(K20)),60)))</f>
        <v>40</v>
      </c>
      <c r="O20" t="s">
        <v>80</v>
      </c>
    </row>
    <row r="21" spans="10:15" ht="13.5" thickBot="1">
      <c r="J21" s="331" t="s">
        <v>49</v>
      </c>
      <c r="K21" s="332"/>
      <c r="L21" s="330">
        <v>60</v>
      </c>
      <c r="M21" s="330">
        <v>40</v>
      </c>
      <c r="N21" s="322">
        <f>IF(AND(K19=1,ISBLANK(K20),ISBLANK(K21)),0,IF(AND(K20=1,ISBLANK(K19),ISBLANK(K21)),20,IF(AND(K21=1,ISBLANK(K19),ISBLANK(K20)),40)))</f>
        <v>20</v>
      </c>
      <c r="O21" t="s">
        <v>77</v>
      </c>
    </row>
    <row r="22" spans="1:14" ht="13.5" thickBot="1">
      <c r="A22" s="11" t="s">
        <v>36</v>
      </c>
      <c r="B22" s="12"/>
      <c r="C22" s="12"/>
      <c r="D22" s="13"/>
      <c r="F22" s="8" t="s">
        <v>30</v>
      </c>
      <c r="G22" s="9"/>
      <c r="H22" s="9"/>
      <c r="I22" s="10"/>
      <c r="J22" s="23" t="s">
        <v>50</v>
      </c>
      <c r="K22" s="24"/>
      <c r="L22" s="24"/>
      <c r="M22" s="24"/>
      <c r="N22" s="25"/>
    </row>
    <row r="23" spans="1:15" ht="12.75">
      <c r="A23" s="26"/>
      <c r="B23" s="27" t="s">
        <v>1</v>
      </c>
      <c r="C23" s="27" t="s">
        <v>2</v>
      </c>
      <c r="D23" s="34" t="s">
        <v>3</v>
      </c>
      <c r="F23" s="36" t="s">
        <v>31</v>
      </c>
      <c r="G23" s="37">
        <f>SIN(N20*ACOS(-1)/180)</f>
        <v>0.6427876096865393</v>
      </c>
      <c r="H23" s="37">
        <v>0</v>
      </c>
      <c r="I23" s="38">
        <f>COS(N20*ACOS(-1)/180)</f>
        <v>0.766044443118978</v>
      </c>
      <c r="J23" s="324" t="s">
        <v>52</v>
      </c>
      <c r="K23" s="325"/>
      <c r="L23" s="321"/>
      <c r="M23" s="321"/>
      <c r="N23" s="355" t="str">
        <f>IF(AND(K23=1,ISBLANK(K24)),"G",IF(AND(K24=1,ISBLANK(K23)),"H"))</f>
        <v>H</v>
      </c>
      <c r="O23" t="s">
        <v>78</v>
      </c>
    </row>
    <row r="24" spans="1:15" ht="13.5" thickBot="1">
      <c r="A24" s="28">
        <v>1</v>
      </c>
      <c r="B24">
        <v>-101.323</v>
      </c>
      <c r="C24">
        <v>-14.07342</v>
      </c>
      <c r="D24">
        <v>-65.64024</v>
      </c>
      <c r="F24" s="39" t="s">
        <v>14</v>
      </c>
      <c r="G24" s="40">
        <f>SIN(N21*ACOS(-1)/180)</f>
        <v>0.3420201433256687</v>
      </c>
      <c r="H24" s="40">
        <v>0</v>
      </c>
      <c r="I24" s="41">
        <f>N24*COS(N21*ACOS(-1)/180)</f>
        <v>0.9396926207859084</v>
      </c>
      <c r="J24" s="326" t="s">
        <v>51</v>
      </c>
      <c r="K24" s="327">
        <v>1</v>
      </c>
      <c r="L24" s="323"/>
      <c r="M24" s="323"/>
      <c r="N24" s="356">
        <f>IF(AND(K23=1,ISBLANK(K24)),-1,IF(AND(K24=1,ISBLANK(K23)),1))</f>
        <v>1</v>
      </c>
      <c r="O24" t="s">
        <v>79</v>
      </c>
    </row>
    <row r="25" spans="1:11" ht="12.75">
      <c r="A25" s="28">
        <v>2</v>
      </c>
      <c r="B25">
        <v>-188.55326</v>
      </c>
      <c r="C25">
        <v>-44.57915</v>
      </c>
      <c r="D25">
        <v>-37.17756</v>
      </c>
      <c r="J25" s="14"/>
      <c r="K25" s="14"/>
    </row>
    <row r="26" spans="1:12" ht="13.5" thickBot="1">
      <c r="A26" s="35">
        <v>3</v>
      </c>
      <c r="B26">
        <v>-108.88183</v>
      </c>
      <c r="C26">
        <v>-105.34109</v>
      </c>
      <c r="D26">
        <v>-37.60295</v>
      </c>
      <c r="J26" s="14"/>
      <c r="K26" s="14"/>
      <c r="L26" s="3"/>
    </row>
    <row r="27" ht="13.5" thickBot="1"/>
    <row r="28" spans="1:12" ht="12.75">
      <c r="A28" s="20" t="s">
        <v>45</v>
      </c>
      <c r="B28" s="16"/>
      <c r="C28" s="16"/>
      <c r="D28" s="17"/>
      <c r="E28" s="73" t="s">
        <v>42</v>
      </c>
      <c r="H28" t="s">
        <v>96</v>
      </c>
      <c r="L28" t="s">
        <v>97</v>
      </c>
    </row>
    <row r="29" spans="1:14" ht="13.5" thickBot="1">
      <c r="A29" s="33"/>
      <c r="B29" s="18"/>
      <c r="C29" s="18"/>
      <c r="D29" s="19"/>
      <c r="E29" s="14"/>
      <c r="F29" s="15"/>
      <c r="H29">
        <v>-177.58844</v>
      </c>
      <c r="I29">
        <v>-36.58021</v>
      </c>
      <c r="J29">
        <v>-34.12715</v>
      </c>
      <c r="L29">
        <v>-177.58936</v>
      </c>
      <c r="M29">
        <v>-36.58246</v>
      </c>
      <c r="N29">
        <v>-34.12669</v>
      </c>
    </row>
    <row r="30" spans="1:19" ht="12.75">
      <c r="A30" s="414" t="s">
        <v>15</v>
      </c>
      <c r="B30" s="76" t="s">
        <v>16</v>
      </c>
      <c r="C30" s="77" t="s">
        <v>17</v>
      </c>
      <c r="D30" s="78" t="s">
        <v>18</v>
      </c>
      <c r="E30" s="14"/>
      <c r="F30" s="15"/>
      <c r="H30">
        <v>-177.13597</v>
      </c>
      <c r="I30">
        <v>-28.18346</v>
      </c>
      <c r="J30">
        <v>-34.19018</v>
      </c>
      <c r="L30">
        <v>-177.13473</v>
      </c>
      <c r="M30">
        <v>-28.18694</v>
      </c>
      <c r="N30">
        <v>-34.18871</v>
      </c>
      <c r="P30" s="369"/>
      <c r="Q30" s="369"/>
      <c r="R30" s="369"/>
      <c r="S30" s="369"/>
    </row>
    <row r="31" spans="1:19" ht="12.75">
      <c r="A31" s="415">
        <v>1</v>
      </c>
      <c r="B31" s="428">
        <v>-177.58854</v>
      </c>
      <c r="C31" s="428">
        <v>-36.5807</v>
      </c>
      <c r="D31" s="428">
        <v>-34.12005</v>
      </c>
      <c r="E31" s="14" t="b">
        <f>AND(ISBLANK(B31),ISBLANK(C31),ISBLANK(D31))</f>
        <v>0</v>
      </c>
      <c r="F31" s="15"/>
      <c r="H31">
        <v>-159.55654</v>
      </c>
      <c r="I31">
        <v>-3.90324</v>
      </c>
      <c r="J31">
        <v>-34.24598</v>
      </c>
      <c r="L31">
        <v>-159.5584</v>
      </c>
      <c r="M31">
        <v>-3.90538</v>
      </c>
      <c r="N31">
        <v>-34.2345</v>
      </c>
      <c r="P31" s="369"/>
      <c r="Q31" s="369"/>
      <c r="R31" s="369"/>
      <c r="S31" s="369"/>
    </row>
    <row r="32" spans="1:19" ht="12.75">
      <c r="A32" s="415">
        <v>2</v>
      </c>
      <c r="B32" s="428">
        <v>-177.13638</v>
      </c>
      <c r="C32" s="428">
        <v>-28.18401</v>
      </c>
      <c r="D32" s="428">
        <v>-34.18166</v>
      </c>
      <c r="E32" s="14" t="b">
        <f aca="true" t="shared" si="4" ref="E32:E45">AND(ISBLANK(B32),ISBLANK(C32),ISBLANK(D32))</f>
        <v>0</v>
      </c>
      <c r="F32" s="15"/>
      <c r="H32">
        <v>-132.33999</v>
      </c>
      <c r="I32">
        <v>6.34002</v>
      </c>
      <c r="J32">
        <v>-34.15603</v>
      </c>
      <c r="L32">
        <v>-132.34176</v>
      </c>
      <c r="M32">
        <v>6.33982</v>
      </c>
      <c r="N32">
        <v>-34.1375</v>
      </c>
      <c r="P32" s="369"/>
      <c r="Q32" s="369"/>
      <c r="R32" s="369"/>
      <c r="S32" s="369"/>
    </row>
    <row r="33" spans="1:19" ht="12.75">
      <c r="A33" s="415">
        <v>3</v>
      </c>
      <c r="B33" s="428">
        <v>-159.55995</v>
      </c>
      <c r="C33" s="428">
        <v>-3.90083</v>
      </c>
      <c r="D33" s="428">
        <v>-34.22437</v>
      </c>
      <c r="E33" s="14" t="b">
        <f t="shared" si="4"/>
        <v>0</v>
      </c>
      <c r="F33" s="15"/>
      <c r="H33">
        <v>-116.89261</v>
      </c>
      <c r="I33">
        <v>6.81944</v>
      </c>
      <c r="J33">
        <v>-34.06259</v>
      </c>
      <c r="L33">
        <v>-116.8941</v>
      </c>
      <c r="M33">
        <v>6.82207</v>
      </c>
      <c r="N33">
        <v>-34.04424</v>
      </c>
      <c r="P33" s="369"/>
      <c r="Q33" s="369"/>
      <c r="R33" s="369"/>
      <c r="S33" s="369"/>
    </row>
    <row r="34" spans="1:19" ht="12.75">
      <c r="A34" s="415">
        <v>4</v>
      </c>
      <c r="B34" s="428">
        <v>-132.34346</v>
      </c>
      <c r="C34" s="428">
        <v>6.3417</v>
      </c>
      <c r="D34" s="428">
        <v>-34.11735</v>
      </c>
      <c r="E34" s="14" t="b">
        <f t="shared" si="4"/>
        <v>0</v>
      </c>
      <c r="F34" s="15"/>
      <c r="H34">
        <v>-75.41382</v>
      </c>
      <c r="I34">
        <v>-61.59469</v>
      </c>
      <c r="J34">
        <v>-33.25225</v>
      </c>
      <c r="L34">
        <v>-75.41346</v>
      </c>
      <c r="M34">
        <v>-61.58703</v>
      </c>
      <c r="N34">
        <v>-33.23181</v>
      </c>
      <c r="P34" s="369"/>
      <c r="Q34" s="369"/>
      <c r="R34" s="369"/>
      <c r="S34" s="369"/>
    </row>
    <row r="35" spans="1:19" ht="12.75">
      <c r="A35" s="415">
        <v>5</v>
      </c>
      <c r="B35" s="428">
        <v>-116.89403</v>
      </c>
      <c r="C35" s="428">
        <v>6.82523</v>
      </c>
      <c r="D35" s="428">
        <v>-34.01936</v>
      </c>
      <c r="E35" s="14" t="b">
        <f t="shared" si="4"/>
        <v>0</v>
      </c>
      <c r="F35" s="15"/>
      <c r="H35">
        <v>-84.75139</v>
      </c>
      <c r="I35">
        <v>-79.72681</v>
      </c>
      <c r="J35">
        <v>-33.16161</v>
      </c>
      <c r="L35">
        <v>-84.74989</v>
      </c>
      <c r="M35">
        <v>-79.72058</v>
      </c>
      <c r="N35">
        <v>-33.14414</v>
      </c>
      <c r="P35" s="369"/>
      <c r="Q35" s="369"/>
      <c r="R35" s="369"/>
      <c r="S35" s="369"/>
    </row>
    <row r="36" spans="1:19" ht="12.75">
      <c r="A36" s="415">
        <v>6</v>
      </c>
      <c r="B36" s="428">
        <v>-75.40597</v>
      </c>
      <c r="C36" s="428">
        <v>-61.5794</v>
      </c>
      <c r="D36" s="428">
        <v>-33.21242</v>
      </c>
      <c r="E36" s="14" t="b">
        <f t="shared" si="4"/>
        <v>0</v>
      </c>
      <c r="F36" s="15"/>
      <c r="H36">
        <v>-106.72629</v>
      </c>
      <c r="I36">
        <v>-89.22672</v>
      </c>
      <c r="J36">
        <v>-33.23684</v>
      </c>
      <c r="L36">
        <v>-106.72006</v>
      </c>
      <c r="M36">
        <v>-89.22683</v>
      </c>
      <c r="N36">
        <v>-33.23711</v>
      </c>
      <c r="P36" s="369"/>
      <c r="Q36" s="369"/>
      <c r="R36" s="369"/>
      <c r="S36" s="369"/>
    </row>
    <row r="37" spans="1:19" ht="12.75">
      <c r="A37" s="415">
        <v>7</v>
      </c>
      <c r="B37" s="428">
        <v>-84.74216</v>
      </c>
      <c r="C37" s="428">
        <v>-79.71256</v>
      </c>
      <c r="D37" s="428">
        <v>-33.12543</v>
      </c>
      <c r="E37" s="14" t="b">
        <f t="shared" si="4"/>
        <v>0</v>
      </c>
      <c r="F37" s="15"/>
      <c r="G37" s="455"/>
      <c r="P37" s="369"/>
      <c r="Q37" s="369"/>
      <c r="R37" s="369"/>
      <c r="S37" s="369"/>
    </row>
    <row r="38" spans="1:19" ht="12.75">
      <c r="A38" s="415">
        <v>8</v>
      </c>
      <c r="B38" s="428">
        <v>-106.71382</v>
      </c>
      <c r="C38" s="428">
        <v>-89.21861</v>
      </c>
      <c r="D38" s="428">
        <v>-33.21561</v>
      </c>
      <c r="E38" s="14" t="b">
        <f t="shared" si="4"/>
        <v>0</v>
      </c>
      <c r="F38" s="14"/>
      <c r="G38" s="455"/>
      <c r="H38" t="s">
        <v>98</v>
      </c>
      <c r="L38" t="s">
        <v>98</v>
      </c>
      <c r="M38" t="s">
        <v>99</v>
      </c>
      <c r="P38" s="369"/>
      <c r="Q38" s="369"/>
      <c r="R38" s="369"/>
      <c r="S38" s="369"/>
    </row>
    <row r="39" spans="1:14" ht="12.75">
      <c r="A39" s="415">
        <v>9</v>
      </c>
      <c r="B39" s="420"/>
      <c r="C39" s="420"/>
      <c r="D39" s="420"/>
      <c r="E39" s="14" t="b">
        <f t="shared" si="4"/>
        <v>1</v>
      </c>
      <c r="F39" s="14"/>
      <c r="H39">
        <v>-177.58958</v>
      </c>
      <c r="I39">
        <v>-36.58214</v>
      </c>
      <c r="J39">
        <v>-34.12384</v>
      </c>
      <c r="K39" s="453"/>
      <c r="L39">
        <v>-177.58942</v>
      </c>
      <c r="M39">
        <v>-36.58357</v>
      </c>
      <c r="N39">
        <v>-34.12784</v>
      </c>
    </row>
    <row r="40" spans="1:14" ht="12.75">
      <c r="A40" s="415">
        <v>10</v>
      </c>
      <c r="B40" s="419"/>
      <c r="C40" s="420"/>
      <c r="D40" s="421"/>
      <c r="E40" s="14" t="b">
        <f t="shared" si="4"/>
        <v>1</v>
      </c>
      <c r="F40" s="14"/>
      <c r="H40">
        <v>-177.13741</v>
      </c>
      <c r="I40">
        <v>-28.18536</v>
      </c>
      <c r="J40">
        <v>-34.18551</v>
      </c>
      <c r="L40">
        <v>-177.13884</v>
      </c>
      <c r="M40">
        <v>-28.18616</v>
      </c>
      <c r="N40">
        <v>-34.18649</v>
      </c>
    </row>
    <row r="41" spans="1:14" ht="12.75">
      <c r="A41" s="415">
        <v>11</v>
      </c>
      <c r="B41" s="419"/>
      <c r="C41" s="420"/>
      <c r="D41" s="421"/>
      <c r="E41" s="14" t="b">
        <f t="shared" si="4"/>
        <v>1</v>
      </c>
      <c r="F41" s="14"/>
      <c r="H41">
        <v>-159.56009</v>
      </c>
      <c r="I41">
        <v>-3.90396</v>
      </c>
      <c r="J41">
        <v>-34.22458</v>
      </c>
      <c r="L41">
        <v>-159.56231</v>
      </c>
      <c r="M41">
        <v>-3.903</v>
      </c>
      <c r="N41">
        <v>-34.22416</v>
      </c>
    </row>
    <row r="42" spans="1:16" ht="12.75">
      <c r="A42" s="415">
        <v>12</v>
      </c>
      <c r="B42" s="419"/>
      <c r="C42" s="420"/>
      <c r="D42" s="421"/>
      <c r="E42" s="14" t="b">
        <f t="shared" si="4"/>
        <v>1</v>
      </c>
      <c r="F42" s="14"/>
      <c r="H42">
        <v>-132.345</v>
      </c>
      <c r="I42">
        <v>6.34328</v>
      </c>
      <c r="J42">
        <v>-34.12168</v>
      </c>
      <c r="L42">
        <v>-132.34627</v>
      </c>
      <c r="M42">
        <v>6.34162</v>
      </c>
      <c r="N42">
        <v>-34.11567</v>
      </c>
      <c r="P42" s="369"/>
    </row>
    <row r="43" spans="1:16" ht="12.75">
      <c r="A43" s="415">
        <v>13</v>
      </c>
      <c r="B43" s="417"/>
      <c r="C43" s="29"/>
      <c r="D43" s="30"/>
      <c r="E43" s="14" t="b">
        <f t="shared" si="4"/>
        <v>1</v>
      </c>
      <c r="F43" s="14"/>
      <c r="G43" s="3"/>
      <c r="H43">
        <v>-116.89669</v>
      </c>
      <c r="I43">
        <v>6.82472</v>
      </c>
      <c r="J43">
        <v>-34.02465</v>
      </c>
      <c r="L43">
        <v>-116.89836</v>
      </c>
      <c r="M43">
        <v>6.82361</v>
      </c>
      <c r="N43">
        <v>-34.01568</v>
      </c>
      <c r="P43" s="369"/>
    </row>
    <row r="44" spans="1:14" ht="12.75">
      <c r="A44" s="415">
        <v>14</v>
      </c>
      <c r="B44" s="417"/>
      <c r="C44" s="29"/>
      <c r="D44" s="30"/>
      <c r="E44" s="14" t="b">
        <f t="shared" si="4"/>
        <v>1</v>
      </c>
      <c r="F44" s="14"/>
      <c r="G44" s="3"/>
      <c r="H44">
        <v>-75.40865</v>
      </c>
      <c r="I44">
        <v>-61.57993</v>
      </c>
      <c r="J44">
        <v>-33.21465</v>
      </c>
      <c r="L44">
        <v>-75.41112</v>
      </c>
      <c r="M44">
        <v>-61.58153</v>
      </c>
      <c r="N44">
        <v>-33.21302</v>
      </c>
    </row>
    <row r="45" spans="1:16" ht="13.5" thickBot="1">
      <c r="A45" s="416">
        <v>15</v>
      </c>
      <c r="B45" s="418"/>
      <c r="C45" s="31"/>
      <c r="D45" s="32"/>
      <c r="E45" s="14" t="b">
        <f t="shared" si="4"/>
        <v>1</v>
      </c>
      <c r="F45" s="14"/>
      <c r="G45" s="3"/>
      <c r="H45">
        <v>-84.74597</v>
      </c>
      <c r="I45">
        <v>-79.71151</v>
      </c>
      <c r="J45">
        <v>-33.12574</v>
      </c>
      <c r="L45">
        <v>-84.74591</v>
      </c>
      <c r="M45">
        <v>-79.71507</v>
      </c>
      <c r="N45">
        <v>-33.12956</v>
      </c>
      <c r="P45" s="369"/>
    </row>
    <row r="46" spans="1:16" ht="12.75">
      <c r="A46" s="14"/>
      <c r="B46" s="14"/>
      <c r="C46" s="14"/>
      <c r="D46" s="14"/>
      <c r="E46" s="14"/>
      <c r="F46" s="14"/>
      <c r="G46" s="3"/>
      <c r="H46">
        <v>-106.71544</v>
      </c>
      <c r="I46">
        <v>-89.22043</v>
      </c>
      <c r="J46">
        <v>-33.21696</v>
      </c>
      <c r="L46">
        <v>-106.71553</v>
      </c>
      <c r="M46">
        <v>-89.22608</v>
      </c>
      <c r="N46">
        <v>-33.22086</v>
      </c>
      <c r="P46" s="369"/>
    </row>
    <row r="47" spans="7:16" ht="12.75">
      <c r="G47" s="3"/>
      <c r="P47" s="369"/>
    </row>
    <row r="48" spans="4:16" ht="12.75">
      <c r="D48" s="14"/>
      <c r="E48" s="14"/>
      <c r="F48" s="14"/>
      <c r="G48" s="14"/>
      <c r="H48" t="s">
        <v>100</v>
      </c>
      <c r="L48" t="s">
        <v>101</v>
      </c>
      <c r="P48" s="369"/>
    </row>
    <row r="49" spans="1:17" ht="12.75">
      <c r="A49" s="3"/>
      <c r="B49" s="3"/>
      <c r="C49" s="3"/>
      <c r="D49" s="422"/>
      <c r="E49" s="422"/>
      <c r="F49" s="422"/>
      <c r="G49" s="3"/>
      <c r="H49">
        <v>-177.5894</v>
      </c>
      <c r="I49">
        <v>-36.58162</v>
      </c>
      <c r="J49">
        <v>-34.12224</v>
      </c>
      <c r="L49">
        <v>-177.58854</v>
      </c>
      <c r="M49">
        <v>-36.5807</v>
      </c>
      <c r="N49">
        <v>-34.12005</v>
      </c>
      <c r="Q49" s="3"/>
    </row>
    <row r="50" spans="1:17" ht="12.75">
      <c r="A50" s="3"/>
      <c r="B50" s="3"/>
      <c r="C50" s="3"/>
      <c r="D50" s="422"/>
      <c r="E50" s="422"/>
      <c r="F50" s="422"/>
      <c r="G50" s="3"/>
      <c r="H50">
        <v>-177.13736</v>
      </c>
      <c r="I50">
        <v>-28.18469</v>
      </c>
      <c r="J50">
        <v>-34.18287</v>
      </c>
      <c r="L50">
        <v>-177.13638</v>
      </c>
      <c r="M50">
        <v>-28.18401</v>
      </c>
      <c r="N50">
        <v>-34.18166</v>
      </c>
      <c r="Q50" s="3"/>
    </row>
    <row r="51" spans="1:18" ht="12.75">
      <c r="A51" s="3"/>
      <c r="B51" s="3"/>
      <c r="C51" s="3"/>
      <c r="D51" s="456"/>
      <c r="E51" s="456"/>
      <c r="F51" s="456"/>
      <c r="G51" s="3"/>
      <c r="H51">
        <v>-159.55987</v>
      </c>
      <c r="I51">
        <v>-3.90106</v>
      </c>
      <c r="J51">
        <v>-34.22215</v>
      </c>
      <c r="L51">
        <v>-159.55995</v>
      </c>
      <c r="M51">
        <v>-3.90083</v>
      </c>
      <c r="N51">
        <v>-34.22437</v>
      </c>
      <c r="Q51" s="3"/>
      <c r="R51" s="3"/>
    </row>
    <row r="52" spans="1:18" ht="12.75">
      <c r="A52" s="3"/>
      <c r="B52" s="3"/>
      <c r="C52" s="3"/>
      <c r="D52" s="456"/>
      <c r="E52" s="456"/>
      <c r="F52" s="456"/>
      <c r="G52" s="3"/>
      <c r="H52">
        <v>-132.3442</v>
      </c>
      <c r="I52">
        <v>6.34245</v>
      </c>
      <c r="J52">
        <v>-34.1191</v>
      </c>
      <c r="L52">
        <v>-132.34346</v>
      </c>
      <c r="M52">
        <v>6.3417</v>
      </c>
      <c r="N52">
        <v>-34.11735</v>
      </c>
      <c r="Q52" s="410"/>
      <c r="R52" s="3"/>
    </row>
    <row r="53" spans="1:18" ht="12.75">
      <c r="A53" s="412"/>
      <c r="B53" s="457"/>
      <c r="C53" s="411"/>
      <c r="D53" s="456"/>
      <c r="E53" s="456"/>
      <c r="F53" s="456"/>
      <c r="G53" s="3"/>
      <c r="H53">
        <v>-116.89518</v>
      </c>
      <c r="I53">
        <v>6.82569</v>
      </c>
      <c r="J53">
        <v>-34.02024</v>
      </c>
      <c r="L53">
        <v>-116.89403</v>
      </c>
      <c r="M53">
        <v>6.82523</v>
      </c>
      <c r="N53">
        <v>-34.01936</v>
      </c>
      <c r="Q53" s="410"/>
      <c r="R53" s="3"/>
    </row>
    <row r="54" spans="1:18" ht="12.75">
      <c r="A54" s="412"/>
      <c r="B54" s="457"/>
      <c r="C54" s="411"/>
      <c r="D54" s="456"/>
      <c r="E54" s="456"/>
      <c r="F54" s="456"/>
      <c r="G54" s="3"/>
      <c r="H54">
        <v>-75.40773</v>
      </c>
      <c r="I54">
        <v>-61.58005</v>
      </c>
      <c r="J54">
        <v>-33.2134</v>
      </c>
      <c r="L54">
        <v>-75.40597</v>
      </c>
      <c r="M54">
        <v>-61.5794</v>
      </c>
      <c r="N54">
        <v>-33.21242</v>
      </c>
      <c r="Q54" s="410"/>
      <c r="R54" s="3"/>
    </row>
    <row r="55" spans="1:18" ht="12.75">
      <c r="A55" s="412"/>
      <c r="B55" s="457"/>
      <c r="C55" s="411"/>
      <c r="D55" s="456"/>
      <c r="E55" s="456"/>
      <c r="F55" s="456"/>
      <c r="G55" s="3"/>
      <c r="H55" s="3">
        <v>-84.74389</v>
      </c>
      <c r="I55">
        <v>-79.71259</v>
      </c>
      <c r="J55">
        <v>-33.12707</v>
      </c>
      <c r="L55">
        <v>-84.74216</v>
      </c>
      <c r="M55">
        <v>-79.71256</v>
      </c>
      <c r="N55">
        <v>-33.12543</v>
      </c>
      <c r="Q55" s="410"/>
      <c r="R55" s="3"/>
    </row>
    <row r="56" spans="1:18" ht="12.75">
      <c r="A56" s="412"/>
      <c r="B56" s="457"/>
      <c r="C56" s="411"/>
      <c r="D56" s="456"/>
      <c r="E56" s="456"/>
      <c r="F56" s="456"/>
      <c r="G56" s="3"/>
      <c r="H56">
        <v>-106.71438</v>
      </c>
      <c r="I56">
        <v>-89.21918</v>
      </c>
      <c r="J56">
        <v>-33.21375</v>
      </c>
      <c r="L56">
        <v>-106.71382</v>
      </c>
      <c r="M56">
        <v>-89.21861</v>
      </c>
      <c r="N56">
        <v>-33.21561</v>
      </c>
      <c r="Q56" s="410"/>
      <c r="R56" s="3"/>
    </row>
    <row r="57" spans="1:18" ht="12.75">
      <c r="A57" s="412"/>
      <c r="B57" s="457"/>
      <c r="C57" s="411"/>
      <c r="D57" s="456"/>
      <c r="E57" s="456"/>
      <c r="F57" s="456"/>
      <c r="G57" s="3"/>
      <c r="Q57" s="410"/>
      <c r="R57" s="3"/>
    </row>
    <row r="58" spans="1:18" ht="12.75">
      <c r="A58" s="412"/>
      <c r="B58" s="457"/>
      <c r="C58" s="411"/>
      <c r="D58" s="456"/>
      <c r="E58" s="456"/>
      <c r="F58" s="456"/>
      <c r="G58" s="3"/>
      <c r="Q58" s="410"/>
      <c r="R58" s="3"/>
    </row>
    <row r="59" spans="1:18" ht="12.75">
      <c r="A59" s="412"/>
      <c r="B59" s="457"/>
      <c r="C59" s="411"/>
      <c r="D59" s="411"/>
      <c r="E59" s="411"/>
      <c r="F59" s="3"/>
      <c r="G59" s="3"/>
      <c r="Q59" s="410"/>
      <c r="R59" s="3"/>
    </row>
    <row r="60" spans="1:18" ht="12.75">
      <c r="A60" s="412"/>
      <c r="B60" s="457"/>
      <c r="C60" s="411"/>
      <c r="D60" s="411"/>
      <c r="E60" s="411"/>
      <c r="F60" s="3"/>
      <c r="G60" s="3"/>
      <c r="Q60" s="410"/>
      <c r="R60" s="3"/>
    </row>
    <row r="61" spans="1:18" ht="12.75">
      <c r="A61" s="412"/>
      <c r="B61" s="457"/>
      <c r="C61" s="411"/>
      <c r="D61" s="412"/>
      <c r="E61" s="412"/>
      <c r="F61" s="1"/>
      <c r="G61" s="3"/>
      <c r="O61" s="3"/>
      <c r="P61" s="3"/>
      <c r="Q61" s="410"/>
      <c r="R61" s="3"/>
    </row>
    <row r="62" spans="1:15" ht="12.75">
      <c r="A62" s="412"/>
      <c r="B62" s="457"/>
      <c r="C62" s="411"/>
      <c r="D62" s="411"/>
      <c r="E62" s="411"/>
      <c r="F62" s="3"/>
      <c r="G62" s="3"/>
      <c r="O62" s="3"/>
    </row>
    <row r="63" spans="1:18" ht="12.75">
      <c r="A63" s="412"/>
      <c r="B63" s="457"/>
      <c r="C63" s="411"/>
      <c r="D63" s="411"/>
      <c r="E63" s="411"/>
      <c r="F63" s="3"/>
      <c r="G63" s="3"/>
      <c r="O63" s="3"/>
      <c r="P63" s="3"/>
      <c r="Q63" s="410"/>
      <c r="R63" s="3"/>
    </row>
    <row r="64" spans="1:18" ht="12.75">
      <c r="A64" s="412"/>
      <c r="B64" s="457"/>
      <c r="C64" s="411"/>
      <c r="D64" s="412"/>
      <c r="E64" s="412"/>
      <c r="F64" s="1"/>
      <c r="G64" s="3"/>
      <c r="O64" s="3"/>
      <c r="P64" s="3"/>
      <c r="Q64" s="410"/>
      <c r="R64" s="3"/>
    </row>
    <row r="65" spans="1:18" ht="12.75">
      <c r="A65" s="412"/>
      <c r="B65" s="457"/>
      <c r="C65" s="411"/>
      <c r="D65" s="411"/>
      <c r="E65" s="411"/>
      <c r="F65" s="3"/>
      <c r="G65" s="3"/>
      <c r="O65" s="3"/>
      <c r="P65" s="3"/>
      <c r="Q65" s="3"/>
      <c r="R65" s="3"/>
    </row>
    <row r="66" spans="1:18" ht="12.75">
      <c r="A66" s="412"/>
      <c r="B66" s="457"/>
      <c r="C66" s="411"/>
      <c r="D66" s="411"/>
      <c r="E66" s="411"/>
      <c r="F66" s="3"/>
      <c r="G66" s="3"/>
      <c r="O66" s="3"/>
      <c r="P66" s="3"/>
      <c r="Q66" s="3"/>
      <c r="R66" s="3"/>
    </row>
    <row r="67" spans="1:18" ht="12.75">
      <c r="A67" s="412"/>
      <c r="B67" s="457"/>
      <c r="C67" s="411"/>
      <c r="D67" s="412"/>
      <c r="E67" s="412"/>
      <c r="F67" s="1"/>
      <c r="G67" s="3"/>
      <c r="H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2.75">
      <c r="A68" s="3"/>
      <c r="B68" s="3"/>
      <c r="C68" s="3"/>
      <c r="D68" s="411"/>
      <c r="E68" s="3"/>
      <c r="F68" s="3"/>
      <c r="G68" s="3"/>
      <c r="H68" s="3"/>
      <c r="J68" s="3"/>
      <c r="K68" s="3"/>
      <c r="O68" s="3"/>
      <c r="P68" s="3"/>
      <c r="Q68" s="3"/>
      <c r="R68" s="3"/>
    </row>
    <row r="69" spans="1:18" ht="12.75">
      <c r="A69" s="3"/>
      <c r="B69" s="3"/>
      <c r="C69" s="3"/>
      <c r="D69" s="411"/>
      <c r="E69" s="3"/>
      <c r="F69" s="3"/>
      <c r="G69" s="3"/>
      <c r="H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2.75">
      <c r="A70" s="3"/>
      <c r="B70" s="3"/>
      <c r="C70" s="3"/>
      <c r="D70" s="1"/>
      <c r="E70" s="1"/>
      <c r="F70" s="1"/>
      <c r="G70" s="3"/>
      <c r="H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2.75">
      <c r="A71" s="3"/>
      <c r="B71" s="3"/>
      <c r="C71" s="3"/>
      <c r="D71" s="359"/>
      <c r="E71" s="14"/>
      <c r="F71" s="14"/>
      <c r="G71" s="3"/>
      <c r="K71" s="3"/>
      <c r="O71" s="3"/>
      <c r="P71" s="3"/>
      <c r="Q71" s="3"/>
      <c r="R71" s="3"/>
    </row>
    <row r="72" spans="1:18" ht="12.75">
      <c r="A72" s="3"/>
      <c r="B72" s="3"/>
      <c r="C72" s="3"/>
      <c r="D72" s="359"/>
      <c r="E72" s="14"/>
      <c r="F72" s="14"/>
      <c r="G72" s="3"/>
      <c r="O72" s="3"/>
      <c r="P72" s="3"/>
      <c r="Q72" s="3"/>
      <c r="R72" s="3"/>
    </row>
    <row r="73" spans="1:18" ht="12.75">
      <c r="A73" s="3"/>
      <c r="B73" s="3"/>
      <c r="C73" s="3"/>
      <c r="G73" s="3"/>
      <c r="O73" s="3"/>
      <c r="P73" s="3"/>
      <c r="Q73" s="3"/>
      <c r="R73" s="3"/>
    </row>
    <row r="74" spans="1:18" ht="12.75">
      <c r="A74" s="3"/>
      <c r="B74" s="3"/>
      <c r="C74" s="3"/>
      <c r="D74" s="359"/>
      <c r="E74" s="14"/>
      <c r="F74" s="14"/>
      <c r="G74" s="3"/>
      <c r="O74" s="3"/>
      <c r="P74" s="3"/>
      <c r="Q74" s="3"/>
      <c r="R74" s="3"/>
    </row>
    <row r="75" spans="1:18" ht="12.75">
      <c r="A75" s="3"/>
      <c r="B75" s="3"/>
      <c r="C75" s="3"/>
      <c r="D75" s="359"/>
      <c r="E75" s="14"/>
      <c r="F75" s="14"/>
      <c r="G75" s="3"/>
      <c r="O75" s="3"/>
      <c r="P75" s="3"/>
      <c r="Q75" s="3"/>
      <c r="R75" s="3"/>
    </row>
    <row r="76" spans="1:18" ht="12.75">
      <c r="A76" s="3"/>
      <c r="B76" s="3"/>
      <c r="C76" s="3"/>
      <c r="G76" s="3"/>
      <c r="O76" s="3"/>
      <c r="P76" s="3"/>
      <c r="Q76" s="3"/>
      <c r="R76" s="3"/>
    </row>
    <row r="77" spans="1:18" ht="12.75">
      <c r="A77" s="3"/>
      <c r="B77" s="3"/>
      <c r="C77" s="3"/>
      <c r="D77" s="3"/>
      <c r="E77" s="3"/>
      <c r="F77" s="3"/>
      <c r="G77" s="3"/>
      <c r="O77" s="3"/>
      <c r="P77" s="3"/>
      <c r="Q77" s="3"/>
      <c r="R77" s="3"/>
    </row>
    <row r="78" spans="1:18" ht="12.75">
      <c r="A78" s="3"/>
      <c r="B78" s="3"/>
      <c r="C78" s="3"/>
      <c r="D78" s="3"/>
      <c r="E78" s="3"/>
      <c r="F78" s="3"/>
      <c r="G78" s="3"/>
      <c r="O78" s="3"/>
      <c r="P78" s="3"/>
      <c r="Q78" s="3"/>
      <c r="R78" s="3"/>
    </row>
    <row r="79" spans="1:18" ht="12.75">
      <c r="A79" s="3"/>
      <c r="B79" s="3"/>
      <c r="C79" s="3"/>
      <c r="D79" s="3"/>
      <c r="E79" s="3"/>
      <c r="F79" s="3"/>
      <c r="G79" s="3"/>
      <c r="H79" s="3"/>
      <c r="I79" s="3"/>
      <c r="N79" s="3"/>
      <c r="O79" s="3"/>
      <c r="P79" s="3"/>
      <c r="Q79" s="3"/>
      <c r="R79" s="3"/>
    </row>
    <row r="80" spans="1:18" ht="12.75">
      <c r="A80" s="3"/>
      <c r="B80" s="3"/>
      <c r="C80" s="3"/>
      <c r="D80" s="3"/>
      <c r="E80" s="3"/>
      <c r="F80" s="3"/>
      <c r="G80" s="3"/>
      <c r="H80" s="3"/>
      <c r="I80" s="3"/>
      <c r="N80" s="3"/>
      <c r="O80" s="3"/>
      <c r="P80" s="3"/>
      <c r="Q80" s="3"/>
      <c r="R80" s="3"/>
    </row>
    <row r="81" spans="1:18" ht="12.75">
      <c r="A81" s="3"/>
      <c r="B81" s="3"/>
      <c r="C81" s="3"/>
      <c r="D81" s="3"/>
      <c r="E81" s="3"/>
      <c r="F81" s="3"/>
      <c r="G81" s="3"/>
      <c r="N81" s="3"/>
      <c r="O81" s="3"/>
      <c r="P81" s="3"/>
      <c r="Q81" s="3"/>
      <c r="R81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J31" sqref="J31"/>
    </sheetView>
  </sheetViews>
  <sheetFormatPr defaultColWidth="9.140625" defaultRowHeight="12.75"/>
  <cols>
    <col min="1" max="8" width="12.7109375" style="0" customWidth="1"/>
    <col min="9" max="9" width="13.8515625" style="0" customWidth="1"/>
    <col min="10" max="10" width="12.7109375" style="0" customWidth="1"/>
    <col min="11" max="11" width="15.140625" style="0" bestFit="1" customWidth="1"/>
  </cols>
  <sheetData>
    <row r="1" spans="1:5" ht="28.5" customHeight="1" thickBot="1">
      <c r="A1" s="80" t="s">
        <v>43</v>
      </c>
      <c r="B1" s="79"/>
      <c r="C1" s="79"/>
      <c r="D1" s="79"/>
      <c r="E1" s="79"/>
    </row>
    <row r="2" spans="1:10" ht="10.5" customHeight="1">
      <c r="A2" s="333" t="s">
        <v>36</v>
      </c>
      <c r="B2" s="334"/>
      <c r="C2" s="334"/>
      <c r="D2" s="334"/>
      <c r="E2" s="335"/>
      <c r="F2" s="336"/>
      <c r="G2" s="336"/>
      <c r="H2" s="337" t="s">
        <v>28</v>
      </c>
      <c r="I2" s="338"/>
      <c r="J2" s="339"/>
    </row>
    <row r="3" spans="1:10" ht="10.5" customHeight="1">
      <c r="A3" s="340" t="s">
        <v>0</v>
      </c>
      <c r="B3" s="340" t="s">
        <v>1</v>
      </c>
      <c r="C3" s="340" t="s">
        <v>2</v>
      </c>
      <c r="D3" s="340" t="s">
        <v>3</v>
      </c>
      <c r="E3" s="335"/>
      <c r="F3" s="341" t="s">
        <v>37</v>
      </c>
      <c r="G3" s="342">
        <f>B4*(C5*D6-D5*C6)-C4*(B5*D6-D5*B6)+D4*(B5*C6-C5*B6)</f>
        <v>-715385.2063117949</v>
      </c>
      <c r="H3" s="343" t="s">
        <v>4</v>
      </c>
      <c r="I3" s="344" t="s">
        <v>5</v>
      </c>
      <c r="J3" s="345" t="s">
        <v>6</v>
      </c>
    </row>
    <row r="4" spans="1:10" ht="10.5" customHeight="1">
      <c r="A4" s="340">
        <v>1</v>
      </c>
      <c r="B4" s="501">
        <f>'Input Data'!B24</f>
        <v>-101.323</v>
      </c>
      <c r="C4" s="501">
        <f>'Input Data'!C24</f>
        <v>-14.07342</v>
      </c>
      <c r="D4" s="501">
        <f>'Input Data'!D24</f>
        <v>-65.64024</v>
      </c>
      <c r="E4" s="315"/>
      <c r="F4" s="341" t="s">
        <v>38</v>
      </c>
      <c r="G4" s="342">
        <f>(C5*D6-D5*C6)-(C4*D6-D4*C6)+(C4*D5-D4*C5)</f>
        <v>1742.4244868839005</v>
      </c>
      <c r="H4" s="346">
        <f>G4/G3</f>
        <v>-0.0024356451202940848</v>
      </c>
      <c r="I4" s="347">
        <f>H4*J$4</f>
        <v>-0.21164986786037615</v>
      </c>
      <c r="J4" s="348">
        <f>1/SQRT(SUMSQ(H4:H6))</f>
        <v>86.8968414556309</v>
      </c>
    </row>
    <row r="5" spans="1:10" ht="10.5" customHeight="1">
      <c r="A5" s="340">
        <v>2</v>
      </c>
      <c r="B5" s="501">
        <f>'Input Data'!B25</f>
        <v>-188.55326</v>
      </c>
      <c r="C5" s="501">
        <f>'Input Data'!C25</f>
        <v>-44.57915</v>
      </c>
      <c r="D5" s="501">
        <f>'Input Data'!D25</f>
        <v>-37.17756</v>
      </c>
      <c r="E5" s="315"/>
      <c r="F5" s="341" t="s">
        <v>39</v>
      </c>
      <c r="G5" s="342">
        <f>-(B5*D6-D5*B6)+(B4*D6-D4*B6)-(B4*D5-D4*B5)</f>
        <v>2230.5555369310005</v>
      </c>
      <c r="H5" s="346">
        <f>G5/G3</f>
        <v>-0.0031179782825405964</v>
      </c>
      <c r="I5" s="347">
        <f>H5*J$4</f>
        <v>-0.27094246448003056</v>
      </c>
      <c r="J5" s="349"/>
    </row>
    <row r="6" spans="1:10" ht="10.5" customHeight="1" thickBot="1">
      <c r="A6" s="340">
        <v>3</v>
      </c>
      <c r="B6" s="501">
        <f>'Input Data'!B26</f>
        <v>-108.88183</v>
      </c>
      <c r="C6" s="501">
        <f>'Input Data'!C26</f>
        <v>-105.34109</v>
      </c>
      <c r="D6" s="501">
        <f>'Input Data'!D26</f>
        <v>-37.60295</v>
      </c>
      <c r="E6" s="315"/>
      <c r="F6" s="341" t="s">
        <v>40</v>
      </c>
      <c r="G6" s="342">
        <f>(B5*C6-C5*B6)-(B4*C6-C4*B6)+(B4*C5-C4*B5)</f>
        <v>7730.7149565983</v>
      </c>
      <c r="H6" s="350">
        <f>G6/G3</f>
        <v>-0.01080636681942921</v>
      </c>
      <c r="I6" s="351">
        <f>H6*J$4</f>
        <v>-0.9390391442193304</v>
      </c>
      <c r="J6" s="352"/>
    </row>
    <row r="7" spans="1:10" ht="10.5" customHeight="1" thickBot="1">
      <c r="A7" s="335"/>
      <c r="B7" s="335"/>
      <c r="C7" s="335"/>
      <c r="D7" s="335"/>
      <c r="E7" s="335"/>
      <c r="F7" s="335"/>
      <c r="G7" s="335"/>
      <c r="H7" s="335"/>
      <c r="I7" s="335"/>
      <c r="J7" s="335"/>
    </row>
    <row r="8" spans="1:10" ht="10.5" customHeight="1" thickBot="1">
      <c r="A8" s="353" t="s">
        <v>41</v>
      </c>
      <c r="B8" s="354"/>
      <c r="C8" s="335"/>
      <c r="D8" s="335"/>
      <c r="E8" s="335"/>
      <c r="F8" s="336"/>
      <c r="G8" s="336"/>
      <c r="H8" s="336"/>
      <c r="I8" s="336"/>
      <c r="J8" s="336"/>
    </row>
    <row r="9" spans="1:12" ht="10.5" customHeight="1">
      <c r="A9" s="99" t="s">
        <v>0</v>
      </c>
      <c r="B9" s="100" t="s">
        <v>16</v>
      </c>
      <c r="C9" s="100" t="s">
        <v>17</v>
      </c>
      <c r="D9" s="100" t="s">
        <v>18</v>
      </c>
      <c r="E9" s="101"/>
      <c r="F9" s="102" t="s">
        <v>7</v>
      </c>
      <c r="G9" s="102" t="s">
        <v>8</v>
      </c>
      <c r="H9" s="102" t="s">
        <v>9</v>
      </c>
      <c r="I9" s="102" t="s">
        <v>10</v>
      </c>
      <c r="J9" s="103" t="s">
        <v>11</v>
      </c>
      <c r="K9" s="493" t="s">
        <v>94</v>
      </c>
      <c r="L9" s="494" t="s">
        <v>19</v>
      </c>
    </row>
    <row r="10" spans="1:12" ht="10.5" customHeight="1">
      <c r="A10" s="104">
        <v>1</v>
      </c>
      <c r="B10" s="105">
        <f>'Input Data'!B31</f>
        <v>-177.58854</v>
      </c>
      <c r="C10" s="105">
        <f>'Input Data'!C31</f>
        <v>-36.5807</v>
      </c>
      <c r="D10" s="105">
        <f>'Input Data'!D31</f>
        <v>-34.12005</v>
      </c>
      <c r="E10" s="106" t="s">
        <v>1</v>
      </c>
      <c r="F10" s="107">
        <f>C10*I$6-D10*I$5</f>
        <v>25.106138787762195</v>
      </c>
      <c r="G10" s="107">
        <f>I$5*F12-I$6*F11</f>
        <v>-160.75435004103605</v>
      </c>
      <c r="H10" s="107">
        <f>J$4*I$4</f>
        <v>-18.391705011568337</v>
      </c>
      <c r="I10" s="107">
        <f>G10+H10</f>
        <v>-179.1460550526044</v>
      </c>
      <c r="J10" s="108">
        <f>B10-I10</f>
        <v>1.5575150526044013</v>
      </c>
      <c r="L10" s="491"/>
    </row>
    <row r="11" spans="1:12" ht="10.5" customHeight="1" thickBot="1">
      <c r="A11" s="240"/>
      <c r="B11" s="241"/>
      <c r="C11" s="241"/>
      <c r="D11" s="242"/>
      <c r="E11" s="106" t="s">
        <v>2</v>
      </c>
      <c r="F11" s="107">
        <f>-(B10*I$6-I$4*D10)</f>
        <v>-159.5410865508709</v>
      </c>
      <c r="G11" s="107">
        <f>-(I$4*F12-I$6*F10)</f>
        <v>-15.030500318252091</v>
      </c>
      <c r="H11" s="107">
        <f>J$4*I$5</f>
        <v>-23.544044379519125</v>
      </c>
      <c r="I11" s="107">
        <f>G11+H11</f>
        <v>-38.574544697771216</v>
      </c>
      <c r="J11" s="109">
        <f>C10-I11</f>
        <v>1.993844697771216</v>
      </c>
      <c r="L11" s="491"/>
    </row>
    <row r="12" spans="1:12" ht="10.5" customHeight="1" thickBot="1">
      <c r="A12" s="243"/>
      <c r="B12" s="244"/>
      <c r="C12" s="244"/>
      <c r="D12" s="245"/>
      <c r="E12" s="110" t="s">
        <v>3</v>
      </c>
      <c r="F12" s="111">
        <f>B10*I$5-I$4*C10</f>
        <v>40.37397636977042</v>
      </c>
      <c r="G12" s="111">
        <f>I$4*F11-I$5*F10</f>
        <v>40.56916900352663</v>
      </c>
      <c r="H12" s="111">
        <f>J$4*I$6</f>
        <v>-81.59953563585849</v>
      </c>
      <c r="I12" s="112">
        <f>G12+H12</f>
        <v>-41.030366632331855</v>
      </c>
      <c r="J12" s="113">
        <f>IF('Input Data'!E31=TRUE,"",(D10-I12))</f>
        <v>6.910316632331856</v>
      </c>
      <c r="K12" s="113">
        <f>IF('Input Data'!E31=TRUE,"",(J10*I$4+J11*I$5+J12*I$6))</f>
        <v>-7.358922867988355</v>
      </c>
      <c r="L12" s="113">
        <f>IF('Input Data'!E31=TRUE,"",ABS(K12))</f>
        <v>7.358922867988355</v>
      </c>
    </row>
    <row r="13" spans="1:12" ht="10.5" customHeight="1">
      <c r="A13" s="114" t="s">
        <v>0</v>
      </c>
      <c r="B13" s="115" t="s">
        <v>16</v>
      </c>
      <c r="C13" s="115" t="s">
        <v>17</v>
      </c>
      <c r="D13" s="115" t="s">
        <v>18</v>
      </c>
      <c r="E13" s="116"/>
      <c r="F13" s="117" t="s">
        <v>7</v>
      </c>
      <c r="G13" s="117" t="s">
        <v>8</v>
      </c>
      <c r="H13" s="117" t="s">
        <v>9</v>
      </c>
      <c r="I13" s="117" t="s">
        <v>10</v>
      </c>
      <c r="J13" s="118" t="s">
        <v>11</v>
      </c>
      <c r="L13" s="491"/>
    </row>
    <row r="14" spans="1:12" ht="10.5" customHeight="1">
      <c r="A14" s="119">
        <v>2</v>
      </c>
      <c r="B14" s="120">
        <f>'Input Data'!B32</f>
        <v>-177.13638</v>
      </c>
      <c r="C14" s="120">
        <f>'Input Data'!C32</f>
        <v>-28.18401</v>
      </c>
      <c r="D14" s="120">
        <f>'Input Data'!D32</f>
        <v>-34.18166</v>
      </c>
      <c r="E14" s="121" t="s">
        <v>1</v>
      </c>
      <c r="F14" s="122">
        <f>C14*I$6-D14*I$5</f>
        <v>17.204625430650573</v>
      </c>
      <c r="G14" s="122">
        <f>I$5*F16-I$6*F15</f>
        <v>-160.79170767291137</v>
      </c>
      <c r="H14" s="122">
        <f>J$4*I$4</f>
        <v>-18.391705011568337</v>
      </c>
      <c r="I14" s="122">
        <f>G14+H14</f>
        <v>-179.18341268447972</v>
      </c>
      <c r="J14" s="123">
        <f>B14-I14</f>
        <v>2.047032684479717</v>
      </c>
      <c r="L14" s="491"/>
    </row>
    <row r="15" spans="1:12" ht="10.5" customHeight="1" thickBot="1">
      <c r="A15" s="240"/>
      <c r="B15" s="241"/>
      <c r="C15" s="241"/>
      <c r="D15" s="242"/>
      <c r="E15" s="121" t="s">
        <v>2</v>
      </c>
      <c r="F15" s="122">
        <f>-(B14*I$6-I$4*D14)</f>
        <v>-159.10345086306182</v>
      </c>
      <c r="G15" s="122">
        <f>-(I$4*F16-I$6*F14)</f>
        <v>-7.2604637384858055</v>
      </c>
      <c r="H15" s="122">
        <f>J$4*I$5</f>
        <v>-23.544044379519125</v>
      </c>
      <c r="I15" s="122">
        <f>G15+H15</f>
        <v>-30.804508118004932</v>
      </c>
      <c r="J15" s="124">
        <f>C14-I15</f>
        <v>2.6204981180049316</v>
      </c>
      <c r="L15" s="491"/>
    </row>
    <row r="16" spans="1:12" ht="10.5" customHeight="1" thickBot="1">
      <c r="A16" s="243"/>
      <c r="B16" s="244"/>
      <c r="C16" s="244"/>
      <c r="D16" s="245"/>
      <c r="E16" s="125" t="s">
        <v>3</v>
      </c>
      <c r="F16" s="126">
        <f>B14*I$5-I$4*C14</f>
        <v>42.02862535399568</v>
      </c>
      <c r="G16" s="126">
        <f>I$4*F15-I$5*F14</f>
        <v>38.33568796593316</v>
      </c>
      <c r="H16" s="126">
        <f>J$4*I$6</f>
        <v>-81.59953563585849</v>
      </c>
      <c r="I16" s="127">
        <f>G16+H16</f>
        <v>-43.263847669925326</v>
      </c>
      <c r="J16" s="113">
        <f>IF('Input Data'!E32=TRUE,"",(D14-I16))</f>
        <v>9.082187669925325</v>
      </c>
      <c r="K16" s="113">
        <f>IF('Input Data'!E32=TRUE,"",(J14*I$4+J15*I$5+J16*I$6))</f>
        <v>-9.671788152639573</v>
      </c>
      <c r="L16" s="113">
        <f>IF('Input Data'!E32=TRUE,"",ABS(K16))</f>
        <v>9.671788152639573</v>
      </c>
    </row>
    <row r="17" spans="1:19" ht="10.5" customHeight="1">
      <c r="A17" s="128" t="s">
        <v>0</v>
      </c>
      <c r="B17" s="129" t="s">
        <v>16</v>
      </c>
      <c r="C17" s="129" t="s">
        <v>17</v>
      </c>
      <c r="D17" s="129" t="s">
        <v>18</v>
      </c>
      <c r="E17" s="130"/>
      <c r="F17" s="131" t="s">
        <v>7</v>
      </c>
      <c r="G17" s="131" t="s">
        <v>8</v>
      </c>
      <c r="H17" s="131" t="s">
        <v>9</v>
      </c>
      <c r="I17" s="131" t="s">
        <v>10</v>
      </c>
      <c r="J17" s="132" t="s">
        <v>11</v>
      </c>
      <c r="L17" s="491"/>
      <c r="N17" t="s">
        <v>0</v>
      </c>
      <c r="O17">
        <v>1</v>
      </c>
      <c r="P17">
        <v>172.2162</v>
      </c>
      <c r="Q17">
        <v>-136.2059</v>
      </c>
      <c r="R17">
        <v>-48.8348</v>
      </c>
      <c r="S17" t="s">
        <v>93</v>
      </c>
    </row>
    <row r="18" spans="1:19" ht="10.5" customHeight="1">
      <c r="A18" s="133">
        <v>3</v>
      </c>
      <c r="B18" s="134">
        <f>'Input Data'!B33</f>
        <v>-159.55995</v>
      </c>
      <c r="C18" s="134">
        <f>'Input Data'!C33</f>
        <v>-3.90083</v>
      </c>
      <c r="D18" s="134">
        <f>'Input Data'!D33</f>
        <v>-34.22437</v>
      </c>
      <c r="E18" s="135" t="s">
        <v>1</v>
      </c>
      <c r="F18" s="136">
        <f>C18*I$6-D18*I$5</f>
        <v>-5.609803088131333</v>
      </c>
      <c r="G18" s="136">
        <f>I$5*F20-I$6*F19</f>
        <v>-145.38665448693763</v>
      </c>
      <c r="H18" s="136">
        <f>J$4*I$4</f>
        <v>-18.391705011568337</v>
      </c>
      <c r="I18" s="136">
        <f>G18+H18</f>
        <v>-163.77835949850598</v>
      </c>
      <c r="J18" s="137">
        <f>B18-I18</f>
        <v>4.2184094985059915</v>
      </c>
      <c r="L18" s="491"/>
      <c r="N18" t="s">
        <v>0</v>
      </c>
      <c r="O18">
        <v>2</v>
      </c>
      <c r="P18">
        <v>167.9212</v>
      </c>
      <c r="Q18">
        <v>-37.5924</v>
      </c>
      <c r="R18">
        <v>-48.567</v>
      </c>
      <c r="S18" t="s">
        <v>93</v>
      </c>
    </row>
    <row r="19" spans="1:19" ht="10.5" customHeight="1" thickBot="1">
      <c r="A19" s="240"/>
      <c r="B19" s="241"/>
      <c r="C19" s="241"/>
      <c r="D19" s="242"/>
      <c r="E19" s="135" t="s">
        <v>2</v>
      </c>
      <c r="F19" s="136">
        <f>-(B18*I$6-I$4*D18)</f>
        <v>-142.58945551157453</v>
      </c>
      <c r="G19" s="136">
        <f>-(I$4*F20-I$6*F18)</f>
        <v>14.243039660462903</v>
      </c>
      <c r="H19" s="136">
        <f>J$4*I$5</f>
        <v>-23.544044379519125</v>
      </c>
      <c r="I19" s="136">
        <f>G19+H19</f>
        <v>-9.301004719056222</v>
      </c>
      <c r="J19" s="138">
        <f>C18-I19</f>
        <v>5.4001747190562215</v>
      </c>
      <c r="L19" s="491"/>
      <c r="N19" t="s">
        <v>0</v>
      </c>
      <c r="O19">
        <v>3</v>
      </c>
      <c r="P19">
        <v>108.7519</v>
      </c>
      <c r="Q19">
        <v>-42.2934</v>
      </c>
      <c r="R19">
        <v>-70.0668</v>
      </c>
      <c r="S19" t="s">
        <v>93</v>
      </c>
    </row>
    <row r="20" spans="1:12" ht="10.5" customHeight="1" thickBot="1">
      <c r="A20" s="243"/>
      <c r="B20" s="244"/>
      <c r="C20" s="244"/>
      <c r="D20" s="245"/>
      <c r="E20" s="139" t="s">
        <v>3</v>
      </c>
      <c r="F20" s="140">
        <f>B18*I$5-I$4*C18</f>
        <v>42.40595593126466</v>
      </c>
      <c r="G20" s="140">
        <f>I$4*F19-I$5*F18</f>
        <v>28.65910554336174</v>
      </c>
      <c r="H20" s="140">
        <f>J$4*I$6</f>
        <v>-81.59953563585849</v>
      </c>
      <c r="I20" s="141">
        <f>G20+H20</f>
        <v>-52.94043009249675</v>
      </c>
      <c r="J20" s="113">
        <f>IF('Input Data'!E33=TRUE,"",(D18-I20))</f>
        <v>18.716060092496747</v>
      </c>
      <c r="K20" s="113">
        <f>IF('Input Data'!E33=TRUE,"",(J18*I$4+J19*I$5+J20*I$6))</f>
        <v>-19.931075512359307</v>
      </c>
      <c r="L20" s="113">
        <f>IF('Input Data'!E33=TRUE,"",ABS(K20))</f>
        <v>19.931075512359307</v>
      </c>
    </row>
    <row r="21" spans="1:12" ht="10.5" customHeight="1">
      <c r="A21" s="142" t="s">
        <v>0</v>
      </c>
      <c r="B21" s="143" t="s">
        <v>16</v>
      </c>
      <c r="C21" s="143" t="s">
        <v>17</v>
      </c>
      <c r="D21" s="143" t="s">
        <v>18</v>
      </c>
      <c r="E21" s="144"/>
      <c r="F21" s="145" t="s">
        <v>7</v>
      </c>
      <c r="G21" s="145" t="s">
        <v>8</v>
      </c>
      <c r="H21" s="145" t="s">
        <v>9</v>
      </c>
      <c r="I21" s="145" t="s">
        <v>10</v>
      </c>
      <c r="J21" s="146" t="s">
        <v>11</v>
      </c>
      <c r="L21" s="491"/>
    </row>
    <row r="22" spans="1:12" ht="10.5" customHeight="1">
      <c r="A22" s="147">
        <v>4</v>
      </c>
      <c r="B22" s="148">
        <f>'Input Data'!B34</f>
        <v>-132.34346</v>
      </c>
      <c r="C22" s="148">
        <f>'Input Data'!C34</f>
        <v>6.3417</v>
      </c>
      <c r="D22" s="148">
        <f>'Input Data'!D34</f>
        <v>-34.11735</v>
      </c>
      <c r="E22" s="149" t="s">
        <v>1</v>
      </c>
      <c r="F22" s="150">
        <f>C22*I$6-D22*I$5</f>
        <v>-15.198943431423498</v>
      </c>
      <c r="G22" s="150">
        <f>I$5*F24-I$6*F23</f>
        <v>-119.99797249223354</v>
      </c>
      <c r="H22" s="150">
        <f>J$4*I$4</f>
        <v>-18.391705011568337</v>
      </c>
      <c r="I22" s="150">
        <f>G22+H22</f>
        <v>-138.3896775038019</v>
      </c>
      <c r="J22" s="151">
        <f>B22-I22</f>
        <v>6.046217503801898</v>
      </c>
      <c r="L22" s="491"/>
    </row>
    <row r="23" spans="1:12" ht="10.5" customHeight="1" thickBot="1">
      <c r="A23" s="240"/>
      <c r="B23" s="241"/>
      <c r="C23" s="241"/>
      <c r="D23" s="242"/>
      <c r="E23" s="149" t="s">
        <v>2</v>
      </c>
      <c r="F23" s="150">
        <f>-(B22*I$6-I$4*D22)</f>
        <v>-117.05475680217899</v>
      </c>
      <c r="G23" s="150">
        <f>-(I$4*F24-I$6*F22)</f>
        <v>22.145710861789354</v>
      </c>
      <c r="H23" s="150">
        <f>J$4*I$5</f>
        <v>-23.544044379519125</v>
      </c>
      <c r="I23" s="150">
        <f>G23+H23</f>
        <v>-1.398333517729771</v>
      </c>
      <c r="J23" s="152">
        <f>C22-I23</f>
        <v>7.740033517729771</v>
      </c>
      <c r="L23" s="491"/>
    </row>
    <row r="24" spans="1:12" ht="10.5" customHeight="1" thickBot="1">
      <c r="A24" s="243"/>
      <c r="B24" s="244"/>
      <c r="C24" s="244"/>
      <c r="D24" s="245"/>
      <c r="E24" s="153" t="s">
        <v>3</v>
      </c>
      <c r="F24" s="154">
        <f>B22*I$5-I$4*C22</f>
        <v>37.199683177224486</v>
      </c>
      <c r="G24" s="154">
        <f>I$4*F23-I$5*F22</f>
        <v>20.656584618807194</v>
      </c>
      <c r="H24" s="154">
        <f>J$4*I$6</f>
        <v>-81.59953563585849</v>
      </c>
      <c r="I24" s="155">
        <f>G24+H24</f>
        <v>-60.94295101705129</v>
      </c>
      <c r="J24" s="113">
        <f>IF('Input Data'!E34=TRUE,"",(D22-I24))</f>
        <v>26.82560101705129</v>
      </c>
      <c r="K24" s="113">
        <f>IF('Input Data'!E34=TRUE,"",(J22*I$4+J23*I$5+J24*I$6))</f>
        <v>-28.567074314407556</v>
      </c>
      <c r="L24" s="113">
        <f>IF('Input Data'!E34=TRUE,"",ABS(K24))</f>
        <v>28.567074314407556</v>
      </c>
    </row>
    <row r="25" spans="1:12" ht="10.5" customHeight="1">
      <c r="A25" s="156" t="s">
        <v>0</v>
      </c>
      <c r="B25" s="157" t="s">
        <v>16</v>
      </c>
      <c r="C25" s="157" t="s">
        <v>17</v>
      </c>
      <c r="D25" s="157" t="s">
        <v>18</v>
      </c>
      <c r="E25" s="158"/>
      <c r="F25" s="159" t="s">
        <v>7</v>
      </c>
      <c r="G25" s="159" t="s">
        <v>8</v>
      </c>
      <c r="H25" s="159" t="s">
        <v>9</v>
      </c>
      <c r="I25" s="159" t="s">
        <v>10</v>
      </c>
      <c r="J25" s="160" t="s">
        <v>11</v>
      </c>
      <c r="L25" s="491"/>
    </row>
    <row r="26" spans="1:12" ht="10.5" customHeight="1">
      <c r="A26" s="161">
        <v>5</v>
      </c>
      <c r="B26" s="162">
        <f>'Input Data'!B35</f>
        <v>-116.89403</v>
      </c>
      <c r="C26" s="162">
        <f>'Input Data'!C35</f>
        <v>6.82523</v>
      </c>
      <c r="D26" s="162">
        <f>'Input Data'!D35</f>
        <v>-34.01936</v>
      </c>
      <c r="E26" s="163" t="s">
        <v>1</v>
      </c>
      <c r="F26" s="164">
        <f>C26*I$6-D26*I$5</f>
        <v>-15.626447376733474</v>
      </c>
      <c r="G26" s="164">
        <f>I$5*F28-I$6*F27</f>
        <v>-105.2878132730133</v>
      </c>
      <c r="H26" s="164">
        <f>J$4*I$4</f>
        <v>-18.391705011568337</v>
      </c>
      <c r="I26" s="164">
        <f>G26+H26</f>
        <v>-123.67951828458163</v>
      </c>
      <c r="J26" s="165">
        <f>B26-I26</f>
        <v>6.785488284581632</v>
      </c>
      <c r="L26" s="491"/>
    </row>
    <row r="27" spans="1:12" ht="10.5" customHeight="1" thickBot="1">
      <c r="A27" s="240"/>
      <c r="B27" s="241"/>
      <c r="C27" s="241"/>
      <c r="D27" s="242"/>
      <c r="E27" s="163" t="s">
        <v>2</v>
      </c>
      <c r="F27" s="164">
        <f>-(B26*I$6-I$4*D26)</f>
        <v>-102.56787684685416</v>
      </c>
      <c r="G27" s="164">
        <f>-(I$4*F28-I$6*F26)</f>
        <v>21.68286726237525</v>
      </c>
      <c r="H27" s="164">
        <f>J$4*I$5</f>
        <v>-23.544044379519125</v>
      </c>
      <c r="I27" s="164">
        <f>G27+H27</f>
        <v>-1.8611771171438747</v>
      </c>
      <c r="J27" s="166">
        <f>C26-I27</f>
        <v>8.686407117143876</v>
      </c>
      <c r="L27" s="491"/>
    </row>
    <row r="28" spans="1:12" ht="10.5" customHeight="1" thickBot="1">
      <c r="A28" s="243"/>
      <c r="B28" s="244"/>
      <c r="C28" s="244"/>
      <c r="D28" s="245"/>
      <c r="E28" s="167" t="s">
        <v>3</v>
      </c>
      <c r="F28" s="168">
        <f>B26*I$5-I$4*C26</f>
        <v>33.116115598819306</v>
      </c>
      <c r="G28" s="168">
        <f>I$4*F27-I$5*F26</f>
        <v>17.47460941803634</v>
      </c>
      <c r="H28" s="168">
        <f>J$4*I$6</f>
        <v>-81.59953563585849</v>
      </c>
      <c r="I28" s="169">
        <f>G28+H28</f>
        <v>-64.12492621782215</v>
      </c>
      <c r="J28" s="113">
        <f>IF('Input Data'!E35=TRUE,"",(D26-I28))</f>
        <v>30.10556621782215</v>
      </c>
      <c r="K28" s="113">
        <f>IF('Input Data'!E35=TRUE,"",(J26*I$4+J27*I$5+J28*I$6))</f>
        <v>-32.05996938801777</v>
      </c>
      <c r="L28" s="113">
        <f>IF('Input Data'!E35=TRUE,"",ABS(K28))</f>
        <v>32.05996938801777</v>
      </c>
    </row>
    <row r="29" spans="1:12" ht="10.5" customHeight="1">
      <c r="A29" s="170" t="s">
        <v>0</v>
      </c>
      <c r="B29" s="171" t="s">
        <v>16</v>
      </c>
      <c r="C29" s="171" t="s">
        <v>17</v>
      </c>
      <c r="D29" s="171" t="s">
        <v>18</v>
      </c>
      <c r="E29" s="172"/>
      <c r="F29" s="173" t="s">
        <v>7</v>
      </c>
      <c r="G29" s="173" t="s">
        <v>8</v>
      </c>
      <c r="H29" s="173" t="s">
        <v>9</v>
      </c>
      <c r="I29" s="173" t="s">
        <v>10</v>
      </c>
      <c r="J29" s="174" t="s">
        <v>11</v>
      </c>
      <c r="L29" s="491"/>
    </row>
    <row r="30" spans="1:12" ht="10.5" customHeight="1">
      <c r="A30" s="175">
        <v>6</v>
      </c>
      <c r="B30" s="176">
        <f>'Input Data'!B36</f>
        <v>-75.40597</v>
      </c>
      <c r="C30" s="176">
        <f>'Input Data'!C36</f>
        <v>-61.5794</v>
      </c>
      <c r="D30" s="176">
        <f>'Input Data'!D36</f>
        <v>-33.21242</v>
      </c>
      <c r="E30" s="177" t="s">
        <v>1</v>
      </c>
      <c r="F30" s="178">
        <f>C30*I$6-D30*I$5</f>
        <v>48.82681215139398</v>
      </c>
      <c r="G30" s="178">
        <f>I$5*F32-I$6*F31</f>
        <v>-61.895956707054864</v>
      </c>
      <c r="H30" s="178">
        <f>J$4*I$4</f>
        <v>-18.391705011568337</v>
      </c>
      <c r="I30" s="178">
        <f>G30+H30</f>
        <v>-80.2876617186232</v>
      </c>
      <c r="J30" s="179">
        <f>B30-I30</f>
        <v>4.881691718623202</v>
      </c>
      <c r="L30" s="491"/>
    </row>
    <row r="31" spans="1:12" ht="10.5" customHeight="1" thickBot="1">
      <c r="A31" s="240"/>
      <c r="B31" s="241"/>
      <c r="C31" s="241"/>
      <c r="D31" s="242"/>
      <c r="E31" s="177" t="s">
        <v>2</v>
      </c>
      <c r="F31" s="178">
        <f>-(B30*I$6-I$4*D30)</f>
        <v>-63.77975323350518</v>
      </c>
      <c r="G31" s="178">
        <f>-(I$4*F32-I$6*F30)</f>
        <v>-44.2846275829282</v>
      </c>
      <c r="H31" s="178">
        <f>J$4*I$5</f>
        <v>-23.544044379519125</v>
      </c>
      <c r="I31" s="178">
        <f>G31+H31</f>
        <v>-67.82867196244733</v>
      </c>
      <c r="J31" s="180">
        <f>C30-I31</f>
        <v>6.249271962447331</v>
      </c>
      <c r="L31" s="491"/>
    </row>
    <row r="32" spans="1:12" ht="10.5" customHeight="1" thickBot="1">
      <c r="A32" s="243"/>
      <c r="B32" s="244"/>
      <c r="C32" s="244"/>
      <c r="D32" s="245"/>
      <c r="E32" s="181" t="s">
        <v>3</v>
      </c>
      <c r="F32" s="182">
        <f>B30*I$5-I$4*C30</f>
        <v>7.397407475386004</v>
      </c>
      <c r="G32" s="182">
        <f>I$4*F31-I$5*F30</f>
        <v>26.728233161040958</v>
      </c>
      <c r="H32" s="182">
        <f>J$4*I$6</f>
        <v>-81.59953563585849</v>
      </c>
      <c r="I32" s="183">
        <f>G32+H32</f>
        <v>-54.871302474817526</v>
      </c>
      <c r="J32" s="113">
        <f>IF('Input Data'!E36=TRUE,"",(D30-I32))</f>
        <v>21.658882474817524</v>
      </c>
      <c r="K32" s="113">
        <f>IF('Input Data'!E36=TRUE,"",(J30*I$4+J31*I$5+J32*I$6))</f>
        <v>-23.064941017792833</v>
      </c>
      <c r="L32" s="113">
        <f>IF('Input Data'!E36=TRUE,"",ABS(K32))</f>
        <v>23.064941017792833</v>
      </c>
    </row>
    <row r="33" spans="1:12" ht="10.5" customHeight="1">
      <c r="A33" s="184" t="s">
        <v>0</v>
      </c>
      <c r="B33" s="185" t="s">
        <v>16</v>
      </c>
      <c r="C33" s="185" t="s">
        <v>17</v>
      </c>
      <c r="D33" s="185" t="s">
        <v>18</v>
      </c>
      <c r="E33" s="186"/>
      <c r="F33" s="187" t="s">
        <v>7</v>
      </c>
      <c r="G33" s="187" t="s">
        <v>8</v>
      </c>
      <c r="H33" s="187" t="s">
        <v>9</v>
      </c>
      <c r="I33" s="187" t="s">
        <v>10</v>
      </c>
      <c r="J33" s="188" t="s">
        <v>11</v>
      </c>
      <c r="L33" s="491"/>
    </row>
    <row r="34" spans="1:12" ht="10.5" customHeight="1">
      <c r="A34" s="189">
        <v>7</v>
      </c>
      <c r="B34" s="190">
        <f>'Input Data'!B37</f>
        <v>-84.74216</v>
      </c>
      <c r="C34" s="190">
        <f>'Input Data'!C37</f>
        <v>-79.71256</v>
      </c>
      <c r="D34" s="190">
        <f>'Input Data'!D37</f>
        <v>-33.12543</v>
      </c>
      <c r="E34" s="191" t="s">
        <v>1</v>
      </c>
      <c r="F34" s="192">
        <f>C34*I$6-D34*I$5</f>
        <v>65.87812848477128</v>
      </c>
      <c r="G34" s="192">
        <f>I$5*F36-I$6*F35</f>
        <v>-69.79136998451376</v>
      </c>
      <c r="H34" s="192">
        <f>J$4*I$4</f>
        <v>-18.391705011568337</v>
      </c>
      <c r="I34" s="192">
        <f>G34+H34</f>
        <v>-88.1830749960821</v>
      </c>
      <c r="J34" s="193">
        <f>B34-I34</f>
        <v>3.4409149960820997</v>
      </c>
      <c r="L34" s="491"/>
    </row>
    <row r="35" spans="1:12" ht="10.5" customHeight="1" thickBot="1">
      <c r="A35" s="240"/>
      <c r="B35" s="241"/>
      <c r="C35" s="241"/>
      <c r="D35" s="242"/>
      <c r="E35" s="191" t="s">
        <v>2</v>
      </c>
      <c r="F35" s="192">
        <f>-(B34*I$6-I$4*D34)</f>
        <v>-72.56521252337944</v>
      </c>
      <c r="G35" s="192">
        <f>-(I$4*F36-I$6*F34)</f>
        <v>-60.573384844022286</v>
      </c>
      <c r="H35" s="192">
        <f>J$4*I$5</f>
        <v>-23.544044379519125</v>
      </c>
      <c r="I35" s="192">
        <f>G35+H35</f>
        <v>-84.11742922354141</v>
      </c>
      <c r="J35" s="194">
        <f>C34-I35</f>
        <v>4.404869223541411</v>
      </c>
      <c r="L35" s="491"/>
    </row>
    <row r="36" spans="1:13" ht="10.5" customHeight="1" thickBot="1">
      <c r="A36" s="243"/>
      <c r="B36" s="244"/>
      <c r="C36" s="244"/>
      <c r="D36" s="245"/>
      <c r="E36" s="195" t="s">
        <v>3</v>
      </c>
      <c r="F36" s="196">
        <f>B34*I$5-I$4*C34</f>
        <v>6.089096884948763</v>
      </c>
      <c r="G36" s="196">
        <f>I$4*F35-I$5*F34</f>
        <v>33.207600128829405</v>
      </c>
      <c r="H36" s="196">
        <f>J$4*I$6</f>
        <v>-81.59953563585849</v>
      </c>
      <c r="I36" s="197">
        <f>G36+H36</f>
        <v>-48.39193550702908</v>
      </c>
      <c r="J36" s="113">
        <f>IF('Input Data'!E37=TRUE,"",(D34-I36))</f>
        <v>15.26650550702908</v>
      </c>
      <c r="K36" s="113">
        <f>IF('Input Data'!E37=TRUE,"",(J34*I$4+J35*I$5+J36*I$6))</f>
        <v>-16.257581593918395</v>
      </c>
      <c r="L36" s="113">
        <f>IF('Input Data'!E37=TRUE,"",ABS(K36))</f>
        <v>16.257581593918395</v>
      </c>
      <c r="M36" s="491"/>
    </row>
    <row r="37" spans="1:12" ht="10.5" customHeight="1">
      <c r="A37" s="198" t="s">
        <v>0</v>
      </c>
      <c r="B37" s="199" t="s">
        <v>16</v>
      </c>
      <c r="C37" s="199" t="s">
        <v>17</v>
      </c>
      <c r="D37" s="199" t="s">
        <v>18</v>
      </c>
      <c r="E37" s="200"/>
      <c r="F37" s="201" t="s">
        <v>7</v>
      </c>
      <c r="G37" s="201" t="s">
        <v>8</v>
      </c>
      <c r="H37" s="201" t="s">
        <v>9</v>
      </c>
      <c r="I37" s="201" t="s">
        <v>10</v>
      </c>
      <c r="J37" s="202" t="s">
        <v>11</v>
      </c>
      <c r="L37" s="491"/>
    </row>
    <row r="38" spans="1:12" ht="10.5" customHeight="1">
      <c r="A38" s="203">
        <v>8</v>
      </c>
      <c r="B38" s="204">
        <f>'Input Data'!B38</f>
        <v>-106.71382</v>
      </c>
      <c r="C38" s="204">
        <f>'Input Data'!C38</f>
        <v>-89.21861</v>
      </c>
      <c r="D38" s="204">
        <f>'Input Data'!D38</f>
        <v>-33.21561</v>
      </c>
      <c r="E38" s="205" t="s">
        <v>1</v>
      </c>
      <c r="F38" s="206">
        <f>C38*I$6-D38*I$5</f>
        <v>74.78024795023066</v>
      </c>
      <c r="G38" s="206">
        <f>I$5*F40-I$6*F39</f>
        <v>-90.21574794222946</v>
      </c>
      <c r="H38" s="206">
        <f>J$4*I$4</f>
        <v>-18.391705011568337</v>
      </c>
      <c r="I38" s="206">
        <f>G38+H38</f>
        <v>-108.60745295379779</v>
      </c>
      <c r="J38" s="207">
        <f>B38-I38</f>
        <v>1.8936329537977912</v>
      </c>
      <c r="L38" s="491"/>
    </row>
    <row r="39" spans="1:12" ht="10.5" customHeight="1" thickBot="1">
      <c r="A39" s="240"/>
      <c r="B39" s="241"/>
      <c r="C39" s="241"/>
      <c r="D39" s="242"/>
      <c r="E39" s="205" t="s">
        <v>2</v>
      </c>
      <c r="F39" s="206">
        <f>-(B38*I$6-I$4*D38)</f>
        <v>-93.17837474177388</v>
      </c>
      <c r="G39" s="206">
        <f>-(I$4*F40-I$6*F38)</f>
        <v>-68.09868988055857</v>
      </c>
      <c r="H39" s="206">
        <f>J$4*I$5</f>
        <v>-23.544044379519125</v>
      </c>
      <c r="I39" s="206">
        <f>G39+H39</f>
        <v>-91.64273426007769</v>
      </c>
      <c r="J39" s="208">
        <f>C38-I39</f>
        <v>2.42412426007769</v>
      </c>
      <c r="L39" s="491"/>
    </row>
    <row r="40" spans="1:12" ht="10.5" customHeight="1" thickBot="1">
      <c r="A40" s="243"/>
      <c r="B40" s="244"/>
      <c r="C40" s="244"/>
      <c r="D40" s="245"/>
      <c r="E40" s="209" t="s">
        <v>3</v>
      </c>
      <c r="F40" s="210">
        <f>B38*I$5-I$4*C38</f>
        <v>10.030198367691941</v>
      </c>
      <c r="G40" s="210">
        <f>I$4*F39-I$5*F38</f>
        <v>39.9823353756043</v>
      </c>
      <c r="H40" s="210">
        <f>J$4*I$6</f>
        <v>-81.59953563585849</v>
      </c>
      <c r="I40" s="211">
        <f>G40+H40</f>
        <v>-41.61720026025419</v>
      </c>
      <c r="J40" s="113">
        <f>IF('Input Data'!E38=TRUE,"",(D38-I40))</f>
        <v>8.401590260254189</v>
      </c>
      <c r="K40" s="113">
        <f>IF('Input Data'!E38=TRUE,"",(J38*I$4+J39*I$5+J40*I$6))</f>
        <v>-8.94700749374919</v>
      </c>
      <c r="L40" s="113">
        <f>IF('Input Data'!E38=TRUE,"",ABS(K40))</f>
        <v>8.94700749374919</v>
      </c>
    </row>
    <row r="41" spans="1:12" ht="10.5" customHeight="1">
      <c r="A41" s="212" t="s">
        <v>0</v>
      </c>
      <c r="B41" s="213" t="s">
        <v>16</v>
      </c>
      <c r="C41" s="213" t="s">
        <v>17</v>
      </c>
      <c r="D41" s="213" t="s">
        <v>18</v>
      </c>
      <c r="E41" s="214"/>
      <c r="F41" s="215" t="s">
        <v>7</v>
      </c>
      <c r="G41" s="215" t="s">
        <v>8</v>
      </c>
      <c r="H41" s="215" t="s">
        <v>9</v>
      </c>
      <c r="I41" s="215" t="s">
        <v>10</v>
      </c>
      <c r="J41" s="216" t="s">
        <v>11</v>
      </c>
      <c r="L41" s="491"/>
    </row>
    <row r="42" spans="1:12" ht="10.5" customHeight="1">
      <c r="A42" s="217">
        <v>9</v>
      </c>
      <c r="B42" s="218">
        <f>'Input Data'!B39</f>
        <v>0</v>
      </c>
      <c r="C42" s="218">
        <f>'Input Data'!C39</f>
        <v>0</v>
      </c>
      <c r="D42" s="218">
        <f>'Input Data'!D39</f>
        <v>0</v>
      </c>
      <c r="E42" s="219" t="s">
        <v>1</v>
      </c>
      <c r="F42" s="220">
        <f>C42*I$6-D42*I$5</f>
        <v>0</v>
      </c>
      <c r="G42" s="220">
        <f>I$5*F44-I$6*F43</f>
        <v>0</v>
      </c>
      <c r="H42" s="220">
        <f>J$4*I$4</f>
        <v>-18.391705011568337</v>
      </c>
      <c r="I42" s="220">
        <f>G42+H42</f>
        <v>-18.391705011568337</v>
      </c>
      <c r="J42" s="221">
        <f>B42-I42</f>
        <v>18.391705011568337</v>
      </c>
      <c r="L42" s="491"/>
    </row>
    <row r="43" spans="1:12" ht="10.5" customHeight="1" thickBot="1">
      <c r="A43" s="240"/>
      <c r="B43" s="241"/>
      <c r="C43" s="241"/>
      <c r="D43" s="242"/>
      <c r="E43" s="219" t="s">
        <v>2</v>
      </c>
      <c r="F43" s="220">
        <f>-(B42*I$6-I$4*D42)</f>
        <v>0</v>
      </c>
      <c r="G43" s="220">
        <f>-(I$4*F44-I$6*F42)</f>
        <v>0</v>
      </c>
      <c r="H43" s="220">
        <f>J$4*I$5</f>
        <v>-23.544044379519125</v>
      </c>
      <c r="I43" s="220">
        <f>G43+H43</f>
        <v>-23.544044379519125</v>
      </c>
      <c r="J43" s="222">
        <f>C42-I43</f>
        <v>23.544044379519125</v>
      </c>
      <c r="L43" s="491"/>
    </row>
    <row r="44" spans="1:12" ht="10.5" customHeight="1" thickBot="1">
      <c r="A44" s="243"/>
      <c r="B44" s="244"/>
      <c r="C44" s="244"/>
      <c r="D44" s="245"/>
      <c r="E44" s="223" t="s">
        <v>3</v>
      </c>
      <c r="F44" s="224">
        <f>B42*I$5-I$4*C42</f>
        <v>0</v>
      </c>
      <c r="G44" s="224">
        <f>I$4*F43-I$5*F42</f>
        <v>0</v>
      </c>
      <c r="H44" s="224">
        <f>J$4*I$6</f>
        <v>-81.59953563585849</v>
      </c>
      <c r="I44" s="225">
        <f>G44+H44</f>
        <v>-81.59953563585849</v>
      </c>
      <c r="J44" s="113">
        <f>IF('Input Data'!E39=TRUE,"",(D42-I44))</f>
      </c>
      <c r="K44" s="113">
        <f>IF('Input Data'!E39=TRUE,"",(J42*I$4+J43*I$5+J44*I$6))</f>
      </c>
      <c r="L44" s="113">
        <f>IF('Input Data'!E39=TRUE,"",ABS(K44))</f>
      </c>
    </row>
    <row r="45" spans="1:12" ht="10.5" customHeight="1">
      <c r="A45" s="226" t="s">
        <v>0</v>
      </c>
      <c r="B45" s="227" t="s">
        <v>16</v>
      </c>
      <c r="C45" s="227" t="s">
        <v>17</v>
      </c>
      <c r="D45" s="227" t="s">
        <v>18</v>
      </c>
      <c r="E45" s="228"/>
      <c r="F45" s="229" t="s">
        <v>7</v>
      </c>
      <c r="G45" s="229" t="s">
        <v>8</v>
      </c>
      <c r="H45" s="229" t="s">
        <v>9</v>
      </c>
      <c r="I45" s="229" t="s">
        <v>10</v>
      </c>
      <c r="J45" s="230" t="s">
        <v>11</v>
      </c>
      <c r="L45" s="491"/>
    </row>
    <row r="46" spans="1:12" ht="10.5" customHeight="1">
      <c r="A46" s="231">
        <v>10</v>
      </c>
      <c r="B46" s="232">
        <f>'Input Data'!B40</f>
        <v>0</v>
      </c>
      <c r="C46" s="232">
        <f>'Input Data'!C40</f>
        <v>0</v>
      </c>
      <c r="D46" s="232">
        <f>'Input Data'!D40</f>
        <v>0</v>
      </c>
      <c r="E46" s="233" t="s">
        <v>1</v>
      </c>
      <c r="F46" s="234">
        <f>C46*I$6-D46*I$5</f>
        <v>0</v>
      </c>
      <c r="G46" s="234">
        <f>I$5*F48-I$6*F47</f>
        <v>0</v>
      </c>
      <c r="H46" s="234">
        <f>J$4*I$4</f>
        <v>-18.391705011568337</v>
      </c>
      <c r="I46" s="234">
        <f>G46+H46</f>
        <v>-18.391705011568337</v>
      </c>
      <c r="J46" s="235">
        <f>B46-I46</f>
        <v>18.391705011568337</v>
      </c>
      <c r="L46" s="491"/>
    </row>
    <row r="47" spans="1:12" ht="10.5" customHeight="1" thickBot="1">
      <c r="A47" s="240"/>
      <c r="B47" s="241"/>
      <c r="C47" s="241"/>
      <c r="D47" s="242"/>
      <c r="E47" s="233" t="s">
        <v>2</v>
      </c>
      <c r="F47" s="234">
        <f>-(B46*I$6-I$4*D46)</f>
        <v>0</v>
      </c>
      <c r="G47" s="234">
        <f>-(I$4*F48-I$6*F46)</f>
        <v>0</v>
      </c>
      <c r="H47" s="234">
        <f>J$4*I$5</f>
        <v>-23.544044379519125</v>
      </c>
      <c r="I47" s="234">
        <f>G47+H47</f>
        <v>-23.544044379519125</v>
      </c>
      <c r="J47" s="236">
        <f>C46-I47</f>
        <v>23.544044379519125</v>
      </c>
      <c r="L47" s="491"/>
    </row>
    <row r="48" spans="1:12" ht="10.5" customHeight="1" thickBot="1">
      <c r="A48" s="243"/>
      <c r="B48" s="244"/>
      <c r="C48" s="244"/>
      <c r="D48" s="245"/>
      <c r="E48" s="237" t="s">
        <v>3</v>
      </c>
      <c r="F48" s="238">
        <f>B46*I$5-I$4*C46</f>
        <v>0</v>
      </c>
      <c r="G48" s="238">
        <f>I$4*F47-I$5*F46</f>
        <v>0</v>
      </c>
      <c r="H48" s="238">
        <f>J$4*I$6</f>
        <v>-81.59953563585849</v>
      </c>
      <c r="I48" s="239">
        <f>G48+H48</f>
        <v>-81.59953563585849</v>
      </c>
      <c r="J48" s="113">
        <f>IF('Input Data'!E40=TRUE,"",(D46-I48))</f>
      </c>
      <c r="K48" s="113">
        <f>IF('Input Data'!E40=TRUE,"",(J46*I$4+J47*I$5+J48*I$6))</f>
      </c>
      <c r="L48" s="113">
        <f>IF('Input Data'!E40=TRUE,"",ABS(K48))</f>
      </c>
    </row>
    <row r="49" spans="1:12" ht="10.5" customHeight="1">
      <c r="A49" s="256" t="s">
        <v>0</v>
      </c>
      <c r="B49" s="257" t="s">
        <v>16</v>
      </c>
      <c r="C49" s="257" t="s">
        <v>17</v>
      </c>
      <c r="D49" s="257" t="s">
        <v>18</v>
      </c>
      <c r="E49" s="246"/>
      <c r="F49" s="247" t="s">
        <v>7</v>
      </c>
      <c r="G49" s="247" t="s">
        <v>8</v>
      </c>
      <c r="H49" s="247" t="s">
        <v>9</v>
      </c>
      <c r="I49" s="247" t="s">
        <v>10</v>
      </c>
      <c r="J49" s="248" t="s">
        <v>11</v>
      </c>
      <c r="L49" s="491"/>
    </row>
    <row r="50" spans="1:12" ht="10.5" customHeight="1">
      <c r="A50" s="258">
        <v>11</v>
      </c>
      <c r="B50" s="259">
        <f>'Input Data'!B41</f>
        <v>0</v>
      </c>
      <c r="C50" s="259">
        <f>'Input Data'!C41</f>
        <v>0</v>
      </c>
      <c r="D50" s="259">
        <f>'Input Data'!D41</f>
        <v>0</v>
      </c>
      <c r="E50" s="249" t="s">
        <v>1</v>
      </c>
      <c r="F50" s="250">
        <f>C50*I$6-D50*I$5</f>
        <v>0</v>
      </c>
      <c r="G50" s="250">
        <f>I$5*F52-I$6*F51</f>
        <v>0</v>
      </c>
      <c r="H50" s="250">
        <f>J$4*I$4</f>
        <v>-18.391705011568337</v>
      </c>
      <c r="I50" s="250">
        <f>G50+H50</f>
        <v>-18.391705011568337</v>
      </c>
      <c r="J50" s="251">
        <f>B50-I50</f>
        <v>18.391705011568337</v>
      </c>
      <c r="L50" s="492"/>
    </row>
    <row r="51" spans="1:12" ht="10.5" customHeight="1" thickBot="1">
      <c r="A51" s="240"/>
      <c r="B51" s="241"/>
      <c r="C51" s="241"/>
      <c r="D51" s="242"/>
      <c r="E51" s="249" t="s">
        <v>2</v>
      </c>
      <c r="F51" s="250">
        <f>-(B50*I$6-I$4*D50)</f>
        <v>0</v>
      </c>
      <c r="G51" s="250">
        <f>-(I$4*F52-I$6*F50)</f>
        <v>0</v>
      </c>
      <c r="H51" s="250">
        <f>J$4*I$5</f>
        <v>-23.544044379519125</v>
      </c>
      <c r="I51" s="250">
        <f>G51+H51</f>
        <v>-23.544044379519125</v>
      </c>
      <c r="J51" s="252">
        <f>C50-I51</f>
        <v>23.544044379519125</v>
      </c>
      <c r="L51" s="491"/>
    </row>
    <row r="52" spans="1:12" ht="10.5" customHeight="1" thickBot="1">
      <c r="A52" s="243"/>
      <c r="B52" s="244"/>
      <c r="C52" s="244"/>
      <c r="D52" s="245"/>
      <c r="E52" s="253" t="s">
        <v>3</v>
      </c>
      <c r="F52" s="254">
        <f>B50*I$5-I$4*C50</f>
        <v>0</v>
      </c>
      <c r="G52" s="254">
        <f>I$4*F51-I$5*F50</f>
        <v>0</v>
      </c>
      <c r="H52" s="254">
        <f>J$4*I$6</f>
        <v>-81.59953563585849</v>
      </c>
      <c r="I52" s="255">
        <f>G52+H52</f>
        <v>-81.59953563585849</v>
      </c>
      <c r="J52" s="113">
        <f>IF('Input Data'!E41=TRUE,"",(D50-I52))</f>
      </c>
      <c r="K52" s="113">
        <f>IF('Input Data'!E41=TRUE,"",(J50*I$4+J51*I$5+J52*I$6))</f>
      </c>
      <c r="L52" s="113">
        <f>IF('Input Data'!E41=TRUE,"",ABS(K52))</f>
      </c>
    </row>
    <row r="53" spans="1:12" ht="10.5" customHeight="1">
      <c r="A53" s="260" t="s">
        <v>0</v>
      </c>
      <c r="B53" s="261" t="s">
        <v>16</v>
      </c>
      <c r="C53" s="261" t="s">
        <v>17</v>
      </c>
      <c r="D53" s="261" t="s">
        <v>18</v>
      </c>
      <c r="E53" s="262"/>
      <c r="F53" s="263" t="s">
        <v>7</v>
      </c>
      <c r="G53" s="263" t="s">
        <v>8</v>
      </c>
      <c r="H53" s="263" t="s">
        <v>9</v>
      </c>
      <c r="I53" s="263" t="s">
        <v>10</v>
      </c>
      <c r="J53" s="264" t="s">
        <v>11</v>
      </c>
      <c r="L53" s="491"/>
    </row>
    <row r="54" spans="1:12" ht="10.5" customHeight="1">
      <c r="A54" s="265">
        <v>12</v>
      </c>
      <c r="B54" s="266">
        <f>'Input Data'!B42</f>
        <v>0</v>
      </c>
      <c r="C54" s="266">
        <f>'Input Data'!C42</f>
        <v>0</v>
      </c>
      <c r="D54" s="266">
        <f>'Input Data'!D42</f>
        <v>0</v>
      </c>
      <c r="E54" s="267" t="s">
        <v>1</v>
      </c>
      <c r="F54" s="268">
        <f>C54*I$6-D54*I$5</f>
        <v>0</v>
      </c>
      <c r="G54" s="268">
        <f>I$5*F56-I$6*F55</f>
        <v>0</v>
      </c>
      <c r="H54" s="268">
        <f>J$4*I$4</f>
        <v>-18.391705011568337</v>
      </c>
      <c r="I54" s="268">
        <f>G54+H54</f>
        <v>-18.391705011568337</v>
      </c>
      <c r="J54" s="269">
        <f>B54-I54</f>
        <v>18.391705011568337</v>
      </c>
      <c r="L54" s="491"/>
    </row>
    <row r="55" spans="1:12" ht="10.5" customHeight="1" thickBot="1">
      <c r="A55" s="240"/>
      <c r="B55" s="241"/>
      <c r="C55" s="241"/>
      <c r="D55" s="242"/>
      <c r="E55" s="267" t="s">
        <v>2</v>
      </c>
      <c r="F55" s="268">
        <f>-(B54*I$6-I$4*D54)</f>
        <v>0</v>
      </c>
      <c r="G55" s="268">
        <f>-(I$4*F56-I$6*F54)</f>
        <v>0</v>
      </c>
      <c r="H55" s="268">
        <f>J$4*I$5</f>
        <v>-23.544044379519125</v>
      </c>
      <c r="I55" s="268">
        <f>G55+H55</f>
        <v>-23.544044379519125</v>
      </c>
      <c r="J55" s="270">
        <f>C54-I55</f>
        <v>23.544044379519125</v>
      </c>
      <c r="L55" s="491"/>
    </row>
    <row r="56" spans="1:12" ht="10.5" customHeight="1" thickBot="1">
      <c r="A56" s="243"/>
      <c r="B56" s="244"/>
      <c r="C56" s="244"/>
      <c r="D56" s="245"/>
      <c r="E56" s="271" t="s">
        <v>3</v>
      </c>
      <c r="F56" s="272">
        <f>B54*I$5-I$4*C54</f>
        <v>0</v>
      </c>
      <c r="G56" s="272">
        <f>I$4*F55-I$5*F54</f>
        <v>0</v>
      </c>
      <c r="H56" s="272">
        <f>J$4*I$6</f>
        <v>-81.59953563585849</v>
      </c>
      <c r="I56" s="273">
        <f>G56+H56</f>
        <v>-81.59953563585849</v>
      </c>
      <c r="J56" s="113">
        <f>IF('Input Data'!E42=TRUE,"",(D54-I56))</f>
      </c>
      <c r="K56" s="113">
        <f>IF('Input Data'!E42=TRUE,"",(J54*I$4+J55*I$5+J56*I$6))</f>
      </c>
      <c r="L56" s="113">
        <f>IF('Input Data'!E42=TRUE,"",ABS(K56))</f>
      </c>
    </row>
    <row r="57" spans="1:12" ht="10.5" customHeight="1">
      <c r="A57" s="284" t="s">
        <v>0</v>
      </c>
      <c r="B57" s="285" t="s">
        <v>16</v>
      </c>
      <c r="C57" s="285" t="s">
        <v>17</v>
      </c>
      <c r="D57" s="285" t="s">
        <v>18</v>
      </c>
      <c r="E57" s="274"/>
      <c r="F57" s="275" t="s">
        <v>7</v>
      </c>
      <c r="G57" s="275" t="s">
        <v>8</v>
      </c>
      <c r="H57" s="275" t="s">
        <v>9</v>
      </c>
      <c r="I57" s="275" t="s">
        <v>10</v>
      </c>
      <c r="J57" s="276" t="s">
        <v>11</v>
      </c>
      <c r="L57" s="491"/>
    </row>
    <row r="58" spans="1:12" ht="10.5" customHeight="1">
      <c r="A58" s="286">
        <v>13</v>
      </c>
      <c r="B58" s="287">
        <f>'Input Data'!B43</f>
        <v>0</v>
      </c>
      <c r="C58" s="287">
        <f>'Input Data'!C43</f>
        <v>0</v>
      </c>
      <c r="D58" s="287">
        <f>'Input Data'!D43</f>
        <v>0</v>
      </c>
      <c r="E58" s="277" t="s">
        <v>1</v>
      </c>
      <c r="F58" s="278">
        <f>C58*I$6-D58*I$5</f>
        <v>0</v>
      </c>
      <c r="G58" s="278">
        <f>I$5*F60-I$6*F59</f>
        <v>0</v>
      </c>
      <c r="H58" s="278">
        <f>J$4*I$4</f>
        <v>-18.391705011568337</v>
      </c>
      <c r="I58" s="278">
        <f>G58+H58</f>
        <v>-18.391705011568337</v>
      </c>
      <c r="J58" s="279">
        <f>B58-I58</f>
        <v>18.391705011568337</v>
      </c>
      <c r="L58" s="491"/>
    </row>
    <row r="59" spans="1:12" ht="10.5" customHeight="1" thickBot="1">
      <c r="A59" s="240"/>
      <c r="B59" s="241"/>
      <c r="C59" s="241"/>
      <c r="D59" s="242"/>
      <c r="E59" s="277" t="s">
        <v>2</v>
      </c>
      <c r="F59" s="278">
        <f>-(B58*I$6-I$4*D58)</f>
        <v>0</v>
      </c>
      <c r="G59" s="278">
        <f>-(I$4*F60-I$6*F58)</f>
        <v>0</v>
      </c>
      <c r="H59" s="278">
        <f>J$4*I$5</f>
        <v>-23.544044379519125</v>
      </c>
      <c r="I59" s="278">
        <f>G59+H59</f>
        <v>-23.544044379519125</v>
      </c>
      <c r="J59" s="280">
        <f>C58-I59</f>
        <v>23.544044379519125</v>
      </c>
      <c r="L59" s="491"/>
    </row>
    <row r="60" spans="1:12" ht="10.5" customHeight="1" thickBot="1">
      <c r="A60" s="243"/>
      <c r="B60" s="244"/>
      <c r="C60" s="244"/>
      <c r="D60" s="245"/>
      <c r="E60" s="281" t="s">
        <v>3</v>
      </c>
      <c r="F60" s="282">
        <f>B58*I$5-I$4*C58</f>
        <v>0</v>
      </c>
      <c r="G60" s="282">
        <f>I$4*F59-I$5*F58</f>
        <v>0</v>
      </c>
      <c r="H60" s="282">
        <f>J$4*I$6</f>
        <v>-81.59953563585849</v>
      </c>
      <c r="I60" s="283">
        <f>G60+H60</f>
        <v>-81.59953563585849</v>
      </c>
      <c r="J60" s="113">
        <f>IF('Input Data'!E43=TRUE,"",(D58-I60))</f>
      </c>
      <c r="K60" s="113">
        <f>IF('Input Data'!E43=TRUE,"",(J58*I$4+J59*I$5+J60*I$6))</f>
      </c>
      <c r="L60" s="113">
        <f>IF('Input Data'!E43=TRUE,"",ABS(K61))</f>
      </c>
    </row>
    <row r="61" spans="1:12" ht="10.5" customHeight="1">
      <c r="A61" s="298" t="s">
        <v>0</v>
      </c>
      <c r="B61" s="299" t="s">
        <v>16</v>
      </c>
      <c r="C61" s="299" t="s">
        <v>17</v>
      </c>
      <c r="D61" s="299" t="s">
        <v>18</v>
      </c>
      <c r="E61" s="288"/>
      <c r="F61" s="289" t="s">
        <v>7</v>
      </c>
      <c r="G61" s="289" t="s">
        <v>8</v>
      </c>
      <c r="H61" s="289" t="s">
        <v>9</v>
      </c>
      <c r="I61" s="289" t="s">
        <v>10</v>
      </c>
      <c r="J61" s="290" t="s">
        <v>11</v>
      </c>
      <c r="L61" s="491"/>
    </row>
    <row r="62" spans="1:12" ht="10.5" customHeight="1">
      <c r="A62" s="300">
        <v>14</v>
      </c>
      <c r="B62" s="301">
        <f>'Input Data'!B44</f>
        <v>0</v>
      </c>
      <c r="C62" s="301">
        <f>'Input Data'!C44</f>
        <v>0</v>
      </c>
      <c r="D62" s="301">
        <f>'Input Data'!D44</f>
        <v>0</v>
      </c>
      <c r="E62" s="291" t="s">
        <v>1</v>
      </c>
      <c r="F62" s="292">
        <f>C62*I$6-D62*I$5</f>
        <v>0</v>
      </c>
      <c r="G62" s="292">
        <f>I$5*F64-I$6*F63</f>
        <v>0</v>
      </c>
      <c r="H62" s="292">
        <f>J$4*I$4</f>
        <v>-18.391705011568337</v>
      </c>
      <c r="I62" s="292">
        <f>G62+H62</f>
        <v>-18.391705011568337</v>
      </c>
      <c r="J62" s="293">
        <f>B62-I62</f>
        <v>18.391705011568337</v>
      </c>
      <c r="L62" s="491"/>
    </row>
    <row r="63" spans="1:12" ht="10.5" customHeight="1" thickBot="1">
      <c r="A63" s="240"/>
      <c r="B63" s="241"/>
      <c r="C63" s="241"/>
      <c r="D63" s="242"/>
      <c r="E63" s="291" t="s">
        <v>2</v>
      </c>
      <c r="F63" s="292">
        <f>-(B62*I$6-I$4*D62)</f>
        <v>0</v>
      </c>
      <c r="G63" s="292">
        <f>-(I$4*F64-I$6*F62)</f>
        <v>0</v>
      </c>
      <c r="H63" s="292">
        <f>J$4*I$5</f>
        <v>-23.544044379519125</v>
      </c>
      <c r="I63" s="292">
        <f>G63+H63</f>
        <v>-23.544044379519125</v>
      </c>
      <c r="J63" s="294">
        <f>C62-I63</f>
        <v>23.544044379519125</v>
      </c>
      <c r="L63" s="491"/>
    </row>
    <row r="64" spans="1:12" ht="10.5" customHeight="1" thickBot="1">
      <c r="A64" s="243"/>
      <c r="B64" s="244"/>
      <c r="C64" s="244"/>
      <c r="D64" s="245"/>
      <c r="E64" s="295" t="s">
        <v>3</v>
      </c>
      <c r="F64" s="296">
        <f>B62*I$5-I$4*C62</f>
        <v>0</v>
      </c>
      <c r="G64" s="296">
        <f>I$4*F63-I$5*F62</f>
        <v>0</v>
      </c>
      <c r="H64" s="296">
        <f>J$4*I$6</f>
        <v>-81.59953563585849</v>
      </c>
      <c r="I64" s="297">
        <f>G64+H64</f>
        <v>-81.59953563585849</v>
      </c>
      <c r="J64" s="113">
        <f>IF('Input Data'!E44=TRUE,"",(D62-I64))</f>
      </c>
      <c r="K64" s="113">
        <f>IF('Input Data'!E44=TRUE,"",(J62*I$4+J63*I$5+J64*I$6))</f>
      </c>
      <c r="L64" s="113">
        <f>IF('Input Data'!E44=TRUE,"",ABS(K65))</f>
      </c>
    </row>
    <row r="65" spans="1:12" ht="10.5" customHeight="1">
      <c r="A65" s="309" t="s">
        <v>0</v>
      </c>
      <c r="B65" s="310" t="s">
        <v>16</v>
      </c>
      <c r="C65" s="310" t="s">
        <v>17</v>
      </c>
      <c r="D65" s="317" t="s">
        <v>18</v>
      </c>
      <c r="E65" s="316"/>
      <c r="F65" s="302" t="s">
        <v>7</v>
      </c>
      <c r="G65" s="302" t="s">
        <v>8</v>
      </c>
      <c r="H65" s="302" t="s">
        <v>9</v>
      </c>
      <c r="I65" s="302" t="s">
        <v>10</v>
      </c>
      <c r="J65" s="303" t="s">
        <v>11</v>
      </c>
      <c r="L65" s="491"/>
    </row>
    <row r="66" spans="1:12" ht="10.5" customHeight="1" thickBot="1">
      <c r="A66" s="318">
        <v>15</v>
      </c>
      <c r="B66" s="319">
        <f>'Input Data'!B45</f>
        <v>0</v>
      </c>
      <c r="C66" s="319">
        <f>'Input Data'!C45</f>
        <v>0</v>
      </c>
      <c r="D66" s="320">
        <f>'Input Data'!D45</f>
        <v>0</v>
      </c>
      <c r="E66" s="311" t="s">
        <v>1</v>
      </c>
      <c r="F66" s="304">
        <f>C66*I$6-D66*I$5</f>
        <v>0</v>
      </c>
      <c r="G66" s="304">
        <f>I$5*F68-I$6*F67</f>
        <v>0</v>
      </c>
      <c r="H66" s="304">
        <f>J$4*I$4</f>
        <v>-18.391705011568337</v>
      </c>
      <c r="I66" s="304">
        <f>G66+H66</f>
        <v>-18.391705011568337</v>
      </c>
      <c r="J66" s="305">
        <f>B66-I66</f>
        <v>18.391705011568337</v>
      </c>
      <c r="L66" s="491"/>
    </row>
    <row r="67" spans="1:12" ht="10.5" customHeight="1" thickBot="1">
      <c r="A67" s="313"/>
      <c r="B67" s="314"/>
      <c r="C67" s="314"/>
      <c r="D67" s="314"/>
      <c r="E67" s="311" t="s">
        <v>2</v>
      </c>
      <c r="F67" s="304">
        <f>-(B66*I$6-I$4*D66)</f>
        <v>0</v>
      </c>
      <c r="G67" s="304">
        <f>-(I$4*F68-I$6*F66)</f>
        <v>0</v>
      </c>
      <c r="H67" s="304">
        <f>J$4*I$5</f>
        <v>-23.544044379519125</v>
      </c>
      <c r="I67" s="304">
        <f>G67+H67</f>
        <v>-23.544044379519125</v>
      </c>
      <c r="J67" s="306">
        <f>C66-I67</f>
        <v>23.544044379519125</v>
      </c>
      <c r="L67" s="491"/>
    </row>
    <row r="68" spans="1:12" ht="10.5" customHeight="1" thickBot="1">
      <c r="A68" s="315"/>
      <c r="B68" s="314"/>
      <c r="C68" s="314"/>
      <c r="D68" s="314"/>
      <c r="E68" s="312" t="s">
        <v>3</v>
      </c>
      <c r="F68" s="307">
        <f>B66*I$5-I$4*C66</f>
        <v>0</v>
      </c>
      <c r="G68" s="307">
        <f>I$4*F67-I$5*F66</f>
        <v>0</v>
      </c>
      <c r="H68" s="307">
        <f>J$4*I$6</f>
        <v>-81.59953563585849</v>
      </c>
      <c r="I68" s="308">
        <f>G68+H68</f>
        <v>-81.59953563585849</v>
      </c>
      <c r="J68" s="113">
        <f>IF('Input Data'!E45=TRUE,"",(D66-I68))</f>
      </c>
      <c r="K68" s="113">
        <f>IF('Input Data'!E45=TRUE,"",(J66*I$4+J67*I$5+J68*I$6))</f>
      </c>
      <c r="L68" s="113">
        <f>IF('Input Data'!E45=TRUE,"",ABS(K69))</f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85">
      <selection activeCell="Q39" sqref="Q39"/>
    </sheetView>
  </sheetViews>
  <sheetFormatPr defaultColWidth="9.140625" defaultRowHeight="12.75"/>
  <cols>
    <col min="1" max="1" width="9.421875" style="0" customWidth="1"/>
    <col min="2" max="3" width="10.7109375" style="0" customWidth="1"/>
    <col min="4" max="4" width="12.7109375" style="0" customWidth="1"/>
    <col min="5" max="5" width="15.7109375" style="0" customWidth="1"/>
    <col min="6" max="7" width="12.7109375" style="0" customWidth="1"/>
    <col min="8" max="10" width="6.7109375" style="0" customWidth="1"/>
    <col min="11" max="12" width="6.7109375" style="73" customWidth="1"/>
    <col min="13" max="17" width="6.7109375" style="0" customWidth="1"/>
  </cols>
  <sheetData>
    <row r="1" spans="1:12" ht="13.5" thickBot="1">
      <c r="A1" s="48"/>
      <c r="B1" s="43" t="s">
        <v>19</v>
      </c>
      <c r="C1" s="43" t="s">
        <v>32</v>
      </c>
      <c r="D1" s="43" t="s">
        <v>25</v>
      </c>
      <c r="E1" s="43" t="s">
        <v>35</v>
      </c>
      <c r="F1" s="46" t="s">
        <v>26</v>
      </c>
      <c r="G1" s="61" t="s">
        <v>27</v>
      </c>
      <c r="H1" s="435" t="s">
        <v>86</v>
      </c>
      <c r="I1" s="436"/>
      <c r="J1" s="436"/>
      <c r="K1" s="436"/>
      <c r="L1" s="437"/>
    </row>
    <row r="2" spans="1:17" ht="13.5" thickBot="1">
      <c r="A2" s="49"/>
      <c r="B2" s="44" t="s">
        <v>29</v>
      </c>
      <c r="C2" s="44"/>
      <c r="D2" s="45"/>
      <c r="E2" s="45"/>
      <c r="F2" s="47"/>
      <c r="G2" s="62" t="s">
        <v>84</v>
      </c>
      <c r="H2" s="480">
        <v>5</v>
      </c>
      <c r="I2" s="481"/>
      <c r="J2" s="480">
        <v>4</v>
      </c>
      <c r="K2" s="481"/>
      <c r="L2" s="480">
        <v>3</v>
      </c>
      <c r="M2" s="481"/>
      <c r="N2" s="480">
        <v>2</v>
      </c>
      <c r="O2" s="481"/>
      <c r="P2" s="480" t="s">
        <v>91</v>
      </c>
      <c r="Q2" s="481"/>
    </row>
    <row r="3" spans="1:17" ht="13.5" thickBot="1">
      <c r="A3" s="466"/>
      <c r="B3" s="467"/>
      <c r="C3" s="467"/>
      <c r="D3" s="468"/>
      <c r="E3" s="468"/>
      <c r="F3" s="469"/>
      <c r="G3" s="470"/>
      <c r="H3" s="477" t="s">
        <v>89</v>
      </c>
      <c r="I3" s="477" t="s">
        <v>90</v>
      </c>
      <c r="J3" s="477" t="s">
        <v>89</v>
      </c>
      <c r="K3" s="477" t="s">
        <v>90</v>
      </c>
      <c r="L3" s="477" t="s">
        <v>89</v>
      </c>
      <c r="M3" s="477" t="s">
        <v>90</v>
      </c>
      <c r="N3" s="477" t="s">
        <v>89</v>
      </c>
      <c r="O3" s="477" t="s">
        <v>90</v>
      </c>
      <c r="P3" s="477" t="s">
        <v>89</v>
      </c>
      <c r="Q3" s="477" t="s">
        <v>90</v>
      </c>
    </row>
    <row r="4" spans="1:17" ht="12.75">
      <c r="A4" s="42">
        <v>1</v>
      </c>
      <c r="B4" s="63">
        <f>offsets!L12</f>
        <v>7.358922867988355</v>
      </c>
      <c r="C4" s="64">
        <f>IF('Input Data'!E31=TRUE,"",IF('Input Data'!N$23="G",'Input Data'!G5,IF('Input Data'!N$23="H",'Input Data'!H5)))</f>
        <v>7.074965293483042</v>
      </c>
      <c r="D4" s="65">
        <f>IF('Input Data'!E31=TRUE,"",(B4-B$20))</f>
        <v>0</v>
      </c>
      <c r="E4" s="65">
        <f>IF('Input Data'!E31=TRUE,"",(C4-C$20))</f>
        <v>0</v>
      </c>
      <c r="F4" s="66">
        <f>IF('Input Data'!E31=TRUE,"",(E4-D4))</f>
        <v>0</v>
      </c>
      <c r="G4" s="440">
        <f>IF('Input Data'!E31=TRUE,"",(F4-F$20))</f>
        <v>0</v>
      </c>
      <c r="H4" s="508"/>
      <c r="I4" s="440">
        <v>0.00023843825528402363</v>
      </c>
      <c r="J4" s="519">
        <v>0</v>
      </c>
      <c r="K4" s="440">
        <v>0</v>
      </c>
      <c r="L4" s="517">
        <v>0</v>
      </c>
      <c r="M4" s="440">
        <v>0.0010101180394883613</v>
      </c>
      <c r="N4" s="512">
        <v>0.003</v>
      </c>
      <c r="O4" s="510">
        <v>0</v>
      </c>
      <c r="P4" s="512">
        <v>0</v>
      </c>
      <c r="Q4" s="510">
        <v>0</v>
      </c>
    </row>
    <row r="5" spans="1:17" ht="12.75">
      <c r="A5" s="42">
        <v>2</v>
      </c>
      <c r="B5" s="67">
        <f>offsets!L16</f>
        <v>9.671788152639573</v>
      </c>
      <c r="C5" s="64">
        <f>IF('Input Data'!E32=TRUE,"",IF('Input Data'!N$23="G",'Input Data'!G6,IF('Input Data'!N$23="H",'Input Data'!H6)))</f>
        <v>9.392492765932083</v>
      </c>
      <c r="D5" s="65">
        <f>IF('Input Data'!E32=TRUE,"",(B5-B$20))</f>
        <v>2.3128652846512185</v>
      </c>
      <c r="E5" s="65">
        <f>IF('Input Data'!E32=TRUE,"",(C5-C$20))</f>
        <v>2.317527472449041</v>
      </c>
      <c r="F5" s="66">
        <f>IF('Input Data'!E32=TRUE,"",(E5-D5))</f>
        <v>0.004662187797822348</v>
      </c>
      <c r="G5" s="440">
        <f>IF('Input Data'!E32=TRUE,"",(F5-F$20))</f>
        <v>0.004662187797822348</v>
      </c>
      <c r="H5" s="445"/>
      <c r="I5" s="440">
        <v>0.003940739484441735</v>
      </c>
      <c r="J5" s="520">
        <v>0</v>
      </c>
      <c r="K5" s="440">
        <v>0.004796818887712995</v>
      </c>
      <c r="L5" s="515">
        <v>0</v>
      </c>
      <c r="M5" s="440">
        <v>0.003152053359448459</v>
      </c>
      <c r="N5" s="513">
        <v>0.003</v>
      </c>
      <c r="O5" s="511">
        <v>0.004841421356774234</v>
      </c>
      <c r="P5" s="513">
        <v>0</v>
      </c>
      <c r="Q5" s="511">
        <v>0.005913755375707375</v>
      </c>
    </row>
    <row r="6" spans="1:17" ht="12.75">
      <c r="A6" s="42">
        <v>3</v>
      </c>
      <c r="B6" s="67">
        <f>offsets!L20</f>
        <v>19.931075512359307</v>
      </c>
      <c r="C6" s="64">
        <f>IF('Input Data'!E33=TRUE,"",IF('Input Data'!N$23="G",'Input Data'!G7,IF('Input Data'!N$23="H",'Input Data'!H7)))</f>
        <v>19.65224842795089</v>
      </c>
      <c r="D6" s="65">
        <f>IF('Input Data'!E33=TRUE,"",(B6-B$20))</f>
        <v>12.572152644370952</v>
      </c>
      <c r="E6" s="65">
        <f>IF('Input Data'!E33=TRUE,"",(C6-C$20))</f>
        <v>12.577283134467848</v>
      </c>
      <c r="F6" s="66">
        <f>IF('Input Data'!E33=TRUE,"",(E6-D6))</f>
        <v>0.005130490096895812</v>
      </c>
      <c r="G6" s="440">
        <f>IF('Input Data'!E33=TRUE,"",(F6-F$20))</f>
        <v>0.005130490096895812</v>
      </c>
      <c r="H6" s="445"/>
      <c r="I6" s="440">
        <v>0.0008418645498871058</v>
      </c>
      <c r="J6" s="518">
        <v>0.002</v>
      </c>
      <c r="K6" s="440">
        <v>0.00621938120282195</v>
      </c>
      <c r="L6" s="515">
        <v>0</v>
      </c>
      <c r="M6" s="440">
        <v>0.003703975132328452</v>
      </c>
      <c r="N6" s="514">
        <v>0.008</v>
      </c>
      <c r="O6" s="511">
        <v>0.008662055999288043</v>
      </c>
      <c r="P6" s="514">
        <v>0.009</v>
      </c>
      <c r="Q6" s="511">
        <v>0.018841120163907377</v>
      </c>
    </row>
    <row r="7" spans="1:17" ht="12.75">
      <c r="A7" s="42">
        <v>4</v>
      </c>
      <c r="B7" s="67">
        <f>offsets!L24</f>
        <v>28.567074314407556</v>
      </c>
      <c r="C7" s="64">
        <f>IF('Input Data'!E34=TRUE,"",IF('Input Data'!N$23="G",'Input Data'!G8,IF('Input Data'!N$23="H",'Input Data'!H8)))</f>
        <v>28.286894906936922</v>
      </c>
      <c r="D7" s="65">
        <f>IF('Input Data'!E34=TRUE,"",(B7-B$20))</f>
        <v>21.2081514464192</v>
      </c>
      <c r="E7" s="65">
        <f>IF('Input Data'!E34=TRUE,"",(C7-C$20))</f>
        <v>21.21192961345388</v>
      </c>
      <c r="F7" s="66">
        <f>IF('Input Data'!E34=TRUE,"",(E7-D7))</f>
        <v>0.003778167034678148</v>
      </c>
      <c r="G7" s="440">
        <f>IF('Input Data'!E34=TRUE,"",(F7-F$20))</f>
        <v>0.003778167034678148</v>
      </c>
      <c r="H7" s="445"/>
      <c r="I7" s="440">
        <v>0.003125556166690302</v>
      </c>
      <c r="J7" s="520">
        <v>0.001</v>
      </c>
      <c r="K7" s="440">
        <v>0.0031905781258600996</v>
      </c>
      <c r="L7" s="516">
        <v>0.005</v>
      </c>
      <c r="M7" s="440">
        <v>0.006316489605520559</v>
      </c>
      <c r="N7" s="514">
        <v>0.017</v>
      </c>
      <c r="O7" s="511">
        <v>0.015963741301803225</v>
      </c>
      <c r="P7" s="514">
        <v>0.016</v>
      </c>
      <c r="Q7" s="511">
        <v>0.033307708302356076</v>
      </c>
    </row>
    <row r="8" spans="1:17" ht="12.75">
      <c r="A8" s="42">
        <v>5</v>
      </c>
      <c r="B8" s="67">
        <f>offsets!L28</f>
        <v>32.05996938801777</v>
      </c>
      <c r="C8" s="64">
        <f>IF('Input Data'!E35=TRUE,"",IF('Input Data'!N$23="G",'Input Data'!G9,IF('Input Data'!N$23="H",'Input Data'!H9)))</f>
        <v>31.781466446170295</v>
      </c>
      <c r="D8" s="65">
        <f>IF('Input Data'!E35=TRUE,"",(B8-B$20))</f>
        <v>24.701046520029415</v>
      </c>
      <c r="E8" s="65">
        <f>IF('Input Data'!E35=TRUE,"",(C8-C$20))</f>
        <v>24.706501152687252</v>
      </c>
      <c r="F8" s="66">
        <f>IF('Input Data'!E35=TRUE,"",(E8-D8))</f>
        <v>0.0054546326578375215</v>
      </c>
      <c r="G8" s="440">
        <f>IF('Input Data'!E35=TRUE,"",(F8-F$20))</f>
        <v>0.0054546326578375215</v>
      </c>
      <c r="H8" s="445"/>
      <c r="I8" s="440">
        <v>0.004150407494897479</v>
      </c>
      <c r="J8" s="520">
        <v>0</v>
      </c>
      <c r="K8" s="440">
        <v>0.0044120659984976385</v>
      </c>
      <c r="L8" s="516">
        <v>0.009</v>
      </c>
      <c r="M8" s="440">
        <v>0.010633358264051651</v>
      </c>
      <c r="N8" s="514">
        <v>0.021</v>
      </c>
      <c r="O8" s="511">
        <v>0.022803288697769375</v>
      </c>
      <c r="P8" s="514">
        <v>0.02</v>
      </c>
      <c r="Q8" s="511">
        <v>0.040804257789851306</v>
      </c>
    </row>
    <row r="9" spans="1:17" ht="12.75">
      <c r="A9" s="42">
        <v>7</v>
      </c>
      <c r="B9" s="67">
        <f>offsets!L32</f>
        <v>23.064941017792833</v>
      </c>
      <c r="C9" s="64">
        <f>IF('Input Data'!E36=TRUE,"",IF('Input Data'!N$23="G",'Input Data'!G10,IF('Input Data'!N$23="H",'Input Data'!H10)))</f>
        <v>22.786623246681046</v>
      </c>
      <c r="D9" s="65">
        <f>IF('Input Data'!E36=TRUE,"",(B9-B$20))</f>
        <v>15.706018149804478</v>
      </c>
      <c r="E9" s="65">
        <f>IF('Input Data'!E36=TRUE,"",(C9-C$20))</f>
        <v>15.711657953198003</v>
      </c>
      <c r="F9" s="66">
        <f>IF('Input Data'!E36=TRUE,"",(E9-D9))</f>
        <v>0.005639803393524545</v>
      </c>
      <c r="G9" s="440">
        <f>IF('Input Data'!E36=TRUE,"",(F9-F$20))</f>
        <v>0.005639803393524545</v>
      </c>
      <c r="H9" s="445"/>
      <c r="I9" s="440">
        <v>0.004859334699965245</v>
      </c>
      <c r="J9" s="518">
        <v>0.002</v>
      </c>
      <c r="K9" s="440">
        <v>0.00630511481212892</v>
      </c>
      <c r="L9" s="515">
        <v>0</v>
      </c>
      <c r="M9" s="440">
        <v>0.0032375359607428322</v>
      </c>
      <c r="N9" s="514">
        <v>0.02</v>
      </c>
      <c r="O9" s="511">
        <v>0.020614689367441486</v>
      </c>
      <c r="P9" s="514">
        <v>0.021</v>
      </c>
      <c r="Q9" s="511">
        <v>0.042332643122799496</v>
      </c>
    </row>
    <row r="10" spans="1:17" ht="12.75">
      <c r="A10" s="42">
        <v>8</v>
      </c>
      <c r="B10" s="67">
        <f>offsets!L36</f>
        <v>16.257581593918395</v>
      </c>
      <c r="C10" s="64">
        <f>IF('Input Data'!E37=TRUE,"",IF('Input Data'!N$23="G",'Input Data'!G11,IF('Input Data'!N$23="H",'Input Data'!H11)))</f>
        <v>15.973959056095474</v>
      </c>
      <c r="D10" s="65">
        <f>IF('Input Data'!E37=TRUE,"",(B10-B$20))</f>
        <v>8.89865872593004</v>
      </c>
      <c r="E10" s="65">
        <f>IF('Input Data'!E37=TRUE,"",(C10-C$20))</f>
        <v>8.898993762612431</v>
      </c>
      <c r="F10" s="66">
        <f>IF('Input Data'!E37=TRUE,"",(E10-D10))</f>
        <v>0.00033503668239021067</v>
      </c>
      <c r="G10" s="440">
        <f>IF('Input Data'!E37=TRUE,"",(F10-F$20))</f>
        <v>0.00033503668239021067</v>
      </c>
      <c r="H10" s="445"/>
      <c r="I10" s="440">
        <v>0</v>
      </c>
      <c r="J10" s="520">
        <v>0.001</v>
      </c>
      <c r="K10" s="440">
        <v>0.0005793543893588549</v>
      </c>
      <c r="L10" s="515">
        <v>0.001</v>
      </c>
      <c r="M10" s="440">
        <v>0</v>
      </c>
      <c r="N10" s="514">
        <v>0.019</v>
      </c>
      <c r="O10" s="511">
        <v>0.014827839567665535</v>
      </c>
      <c r="P10" s="514">
        <v>0.019</v>
      </c>
      <c r="Q10" s="511">
        <v>0.03361068018986124</v>
      </c>
    </row>
    <row r="11" spans="1:17" ht="12.75">
      <c r="A11" s="42">
        <v>9</v>
      </c>
      <c r="B11" s="67">
        <f>offsets!L40</f>
        <v>8.94700749374919</v>
      </c>
      <c r="C11" s="64">
        <f>IF('Input Data'!E38=TRUE,"",IF('Input Data'!N$23="G",'Input Data'!G12,IF('Input Data'!N$23="H",'Input Data'!H12)))</f>
        <v>8.669052390216525</v>
      </c>
      <c r="D11" s="65">
        <f>IF('Input Data'!E38=TRUE,"",(B11-B$20))</f>
        <v>1.5880846257608354</v>
      </c>
      <c r="E11" s="65">
        <f>IF('Input Data'!E38=TRUE,"",(C11-C$20))</f>
        <v>1.5940870967334826</v>
      </c>
      <c r="F11" s="66">
        <f>IF('Input Data'!E38=TRUE,"",(E11-D11))</f>
        <v>0.006002470972647167</v>
      </c>
      <c r="G11" s="440">
        <f>IF('Input Data'!E38=TRUE,"",(F11-F$20))</f>
        <v>0.006002470972647167</v>
      </c>
      <c r="H11" s="445"/>
      <c r="I11" s="440">
        <v>0.0022794758709085983</v>
      </c>
      <c r="J11" s="520">
        <v>-0.001</v>
      </c>
      <c r="K11" s="440">
        <v>0.0032910211011296653</v>
      </c>
      <c r="L11" s="516">
        <v>0.003</v>
      </c>
      <c r="M11" s="440">
        <v>0.006349394807360298</v>
      </c>
      <c r="N11" s="514">
        <v>0.019</v>
      </c>
      <c r="O11" s="511">
        <v>0.022854023260087786</v>
      </c>
      <c r="P11" s="514">
        <v>0.01</v>
      </c>
      <c r="Q11" s="511">
        <v>0.02426163811400084</v>
      </c>
    </row>
    <row r="12" spans="1:17" ht="12.75">
      <c r="A12" s="42">
        <v>0</v>
      </c>
      <c r="B12" s="67">
        <f>offsets!L44</f>
      </c>
      <c r="C12" s="64">
        <f>IF('Input Data'!E39=TRUE,"",IF('Input Data'!N$23="G",'Input Data'!G13,IF('Input Data'!N$23="H",'Input Data'!H13)))</f>
      </c>
      <c r="D12" s="65">
        <f>IF('Input Data'!E39=TRUE,"",(B12-B$20))</f>
      </c>
      <c r="E12" s="65">
        <f>IF('Input Data'!E39=TRUE,"",(C12-C$20))</f>
      </c>
      <c r="F12" s="66">
        <f>IF('Input Data'!E39=TRUE,"",(E12-D12))</f>
      </c>
      <c r="G12" s="440">
        <f>IF('Input Data'!E39=TRUE,"",(F12-F$20))</f>
      </c>
      <c r="H12" s="444"/>
      <c r="I12" s="444"/>
      <c r="J12" s="471"/>
      <c r="K12" s="445"/>
      <c r="L12" s="445"/>
      <c r="M12" s="506"/>
      <c r="N12" s="507"/>
      <c r="O12" s="506"/>
      <c r="P12" s="507"/>
      <c r="Q12" s="446"/>
    </row>
    <row r="13" spans="1:17" ht="12.75">
      <c r="A13" s="42"/>
      <c r="B13" s="67">
        <f>offsets!L48</f>
      </c>
      <c r="C13" s="64">
        <f>IF('Input Data'!E40=TRUE,"",IF('Input Data'!N$23="G",'Input Data'!G14,IF('Input Data'!N$23="H",'Input Data'!H14)))</f>
      </c>
      <c r="D13" s="65">
        <f>IF('Input Data'!E40=TRUE,"",(B13-B$20))</f>
      </c>
      <c r="E13" s="65">
        <f>IF('Input Data'!E40=TRUE,"",(C13-C$20))</f>
      </c>
      <c r="F13" s="66">
        <f>IF('Input Data'!E40=TRUE,"",(E13-D13))</f>
      </c>
      <c r="G13" s="440">
        <f>IF('Input Data'!E40=TRUE,"",(F13-F$20))</f>
      </c>
      <c r="H13" s="445"/>
      <c r="I13" s="445"/>
      <c r="J13" s="509"/>
      <c r="K13" s="445"/>
      <c r="L13" s="445"/>
      <c r="M13" s="448"/>
      <c r="N13" s="475"/>
      <c r="O13" s="448"/>
      <c r="P13" s="476"/>
      <c r="Q13" s="448"/>
    </row>
    <row r="14" spans="1:17" ht="12.75">
      <c r="A14" s="42">
        <v>0</v>
      </c>
      <c r="B14" s="67">
        <f>offsets!J52</f>
      </c>
      <c r="C14" s="64">
        <f>IF('Input Data'!E41=TRUE,"",IF('Input Data'!N$23="G",'Input Data'!G15,IF('Input Data'!N$23="H",'Input Data'!H15)))</f>
      </c>
      <c r="D14" s="65">
        <f>IF('Input Data'!E41=TRUE,"",(B14-B$20))</f>
      </c>
      <c r="E14" s="65">
        <f>IF('Input Data'!E41=TRUE,"",(C14-C$20))</f>
      </c>
      <c r="F14" s="66">
        <f>IF('Input Data'!E41=TRUE,"",(E14-D14))</f>
      </c>
      <c r="G14" s="440">
        <f>IF('Input Data'!E41=TRUE,"",(F14-F$20))</f>
      </c>
      <c r="H14" s="444"/>
      <c r="I14" s="445"/>
      <c r="J14" s="471"/>
      <c r="K14" s="444"/>
      <c r="L14" s="444"/>
      <c r="M14" s="448"/>
      <c r="N14" s="476"/>
      <c r="O14" s="448"/>
      <c r="P14" s="476"/>
      <c r="Q14" s="448"/>
    </row>
    <row r="15" spans="1:17" ht="12.75">
      <c r="A15" s="42">
        <v>12</v>
      </c>
      <c r="B15" s="67">
        <f>offsets!J56</f>
      </c>
      <c r="C15" s="64">
        <f>IF('Input Data'!E42=TRUE,"",IF('Input Data'!N$23="G",'Input Data'!G16,IF('Input Data'!N$23="H",'Input Data'!H16)))</f>
      </c>
      <c r="D15" s="65">
        <f>IF('Input Data'!E42=TRUE,"",(B15-B$20))</f>
      </c>
      <c r="E15" s="65">
        <f>IF('Input Data'!E42=TRUE,"",(C15-C$20))</f>
      </c>
      <c r="F15" s="66">
        <f>IF('Input Data'!E42=TRUE,"",(E15-D15))</f>
      </c>
      <c r="G15" s="440">
        <f>IF('Input Data'!E42=TRUE,"",(F15-F$20))</f>
      </c>
      <c r="H15" s="444"/>
      <c r="I15" s="445"/>
      <c r="J15" s="471"/>
      <c r="K15" s="444"/>
      <c r="L15" s="444"/>
      <c r="M15" s="448"/>
      <c r="N15" s="476"/>
      <c r="O15" s="448"/>
      <c r="P15" s="476"/>
      <c r="Q15" s="448"/>
    </row>
    <row r="16" spans="1:17" ht="12.75">
      <c r="A16" s="42">
        <v>13</v>
      </c>
      <c r="B16" s="67">
        <f>offsets!J60</f>
      </c>
      <c r="C16" s="64">
        <f>IF('Input Data'!E43=TRUE,"",IF('Input Data'!N$23="G",'Input Data'!G17,IF('Input Data'!N$23="H",'Input Data'!H17)))</f>
      </c>
      <c r="D16" s="65">
        <f>IF('Input Data'!E43=TRUE,"",(B16-B$20))</f>
      </c>
      <c r="E16" s="65">
        <f>IF('Input Data'!E43=TRUE,"",(C16-C$20))</f>
      </c>
      <c r="F16" s="66">
        <f>IF('Input Data'!E43=TRUE,"",(E16-D16))</f>
      </c>
      <c r="G16" s="440">
        <f>IF('Input Data'!E43=TRUE,"",(F16-F$20))</f>
      </c>
      <c r="H16" s="446"/>
      <c r="I16" s="447"/>
      <c r="J16" s="472"/>
      <c r="K16" s="444"/>
      <c r="L16" s="444"/>
      <c r="M16" s="448"/>
      <c r="N16" s="476"/>
      <c r="O16" s="448"/>
      <c r="P16" s="476"/>
      <c r="Q16" s="448"/>
    </row>
    <row r="17" spans="1:17" ht="12.75">
      <c r="A17" s="42">
        <v>14</v>
      </c>
      <c r="B17" s="67">
        <f>offsets!J64</f>
      </c>
      <c r="C17" s="64">
        <f>IF('Input Data'!E44=TRUE,"",IF('Input Data'!N$23="G",'Input Data'!G18,IF('Input Data'!N$23="H",'Input Data'!H18)))</f>
      </c>
      <c r="D17" s="65">
        <f>IF('Input Data'!E44=TRUE,"",(B17-B$20))</f>
      </c>
      <c r="E17" s="65">
        <f>IF('Input Data'!E44=TRUE,"",(C17-C$20))</f>
      </c>
      <c r="F17" s="66">
        <f>IF('Input Data'!E44=TRUE,"",(E17-D17))</f>
      </c>
      <c r="G17" s="440">
        <f>IF('Input Data'!E44=TRUE,"",(F17-F$20))</f>
      </c>
      <c r="H17" s="446"/>
      <c r="I17" s="446"/>
      <c r="J17" s="472"/>
      <c r="K17" s="444"/>
      <c r="L17" s="444"/>
      <c r="M17" s="448"/>
      <c r="N17" s="476"/>
      <c r="O17" s="448"/>
      <c r="P17" s="476"/>
      <c r="Q17" s="448"/>
    </row>
    <row r="18" spans="1:17" ht="12" customHeight="1" thickBot="1">
      <c r="A18" s="42">
        <v>15</v>
      </c>
      <c r="B18" s="67">
        <f>offsets!J68</f>
      </c>
      <c r="C18" s="64">
        <f>IF('Input Data'!E45=TRUE,"",IF('Input Data'!N$23="G",'Input Data'!G19,IF('Input Data'!N$23="H",'Input Data'!H19)))</f>
      </c>
      <c r="D18" s="65">
        <f>IF('Input Data'!E45=TRUE,"",(B18-B$20))</f>
      </c>
      <c r="E18" s="65">
        <f>IF('Input Data'!E45=TRUE,"",(C18-C$20))</f>
      </c>
      <c r="F18" s="66">
        <f>IF('Input Data'!E45=TRUE,"",(E18-D18))</f>
      </c>
      <c r="G18" s="440">
        <f>IF('Input Data'!E45=TRUE,"",(F18-F$20))</f>
      </c>
      <c r="H18" s="446"/>
      <c r="I18" s="446"/>
      <c r="J18" s="472"/>
      <c r="K18" s="444"/>
      <c r="L18" s="444"/>
      <c r="M18" s="448"/>
      <c r="N18" s="476"/>
      <c r="O18" s="448"/>
      <c r="P18" s="476"/>
      <c r="Q18" s="448"/>
    </row>
    <row r="19" spans="1:17" ht="12.75">
      <c r="A19" s="50" t="s">
        <v>20</v>
      </c>
      <c r="B19" s="68">
        <f>MAX(B4:B18)</f>
        <v>32.05996938801777</v>
      </c>
      <c r="C19" s="68">
        <f>MAX(C4:C18)</f>
        <v>31.781466446170295</v>
      </c>
      <c r="D19" s="68">
        <f>MAX(D4:D18)</f>
        <v>24.701046520029415</v>
      </c>
      <c r="E19" s="69">
        <f>MAX(E4:E18)</f>
        <v>24.706501152687252</v>
      </c>
      <c r="F19" s="70">
        <f>MAX(F4:F18)</f>
        <v>0.006002470972647167</v>
      </c>
      <c r="G19" s="4"/>
      <c r="H19" s="448"/>
      <c r="I19" s="448"/>
      <c r="J19" s="473"/>
      <c r="K19" s="372"/>
      <c r="L19" s="372"/>
      <c r="M19" s="448"/>
      <c r="N19" s="476"/>
      <c r="O19" s="448"/>
      <c r="P19" s="476"/>
      <c r="Q19" s="448"/>
    </row>
    <row r="20" spans="1:17" ht="13.5" thickBot="1">
      <c r="A20" s="51" t="s">
        <v>21</v>
      </c>
      <c r="B20" s="71">
        <f>MIN(B4:B18)</f>
        <v>7.358922867988355</v>
      </c>
      <c r="C20" s="71">
        <f>MIN(C4:C18)</f>
        <v>7.074965293483042</v>
      </c>
      <c r="D20" s="71">
        <f>MIN(D4:D18)</f>
        <v>0</v>
      </c>
      <c r="E20" s="72">
        <f>MIN(E4:E18)</f>
        <v>0</v>
      </c>
      <c r="F20" s="438">
        <f>MIN(F4:F18)</f>
        <v>0</v>
      </c>
      <c r="G20" s="4"/>
      <c r="H20" s="448"/>
      <c r="I20" s="448"/>
      <c r="J20" s="473"/>
      <c r="K20" s="372"/>
      <c r="L20" s="372"/>
      <c r="M20" s="448"/>
      <c r="N20" s="476"/>
      <c r="O20" s="448"/>
      <c r="P20" s="476"/>
      <c r="Q20" s="448"/>
    </row>
    <row r="21" spans="1:17" ht="13.5" thickBot="1">
      <c r="A21" s="52" t="s">
        <v>22</v>
      </c>
      <c r="B21" s="53"/>
      <c r="C21" s="54"/>
      <c r="D21" s="2"/>
      <c r="E21" s="2"/>
      <c r="F21" s="439"/>
      <c r="G21" s="441">
        <f aca="true" t="shared" si="0" ref="G21:L21">SUM(G4:G20)</f>
        <v>0.031002788635795753</v>
      </c>
      <c r="H21" s="478">
        <f t="shared" si="0"/>
        <v>0</v>
      </c>
      <c r="I21" s="478">
        <f t="shared" si="0"/>
        <v>0.01943581652207449</v>
      </c>
      <c r="J21" s="479">
        <f t="shared" si="0"/>
        <v>0.005</v>
      </c>
      <c r="K21" s="478">
        <f t="shared" si="0"/>
        <v>0.028794334517510123</v>
      </c>
      <c r="L21" s="478">
        <f t="shared" si="0"/>
        <v>0.018</v>
      </c>
      <c r="M21" s="478">
        <f>SUM(M4:M20)</f>
        <v>0.03440292516894061</v>
      </c>
      <c r="N21" s="478">
        <f>SUM(N4:N20)</f>
        <v>0.11000000000000001</v>
      </c>
      <c r="O21" s="478">
        <f>SUM(O4:O20)</f>
        <v>0.11056705955082968</v>
      </c>
      <c r="P21" s="503">
        <f>SUM(P4:P20)</f>
        <v>0.095</v>
      </c>
      <c r="Q21" s="478">
        <f>SUM(Q4:Q20)</f>
        <v>0.1990718030584837</v>
      </c>
    </row>
    <row r="22" spans="1:17" ht="13.5" thickBot="1">
      <c r="A22" s="55"/>
      <c r="B22" s="74">
        <f>B19-B20</f>
        <v>24.701046520029415</v>
      </c>
      <c r="C22" s="75">
        <f>C19-C20</f>
        <v>24.706501152687252</v>
      </c>
      <c r="D22" s="2"/>
      <c r="E22" s="2"/>
      <c r="F22" s="442" t="s">
        <v>85</v>
      </c>
      <c r="G22" s="443">
        <f aca="true" t="shared" si="1" ref="G22:L22">G21/8</f>
        <v>0.003875348579474469</v>
      </c>
      <c r="H22" s="443">
        <f t="shared" si="1"/>
        <v>0</v>
      </c>
      <c r="I22" s="443">
        <f t="shared" si="1"/>
        <v>0.002429477065259311</v>
      </c>
      <c r="J22" s="474">
        <f t="shared" si="1"/>
        <v>0.000625</v>
      </c>
      <c r="K22" s="443">
        <f t="shared" si="1"/>
        <v>0.0035992918146887654</v>
      </c>
      <c r="L22" s="443">
        <f t="shared" si="1"/>
        <v>0.00225</v>
      </c>
      <c r="M22" s="443">
        <f>M21/8</f>
        <v>0.0043003656461175765</v>
      </c>
      <c r="N22" s="443">
        <f>N21/8</f>
        <v>0.013750000000000002</v>
      </c>
      <c r="O22" s="443">
        <f>O21/8</f>
        <v>0.01382088244385371</v>
      </c>
      <c r="P22" s="443">
        <f>P21/8</f>
        <v>0.011875</v>
      </c>
      <c r="Q22" s="443">
        <f>Q21/8</f>
        <v>0.024883975382310464</v>
      </c>
    </row>
    <row r="23" spans="1:11" ht="12.75">
      <c r="A23" s="55"/>
      <c r="B23" s="56"/>
      <c r="C23" s="57"/>
      <c r="D23" s="2"/>
      <c r="E23" s="2"/>
      <c r="F23" s="2"/>
      <c r="G23" s="413"/>
      <c r="H23" s="413"/>
      <c r="I23" s="413"/>
      <c r="J23" s="413"/>
      <c r="K23" s="413"/>
    </row>
    <row r="24" spans="1:7" ht="12.75">
      <c r="A24" s="55"/>
      <c r="B24" s="56" t="s">
        <v>23</v>
      </c>
      <c r="C24" s="57" t="s">
        <v>24</v>
      </c>
      <c r="D24" s="2"/>
      <c r="E24" s="2"/>
      <c r="F24" s="2"/>
      <c r="G24" s="2"/>
    </row>
    <row r="25" spans="1:7" ht="13.5" thickBot="1">
      <c r="A25" s="58"/>
      <c r="B25" s="59">
        <f>B20</f>
        <v>7.358922867988355</v>
      </c>
      <c r="C25" s="60">
        <f>C20</f>
        <v>7.074965293483042</v>
      </c>
      <c r="D25" s="2"/>
      <c r="E25" s="2"/>
      <c r="F25" s="2"/>
      <c r="G25" s="2"/>
    </row>
    <row r="26" ht="13.5" thickBot="1"/>
    <row r="27" spans="1:13" ht="12.75">
      <c r="A27" s="14"/>
      <c r="B27" s="483"/>
      <c r="C27" s="488" t="s">
        <v>87</v>
      </c>
      <c r="D27" s="449"/>
      <c r="E27" s="449"/>
      <c r="F27" s="449"/>
      <c r="G27" s="449"/>
      <c r="H27" s="364"/>
      <c r="M27" s="464"/>
    </row>
    <row r="28" spans="1:18" ht="13.5" thickBot="1">
      <c r="A28" s="358"/>
      <c r="B28" s="489" t="s">
        <v>92</v>
      </c>
      <c r="C28" s="482"/>
      <c r="D28" s="486"/>
      <c r="E28" s="486"/>
      <c r="F28" s="486"/>
      <c r="G28" s="486"/>
      <c r="H28" s="487"/>
      <c r="M28" s="521"/>
      <c r="N28" s="412"/>
      <c r="O28" s="1"/>
      <c r="P28" s="369"/>
      <c r="Q28" s="1"/>
      <c r="R28" s="369"/>
    </row>
    <row r="29" spans="1:18" ht="12.75">
      <c r="A29" s="3"/>
      <c r="B29" s="484">
        <v>1</v>
      </c>
      <c r="C29" s="411">
        <f>Q4</f>
        <v>0</v>
      </c>
      <c r="D29" s="411">
        <f>O4</f>
        <v>0</v>
      </c>
      <c r="E29" s="411">
        <f>M4</f>
        <v>0.0010101180394883613</v>
      </c>
      <c r="F29" s="411">
        <f>K4</f>
        <v>0</v>
      </c>
      <c r="G29" s="411">
        <f>I4</f>
        <v>0.00023843825528402363</v>
      </c>
      <c r="H29" s="450">
        <f>G4</f>
        <v>0</v>
      </c>
      <c r="M29" s="521"/>
      <c r="N29" s="412"/>
      <c r="O29" s="1"/>
      <c r="P29" s="412"/>
      <c r="Q29" s="1"/>
      <c r="R29" s="369"/>
    </row>
    <row r="30" spans="1:18" ht="12.75">
      <c r="A30" s="3"/>
      <c r="B30" s="484">
        <v>2</v>
      </c>
      <c r="C30" s="411">
        <f aca="true" t="shared" si="2" ref="C30:C43">Q5</f>
        <v>0.005913755375707375</v>
      </c>
      <c r="D30" s="411">
        <f aca="true" t="shared" si="3" ref="D30:D43">O5</f>
        <v>0.004841421356774234</v>
      </c>
      <c r="E30" s="411">
        <f aca="true" t="shared" si="4" ref="E30:E43">M5</f>
        <v>0.003152053359448459</v>
      </c>
      <c r="F30" s="411">
        <f aca="true" t="shared" si="5" ref="F30:F43">K5</f>
        <v>0.004796818887712995</v>
      </c>
      <c r="G30" s="411">
        <f aca="true" t="shared" si="6" ref="G30:G43">I5</f>
        <v>0.003940739484441735</v>
      </c>
      <c r="H30" s="450">
        <f aca="true" t="shared" si="7" ref="H30:H43">G5</f>
        <v>0.004662187797822348</v>
      </c>
      <c r="M30" s="521"/>
      <c r="N30" s="412"/>
      <c r="O30" s="3"/>
      <c r="P30" s="412"/>
      <c r="Q30" s="1"/>
      <c r="R30" s="369"/>
    </row>
    <row r="31" spans="1:18" ht="12.75">
      <c r="A31" s="3"/>
      <c r="B31" s="484">
        <v>3</v>
      </c>
      <c r="C31" s="411">
        <f t="shared" si="2"/>
        <v>0.018841120163907377</v>
      </c>
      <c r="D31" s="411">
        <f t="shared" si="3"/>
        <v>0.008662055999288043</v>
      </c>
      <c r="E31" s="411">
        <f t="shared" si="4"/>
        <v>0.003703975132328452</v>
      </c>
      <c r="F31" s="411">
        <f t="shared" si="5"/>
        <v>0.00621938120282195</v>
      </c>
      <c r="G31" s="411">
        <f t="shared" si="6"/>
        <v>0.0008418645498871058</v>
      </c>
      <c r="H31" s="450">
        <f t="shared" si="7"/>
        <v>0.005130490096895812</v>
      </c>
      <c r="M31" s="521"/>
      <c r="N31" s="412"/>
      <c r="O31" s="1"/>
      <c r="P31" s="412"/>
      <c r="Q31" s="1"/>
      <c r="R31" s="369"/>
    </row>
    <row r="32" spans="1:18" ht="12.75">
      <c r="A32" s="3"/>
      <c r="B32" s="484">
        <v>4</v>
      </c>
      <c r="C32" s="411">
        <f t="shared" si="2"/>
        <v>0.033307708302356076</v>
      </c>
      <c r="D32" s="411">
        <f t="shared" si="3"/>
        <v>0.015963741301803225</v>
      </c>
      <c r="E32" s="411">
        <f t="shared" si="4"/>
        <v>0.006316489605520559</v>
      </c>
      <c r="F32" s="411">
        <f t="shared" si="5"/>
        <v>0.0031905781258600996</v>
      </c>
      <c r="G32" s="411">
        <f t="shared" si="6"/>
        <v>0.003125556166690302</v>
      </c>
      <c r="H32" s="450">
        <f t="shared" si="7"/>
        <v>0.003778167034678148</v>
      </c>
      <c r="M32" s="521"/>
      <c r="N32" s="412"/>
      <c r="O32" s="1"/>
      <c r="P32" s="412"/>
      <c r="Q32" s="1"/>
      <c r="R32" s="369"/>
    </row>
    <row r="33" spans="1:18" ht="12.75">
      <c r="A33" s="14"/>
      <c r="B33" s="484">
        <v>5</v>
      </c>
      <c r="C33" s="411">
        <f t="shared" si="2"/>
        <v>0.040804257789851306</v>
      </c>
      <c r="D33" s="411">
        <f t="shared" si="3"/>
        <v>0.022803288697769375</v>
      </c>
      <c r="E33" s="411">
        <f t="shared" si="4"/>
        <v>0.010633358264051651</v>
      </c>
      <c r="F33" s="411">
        <f t="shared" si="5"/>
        <v>0.0044120659984976385</v>
      </c>
      <c r="G33" s="411">
        <f t="shared" si="6"/>
        <v>0.004150407494897479</v>
      </c>
      <c r="H33" s="450">
        <f t="shared" si="7"/>
        <v>0.0054546326578375215</v>
      </c>
      <c r="M33" s="521"/>
      <c r="N33" s="412"/>
      <c r="O33" s="3"/>
      <c r="P33" s="412"/>
      <c r="Q33" s="1"/>
      <c r="R33" s="369"/>
    </row>
    <row r="34" spans="1:18" ht="12.75">
      <c r="A34" s="14"/>
      <c r="B34" s="484">
        <v>6</v>
      </c>
      <c r="C34" s="411">
        <f t="shared" si="2"/>
        <v>0.042332643122799496</v>
      </c>
      <c r="D34" s="411">
        <f t="shared" si="3"/>
        <v>0.020614689367441486</v>
      </c>
      <c r="E34" s="411">
        <f t="shared" si="4"/>
        <v>0.0032375359607428322</v>
      </c>
      <c r="F34" s="411">
        <f t="shared" si="5"/>
        <v>0.00630511481212892</v>
      </c>
      <c r="G34" s="411">
        <f t="shared" si="6"/>
        <v>0.004859334699965245</v>
      </c>
      <c r="H34" s="450">
        <f t="shared" si="7"/>
        <v>0.005639803393524545</v>
      </c>
      <c r="M34" s="521"/>
      <c r="N34" s="412"/>
      <c r="O34" s="1"/>
      <c r="P34" s="412"/>
      <c r="Q34" s="1"/>
      <c r="R34" s="369"/>
    </row>
    <row r="35" spans="1:18" ht="12.75">
      <c r="A35" s="14"/>
      <c r="B35" s="484">
        <v>7</v>
      </c>
      <c r="C35" s="411">
        <f t="shared" si="2"/>
        <v>0.03361068018986124</v>
      </c>
      <c r="D35" s="411">
        <f t="shared" si="3"/>
        <v>0.014827839567665535</v>
      </c>
      <c r="E35" s="411">
        <f t="shared" si="4"/>
        <v>0</v>
      </c>
      <c r="F35" s="411">
        <f t="shared" si="5"/>
        <v>0.0005793543893588549</v>
      </c>
      <c r="G35" s="411">
        <f t="shared" si="6"/>
        <v>0</v>
      </c>
      <c r="H35" s="450">
        <f t="shared" si="7"/>
        <v>0.00033503668239021067</v>
      </c>
      <c r="M35" s="521"/>
      <c r="N35" s="412"/>
      <c r="O35" s="1"/>
      <c r="P35" s="412"/>
      <c r="Q35" s="1"/>
      <c r="R35" s="369"/>
    </row>
    <row r="36" spans="1:17" ht="12.75">
      <c r="A36" s="14"/>
      <c r="B36" s="484">
        <v>8</v>
      </c>
      <c r="C36" s="411">
        <f t="shared" si="2"/>
        <v>0.02426163811400084</v>
      </c>
      <c r="D36" s="411">
        <f t="shared" si="3"/>
        <v>0.022854023260087786</v>
      </c>
      <c r="E36" s="411">
        <f t="shared" si="4"/>
        <v>0.006349394807360298</v>
      </c>
      <c r="F36" s="411">
        <f t="shared" si="5"/>
        <v>0.0032910211011296653</v>
      </c>
      <c r="G36" s="411">
        <f t="shared" si="6"/>
        <v>0.0022794758709085983</v>
      </c>
      <c r="H36" s="450">
        <f t="shared" si="7"/>
        <v>0.006002470972647167</v>
      </c>
      <c r="M36" s="464"/>
      <c r="N36" s="1"/>
      <c r="O36" s="1"/>
      <c r="P36" s="1"/>
      <c r="Q36" s="1"/>
    </row>
    <row r="37" spans="1:14" ht="12.75">
      <c r="A37" s="14"/>
      <c r="B37" s="484">
        <v>9</v>
      </c>
      <c r="C37" s="411">
        <f t="shared" si="2"/>
        <v>0</v>
      </c>
      <c r="D37" s="411">
        <f t="shared" si="3"/>
        <v>0</v>
      </c>
      <c r="E37" s="411">
        <f t="shared" si="4"/>
        <v>0</v>
      </c>
      <c r="F37" s="411">
        <f t="shared" si="5"/>
        <v>0</v>
      </c>
      <c r="G37" s="411">
        <f t="shared" si="6"/>
        <v>0</v>
      </c>
      <c r="H37" s="450">
        <f t="shared" si="7"/>
      </c>
      <c r="M37" s="464"/>
      <c r="N37" s="369"/>
    </row>
    <row r="38" spans="1:13" ht="12.75">
      <c r="A38" s="14"/>
      <c r="B38" s="484">
        <v>10</v>
      </c>
      <c r="C38" s="411">
        <f t="shared" si="2"/>
        <v>0</v>
      </c>
      <c r="D38" s="411">
        <f t="shared" si="3"/>
        <v>0</v>
      </c>
      <c r="E38" s="411">
        <f t="shared" si="4"/>
        <v>0</v>
      </c>
      <c r="F38" s="411">
        <f t="shared" si="5"/>
        <v>0</v>
      </c>
      <c r="G38" s="411">
        <f t="shared" si="6"/>
        <v>0</v>
      </c>
      <c r="H38" s="450">
        <f t="shared" si="7"/>
      </c>
      <c r="M38" s="464"/>
    </row>
    <row r="39" spans="1:13" ht="12.75">
      <c r="A39" s="14"/>
      <c r="B39" s="484">
        <v>11</v>
      </c>
      <c r="C39" s="411">
        <f t="shared" si="2"/>
        <v>0</v>
      </c>
      <c r="D39" s="411">
        <f t="shared" si="3"/>
        <v>0</v>
      </c>
      <c r="E39" s="411">
        <f t="shared" si="4"/>
        <v>0</v>
      </c>
      <c r="F39" s="411">
        <f t="shared" si="5"/>
        <v>0</v>
      </c>
      <c r="G39" s="411">
        <f t="shared" si="6"/>
        <v>0</v>
      </c>
      <c r="H39" s="450">
        <f t="shared" si="7"/>
      </c>
      <c r="M39" s="464"/>
    </row>
    <row r="40" spans="1:13" ht="12.75">
      <c r="A40" s="14"/>
      <c r="B40" s="484">
        <v>12</v>
      </c>
      <c r="C40" s="411">
        <f t="shared" si="2"/>
        <v>0</v>
      </c>
      <c r="D40" s="411">
        <f t="shared" si="3"/>
        <v>0</v>
      </c>
      <c r="E40" s="411">
        <f t="shared" si="4"/>
        <v>0</v>
      </c>
      <c r="F40" s="411">
        <f t="shared" si="5"/>
        <v>0</v>
      </c>
      <c r="G40" s="411">
        <f t="shared" si="6"/>
        <v>0</v>
      </c>
      <c r="H40" s="450">
        <f t="shared" si="7"/>
      </c>
      <c r="M40" s="464"/>
    </row>
    <row r="41" spans="2:13" ht="12.75">
      <c r="B41" s="484">
        <v>13</v>
      </c>
      <c r="C41" s="411">
        <f t="shared" si="2"/>
        <v>0</v>
      </c>
      <c r="D41" s="411">
        <f t="shared" si="3"/>
        <v>0</v>
      </c>
      <c r="E41" s="411">
        <f t="shared" si="4"/>
        <v>0</v>
      </c>
      <c r="F41" s="411">
        <f t="shared" si="5"/>
        <v>0</v>
      </c>
      <c r="G41" s="411">
        <f t="shared" si="6"/>
        <v>0</v>
      </c>
      <c r="H41" s="450">
        <f t="shared" si="7"/>
      </c>
      <c r="M41" s="464"/>
    </row>
    <row r="42" spans="2:13" ht="12.75">
      <c r="B42" s="484">
        <v>14</v>
      </c>
      <c r="C42" s="411">
        <f t="shared" si="2"/>
        <v>0</v>
      </c>
      <c r="D42" s="411">
        <f t="shared" si="3"/>
        <v>0</v>
      </c>
      <c r="E42" s="411">
        <f t="shared" si="4"/>
        <v>0</v>
      </c>
      <c r="F42" s="411">
        <f t="shared" si="5"/>
        <v>0</v>
      </c>
      <c r="G42" s="411">
        <f t="shared" si="6"/>
        <v>0</v>
      </c>
      <c r="H42" s="450">
        <f t="shared" si="7"/>
      </c>
      <c r="M42" s="4"/>
    </row>
    <row r="43" spans="2:13" ht="12.75">
      <c r="B43" s="484">
        <v>15</v>
      </c>
      <c r="C43" s="411">
        <f t="shared" si="2"/>
        <v>0</v>
      </c>
      <c r="D43" s="411">
        <f t="shared" si="3"/>
        <v>0</v>
      </c>
      <c r="E43" s="411">
        <f t="shared" si="4"/>
        <v>0</v>
      </c>
      <c r="F43" s="411">
        <f t="shared" si="5"/>
        <v>0</v>
      </c>
      <c r="G43" s="411">
        <f t="shared" si="6"/>
        <v>0</v>
      </c>
      <c r="H43" s="450">
        <f t="shared" si="7"/>
      </c>
      <c r="M43" s="4"/>
    </row>
    <row r="44" spans="2:13" ht="13.5" thickBot="1">
      <c r="B44" s="485" t="s">
        <v>88</v>
      </c>
      <c r="C44" s="451">
        <f>Q22</f>
        <v>0.024883975382310464</v>
      </c>
      <c r="D44" s="451">
        <f>O22</f>
        <v>0.01382088244385371</v>
      </c>
      <c r="E44" s="451">
        <f>M22</f>
        <v>0.0043003656461175765</v>
      </c>
      <c r="F44" s="451">
        <f>K22</f>
        <v>0.0035992918146887654</v>
      </c>
      <c r="G44" s="451">
        <f>I22</f>
        <v>0.002429477065259311</v>
      </c>
      <c r="H44" s="452">
        <f>G22</f>
        <v>0.003875348579474469</v>
      </c>
      <c r="M44" s="453"/>
    </row>
    <row r="45" ht="12.75">
      <c r="M45" s="45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M23" sqref="M23"/>
    </sheetView>
  </sheetViews>
  <sheetFormatPr defaultColWidth="9.140625" defaultRowHeight="12.75"/>
  <cols>
    <col min="1" max="1" width="8.8515625" style="0" customWidth="1"/>
    <col min="3" max="3" width="11.57421875" style="0" customWidth="1"/>
    <col min="4" max="4" width="12.00390625" style="0" customWidth="1"/>
    <col min="11" max="11" width="13.00390625" style="0" customWidth="1"/>
    <col min="13" max="13" width="12.7109375" style="0" customWidth="1"/>
  </cols>
  <sheetData>
    <row r="1" spans="1:14" ht="18.75" thickBot="1">
      <c r="A1" s="389" t="s">
        <v>54</v>
      </c>
      <c r="B1" s="390"/>
      <c r="C1" s="390"/>
      <c r="D1" s="391"/>
      <c r="E1" s="361" t="s">
        <v>55</v>
      </c>
      <c r="F1" s="361" t="s">
        <v>55</v>
      </c>
      <c r="G1" s="361" t="s">
        <v>55</v>
      </c>
      <c r="H1" s="397" t="s">
        <v>73</v>
      </c>
      <c r="I1" s="398"/>
      <c r="J1" s="399"/>
      <c r="K1" s="360" t="s">
        <v>75</v>
      </c>
      <c r="L1" s="360" t="s">
        <v>59</v>
      </c>
      <c r="M1" s="361" t="s">
        <v>74</v>
      </c>
      <c r="N1" s="361"/>
    </row>
    <row r="2" spans="1:14" ht="12.75">
      <c r="A2" s="392"/>
      <c r="B2" s="393" t="s">
        <v>16</v>
      </c>
      <c r="C2" s="393" t="s">
        <v>17</v>
      </c>
      <c r="D2" s="394" t="s">
        <v>18</v>
      </c>
      <c r="E2" s="361" t="s">
        <v>56</v>
      </c>
      <c r="F2" s="361" t="s">
        <v>57</v>
      </c>
      <c r="G2" s="361" t="s">
        <v>58</v>
      </c>
      <c r="H2" s="400" t="s">
        <v>16</v>
      </c>
      <c r="I2" s="401" t="s">
        <v>17</v>
      </c>
      <c r="J2" s="402" t="s">
        <v>18</v>
      </c>
      <c r="K2" s="360" t="s">
        <v>76</v>
      </c>
      <c r="L2" s="360" t="s">
        <v>56</v>
      </c>
      <c r="M2" s="361" t="s">
        <v>60</v>
      </c>
      <c r="N2" s="361" t="s">
        <v>61</v>
      </c>
    </row>
    <row r="3" spans="1:14" ht="12.75">
      <c r="A3" s="395">
        <v>1</v>
      </c>
      <c r="B3" s="465" t="e">
        <f>#REF!</f>
        <v>#REF!</v>
      </c>
      <c r="C3" s="465" t="e">
        <f>#REF!</f>
        <v>#REF!</v>
      </c>
      <c r="D3" s="465" t="e">
        <f>#REF!</f>
        <v>#REF!</v>
      </c>
      <c r="E3" s="369" t="e">
        <f>SQRT((B3)^2+(C3)^2+(D3)^2)</f>
        <v>#REF!</v>
      </c>
      <c r="F3" s="369" t="e">
        <f>E3/12</f>
        <v>#REF!</v>
      </c>
      <c r="G3" s="369" t="e">
        <f>F3*0.3048</f>
        <v>#REF!</v>
      </c>
      <c r="H3" s="403"/>
      <c r="I3" s="404"/>
      <c r="J3" s="405"/>
      <c r="K3" s="409">
        <f>IF(AND(ISBLANK(H3),ISBLANK(I3),ISBLANK(J3)),"",SQRT((B3-H3)^2+(C3-I3)^2+(D3-J3)^2))</f>
      </c>
      <c r="L3" s="409">
        <f>IF(AND(ISBLANK(H3),ISBLANK(I3),ISBLANK(J3)),"",0.00002+(G3*0.0000008)+0.000036+(G3*0.000006)*39.3701)</f>
      </c>
      <c r="M3" s="409">
        <f>IF(AND(ISBLANK(H3),ISBLANK(I3),ISBLANK(J3)),"",ABS(K3-L3))</f>
      </c>
      <c r="N3" s="368">
        <f>IF(AND(ISBLANK(H3),ISBLANK(I3),ISBLANK(J3)),"",IF(K3&gt;L3*2,"FAIL","PASS"))</f>
      </c>
    </row>
    <row r="4" spans="1:14" ht="12.75">
      <c r="A4" s="395">
        <v>2</v>
      </c>
      <c r="B4" s="465" t="e">
        <f>#REF!</f>
        <v>#REF!</v>
      </c>
      <c r="C4" s="465" t="e">
        <f>#REF!</f>
        <v>#REF!</v>
      </c>
      <c r="D4" s="465" t="e">
        <f>#REF!</f>
        <v>#REF!</v>
      </c>
      <c r="E4" s="369" t="e">
        <f aca="true" t="shared" si="0" ref="E4:E10">SQRT((B4)^2+(C4)^2+(D4)^2)</f>
        <v>#REF!</v>
      </c>
      <c r="F4" s="369" t="e">
        <f aca="true" t="shared" si="1" ref="F4:F10">E4/12</f>
        <v>#REF!</v>
      </c>
      <c r="G4" s="369" t="e">
        <f aca="true" t="shared" si="2" ref="G4:G10">F4*0.3048</f>
        <v>#REF!</v>
      </c>
      <c r="H4" s="403"/>
      <c r="I4" s="404"/>
      <c r="J4" s="405"/>
      <c r="K4" s="409">
        <f>IF(AND(ISBLANK(H4),ISBLANK(I4),ISBLANK(J4)),"",SQRT((B4-H4)^2+(C4-I4)^2+(D4-J4)^2))</f>
      </c>
      <c r="L4" s="409">
        <f>IF(AND(ISBLANK(H4),ISBLANK(I4),ISBLANK(J4)),"",0.00002+(G4*0.0000008)+0.000036+(G4*0.000006)*39.3701)</f>
      </c>
      <c r="M4" s="409">
        <f>IF(AND(ISBLANK(H4),ISBLANK(I4),ISBLANK(J4)),"",ABS(K4-L4))</f>
      </c>
      <c r="N4" s="368">
        <f>IF(AND(ISBLANK(H4),ISBLANK(I4),ISBLANK(J4)),"",IF(K4&gt;L4*2,"FAIL","PASS"))</f>
      </c>
    </row>
    <row r="5" spans="1:14" ht="12.75">
      <c r="A5" s="395">
        <v>3</v>
      </c>
      <c r="B5" s="465" t="e">
        <f>#REF!</f>
        <v>#REF!</v>
      </c>
      <c r="C5" s="465" t="e">
        <f>#REF!</f>
        <v>#REF!</v>
      </c>
      <c r="D5" s="465" t="e">
        <f>#REF!</f>
        <v>#REF!</v>
      </c>
      <c r="E5" s="369" t="e">
        <f t="shared" si="0"/>
        <v>#REF!</v>
      </c>
      <c r="F5" s="369" t="e">
        <f t="shared" si="1"/>
        <v>#REF!</v>
      </c>
      <c r="G5" s="369" t="e">
        <f t="shared" si="2"/>
        <v>#REF!</v>
      </c>
      <c r="H5" s="403"/>
      <c r="I5" s="404"/>
      <c r="J5" s="405"/>
      <c r="K5" s="409">
        <f aca="true" t="shared" si="3" ref="K5:K10">IF(AND(ISBLANK(H5),ISBLANK(I5),ISBLANK(J5)),"",SQRT((B5-H5)^2+(C5-I5)^2+(D5-J5)^2))</f>
      </c>
      <c r="L5" s="409">
        <f aca="true" t="shared" si="4" ref="L5:L10">IF(AND(ISBLANK(H5),ISBLANK(I5),ISBLANK(J5)),"",0.00002+(G5*0.0000008)+0.000036+(G5*0.000006)*39.3701)</f>
      </c>
      <c r="M5" s="409">
        <f aca="true" t="shared" si="5" ref="M5:M10">IF(AND(ISBLANK(H5),ISBLANK(I5),ISBLANK(J5)),"",ABS(K5-L5))</f>
      </c>
      <c r="N5" s="368">
        <f aca="true" t="shared" si="6" ref="N5:N10">IF(AND(ISBLANK(H5),ISBLANK(I5),ISBLANK(J5)),"",IF(K5&gt;L5*2,"FAIL","PASS"))</f>
      </c>
    </row>
    <row r="6" spans="1:14" ht="12.75">
      <c r="A6" s="395">
        <v>4</v>
      </c>
      <c r="B6" s="465" t="e">
        <f>#REF!</f>
        <v>#REF!</v>
      </c>
      <c r="C6" s="465" t="e">
        <f>#REF!</f>
        <v>#REF!</v>
      </c>
      <c r="D6" s="465" t="e">
        <f>#REF!</f>
        <v>#REF!</v>
      </c>
      <c r="E6" s="369" t="e">
        <f t="shared" si="0"/>
        <v>#REF!</v>
      </c>
      <c r="F6" s="369" t="e">
        <f t="shared" si="1"/>
        <v>#REF!</v>
      </c>
      <c r="G6" s="369" t="e">
        <f t="shared" si="2"/>
        <v>#REF!</v>
      </c>
      <c r="H6" s="403"/>
      <c r="I6" s="404"/>
      <c r="J6" s="405"/>
      <c r="K6" s="409">
        <f t="shared" si="3"/>
      </c>
      <c r="L6" s="409">
        <f t="shared" si="4"/>
      </c>
      <c r="M6" s="409">
        <f t="shared" si="5"/>
      </c>
      <c r="N6" s="368">
        <f t="shared" si="6"/>
      </c>
    </row>
    <row r="7" spans="1:14" ht="12.75">
      <c r="A7" s="395">
        <v>5</v>
      </c>
      <c r="B7" s="465" t="e">
        <f>#REF!</f>
        <v>#REF!</v>
      </c>
      <c r="C7" s="465" t="e">
        <f>#REF!</f>
        <v>#REF!</v>
      </c>
      <c r="D7" s="465" t="e">
        <f>#REF!</f>
        <v>#REF!</v>
      </c>
      <c r="E7" s="369" t="e">
        <f t="shared" si="0"/>
        <v>#REF!</v>
      </c>
      <c r="F7" s="369" t="e">
        <f t="shared" si="1"/>
        <v>#REF!</v>
      </c>
      <c r="G7" s="369" t="e">
        <f t="shared" si="2"/>
        <v>#REF!</v>
      </c>
      <c r="H7" s="403"/>
      <c r="I7" s="404"/>
      <c r="J7" s="405"/>
      <c r="K7" s="409">
        <f t="shared" si="3"/>
      </c>
      <c r="L7" s="409">
        <f t="shared" si="4"/>
      </c>
      <c r="M7" s="409">
        <f t="shared" si="5"/>
      </c>
      <c r="N7" s="368">
        <f t="shared" si="6"/>
      </c>
    </row>
    <row r="8" spans="1:14" ht="12.75">
      <c r="A8" s="395">
        <v>6</v>
      </c>
      <c r="B8" s="465" t="e">
        <f>#REF!</f>
        <v>#REF!</v>
      </c>
      <c r="C8" s="465" t="e">
        <f>#REF!</f>
        <v>#REF!</v>
      </c>
      <c r="D8" s="465" t="e">
        <f>#REF!</f>
        <v>#REF!</v>
      </c>
      <c r="E8" s="369" t="e">
        <f t="shared" si="0"/>
        <v>#REF!</v>
      </c>
      <c r="F8" s="369" t="e">
        <f t="shared" si="1"/>
        <v>#REF!</v>
      </c>
      <c r="G8" s="369" t="e">
        <f t="shared" si="2"/>
        <v>#REF!</v>
      </c>
      <c r="H8" s="403"/>
      <c r="I8" s="404"/>
      <c r="J8" s="405"/>
      <c r="K8" s="409">
        <f t="shared" si="3"/>
      </c>
      <c r="L8" s="409">
        <f t="shared" si="4"/>
      </c>
      <c r="M8" s="409">
        <f t="shared" si="5"/>
      </c>
      <c r="N8" s="368">
        <f t="shared" si="6"/>
      </c>
    </row>
    <row r="9" spans="1:14" ht="12.75">
      <c r="A9" s="395">
        <v>7</v>
      </c>
      <c r="B9" s="465" t="e">
        <f>#REF!</f>
        <v>#REF!</v>
      </c>
      <c r="C9" s="465" t="e">
        <f>#REF!</f>
        <v>#REF!</v>
      </c>
      <c r="D9" s="465" t="e">
        <f>#REF!</f>
        <v>#REF!</v>
      </c>
      <c r="E9" s="369" t="e">
        <f t="shared" si="0"/>
        <v>#REF!</v>
      </c>
      <c r="F9" s="369" t="e">
        <f t="shared" si="1"/>
        <v>#REF!</v>
      </c>
      <c r="G9" s="369" t="e">
        <f t="shared" si="2"/>
        <v>#REF!</v>
      </c>
      <c r="H9" s="403"/>
      <c r="I9" s="404"/>
      <c r="J9" s="405"/>
      <c r="K9" s="409">
        <f t="shared" si="3"/>
      </c>
      <c r="L9" s="409">
        <f t="shared" si="4"/>
      </c>
      <c r="M9" s="409">
        <f t="shared" si="5"/>
      </c>
      <c r="N9" s="368">
        <f t="shared" si="6"/>
      </c>
    </row>
    <row r="10" spans="1:14" ht="13.5" thickBot="1">
      <c r="A10" s="396">
        <v>8</v>
      </c>
      <c r="B10" s="465" t="e">
        <f>#REF!</f>
        <v>#REF!</v>
      </c>
      <c r="C10" s="465" t="e">
        <f>#REF!</f>
        <v>#REF!</v>
      </c>
      <c r="D10" s="465" t="e">
        <f>#REF!</f>
        <v>#REF!</v>
      </c>
      <c r="E10" s="369" t="e">
        <f t="shared" si="0"/>
        <v>#REF!</v>
      </c>
      <c r="F10" s="369" t="e">
        <f t="shared" si="1"/>
        <v>#REF!</v>
      </c>
      <c r="G10" s="369" t="e">
        <f t="shared" si="2"/>
        <v>#REF!</v>
      </c>
      <c r="H10" s="406"/>
      <c r="I10" s="407"/>
      <c r="J10" s="408"/>
      <c r="K10" s="409">
        <f t="shared" si="3"/>
      </c>
      <c r="L10" s="409">
        <f t="shared" si="4"/>
      </c>
      <c r="M10" s="409">
        <f t="shared" si="5"/>
      </c>
      <c r="N10" s="368">
        <f t="shared" si="6"/>
      </c>
    </row>
    <row r="11" ht="13.5" thickBot="1"/>
    <row r="12" spans="7:10" ht="12.75">
      <c r="G12" s="434"/>
      <c r="H12" s="423" t="s">
        <v>81</v>
      </c>
      <c r="I12" s="424" t="s">
        <v>82</v>
      </c>
      <c r="J12" s="425" t="s">
        <v>83</v>
      </c>
    </row>
    <row r="13" spans="7:11" ht="12.75">
      <c r="G13" s="426">
        <v>1</v>
      </c>
      <c r="H13" s="427" t="e">
        <f>B3-H3</f>
        <v>#REF!</v>
      </c>
      <c r="I13" s="428" t="e">
        <f>C3-I3</f>
        <v>#REF!</v>
      </c>
      <c r="J13" s="429" t="e">
        <f>D3-J3</f>
        <v>#REF!</v>
      </c>
      <c r="K13" s="368"/>
    </row>
    <row r="14" spans="7:11" ht="12.75">
      <c r="G14" s="426">
        <v>2</v>
      </c>
      <c r="H14" s="427" t="e">
        <f aca="true" t="shared" si="7" ref="H14:H20">B4-H4</f>
        <v>#REF!</v>
      </c>
      <c r="I14" s="428" t="e">
        <f aca="true" t="shared" si="8" ref="I14:I20">C4-I4</f>
        <v>#REF!</v>
      </c>
      <c r="J14" s="429" t="e">
        <f aca="true" t="shared" si="9" ref="J14:J20">D4-J4</f>
        <v>#REF!</v>
      </c>
      <c r="K14" s="368"/>
    </row>
    <row r="15" spans="7:11" ht="12.75">
      <c r="G15" s="426">
        <v>3</v>
      </c>
      <c r="H15" s="427" t="e">
        <f t="shared" si="7"/>
        <v>#REF!</v>
      </c>
      <c r="I15" s="428" t="e">
        <f t="shared" si="8"/>
        <v>#REF!</v>
      </c>
      <c r="J15" s="429" t="e">
        <f t="shared" si="9"/>
        <v>#REF!</v>
      </c>
      <c r="K15" s="368"/>
    </row>
    <row r="16" spans="7:11" ht="12.75">
      <c r="G16" s="426">
        <v>4</v>
      </c>
      <c r="H16" s="427" t="e">
        <f t="shared" si="7"/>
        <v>#REF!</v>
      </c>
      <c r="I16" s="428" t="e">
        <f t="shared" si="8"/>
        <v>#REF!</v>
      </c>
      <c r="J16" s="429" t="e">
        <f t="shared" si="9"/>
        <v>#REF!</v>
      </c>
      <c r="K16" s="368"/>
    </row>
    <row r="17" spans="7:11" ht="12.75">
      <c r="G17" s="426">
        <v>5</v>
      </c>
      <c r="H17" s="427" t="e">
        <f t="shared" si="7"/>
        <v>#REF!</v>
      </c>
      <c r="I17" s="428" t="e">
        <f t="shared" si="8"/>
        <v>#REF!</v>
      </c>
      <c r="J17" s="429" t="e">
        <f t="shared" si="9"/>
        <v>#REF!</v>
      </c>
      <c r="K17" s="368"/>
    </row>
    <row r="18" spans="7:11" ht="12.75">
      <c r="G18" s="426">
        <v>6</v>
      </c>
      <c r="H18" s="427" t="e">
        <f t="shared" si="7"/>
        <v>#REF!</v>
      </c>
      <c r="I18" s="428" t="e">
        <f t="shared" si="8"/>
        <v>#REF!</v>
      </c>
      <c r="J18" s="429" t="e">
        <f t="shared" si="9"/>
        <v>#REF!</v>
      </c>
      <c r="K18" s="368"/>
    </row>
    <row r="19" spans="7:11" ht="12.75">
      <c r="G19" s="426">
        <v>7</v>
      </c>
      <c r="H19" s="427" t="e">
        <f t="shared" si="7"/>
        <v>#REF!</v>
      </c>
      <c r="I19" s="428" t="e">
        <f t="shared" si="8"/>
        <v>#REF!</v>
      </c>
      <c r="J19" s="429" t="e">
        <f t="shared" si="9"/>
        <v>#REF!</v>
      </c>
      <c r="K19" s="368"/>
    </row>
    <row r="20" spans="7:11" ht="13.5" thickBot="1">
      <c r="G20" s="430">
        <v>8</v>
      </c>
      <c r="H20" s="431" t="e">
        <f t="shared" si="7"/>
        <v>#REF!</v>
      </c>
      <c r="I20" s="432" t="e">
        <f t="shared" si="8"/>
        <v>#REF!</v>
      </c>
      <c r="J20" s="433" t="e">
        <f t="shared" si="9"/>
        <v>#REF!</v>
      </c>
      <c r="K20" s="368"/>
    </row>
    <row r="24" ht="13.5" thickBot="1"/>
    <row r="25" spans="1:11" ht="18.75" thickBot="1">
      <c r="A25" s="367" t="s">
        <v>62</v>
      </c>
      <c r="B25" s="363"/>
      <c r="C25" s="363"/>
      <c r="D25" s="363"/>
      <c r="E25" s="362"/>
      <c r="F25" s="363" t="s">
        <v>63</v>
      </c>
      <c r="G25" s="363"/>
      <c r="H25" s="364"/>
      <c r="I25" s="363" t="s">
        <v>64</v>
      </c>
      <c r="J25" s="363"/>
      <c r="K25" s="364"/>
    </row>
    <row r="26" spans="1:11" ht="12.75">
      <c r="A26" s="371" t="s">
        <v>65</v>
      </c>
      <c r="B26" s="371" t="s">
        <v>65</v>
      </c>
      <c r="C26" s="371" t="s">
        <v>66</v>
      </c>
      <c r="D26" s="371" t="s">
        <v>67</v>
      </c>
      <c r="E26" s="365"/>
      <c r="F26" s="1" t="s">
        <v>59</v>
      </c>
      <c r="G26" s="1"/>
      <c r="H26" s="366"/>
      <c r="I26" s="1" t="s">
        <v>68</v>
      </c>
      <c r="J26" s="2"/>
      <c r="K26" s="370" t="s">
        <v>65</v>
      </c>
    </row>
    <row r="27" spans="1:11" ht="13.5" thickBot="1">
      <c r="A27" s="372" t="s">
        <v>57</v>
      </c>
      <c r="B27" s="372" t="s">
        <v>69</v>
      </c>
      <c r="C27" s="372" t="s">
        <v>69</v>
      </c>
      <c r="D27" s="372" t="s">
        <v>69</v>
      </c>
      <c r="E27" s="365"/>
      <c r="F27" s="2" t="s">
        <v>69</v>
      </c>
      <c r="G27" s="1"/>
      <c r="H27" s="370" t="s">
        <v>70</v>
      </c>
      <c r="I27" s="1"/>
      <c r="J27" s="2" t="s">
        <v>70</v>
      </c>
      <c r="K27" s="370" t="s">
        <v>71</v>
      </c>
    </row>
    <row r="28" spans="1:11" ht="12.75">
      <c r="A28" s="373">
        <v>0</v>
      </c>
      <c r="B28" s="373">
        <f>A28*0.3048</f>
        <v>0</v>
      </c>
      <c r="C28" s="374">
        <f>0.00002+(B28*0.0000008)</f>
        <v>2E-05</v>
      </c>
      <c r="D28" s="374">
        <f>0.000036+(B28*0.000006)</f>
        <v>3.6E-05</v>
      </c>
      <c r="E28" s="377" t="s">
        <v>72</v>
      </c>
      <c r="F28" s="378">
        <f aca="true" t="shared" si="10" ref="F28:F36">C28+D28</f>
        <v>5.6000000000000006E-05</v>
      </c>
      <c r="G28" s="379" t="s">
        <v>72</v>
      </c>
      <c r="H28" s="380">
        <f aca="true" t="shared" si="11" ref="H28:H36">F28*39.3701</f>
        <v>0.0022047256000000005</v>
      </c>
      <c r="I28" s="379" t="s">
        <v>72</v>
      </c>
      <c r="J28" s="378">
        <f aca="true" t="shared" si="12" ref="J28:J36">H28/2</f>
        <v>0.0011023628000000002</v>
      </c>
      <c r="K28" s="380">
        <v>0</v>
      </c>
    </row>
    <row r="29" spans="1:11" ht="12.75">
      <c r="A29" s="373">
        <v>5</v>
      </c>
      <c r="B29" s="373">
        <f aca="true" t="shared" si="13" ref="B29:B36">A29*0.3048</f>
        <v>1.524</v>
      </c>
      <c r="C29" s="374">
        <f aca="true" t="shared" si="14" ref="C29:C36">0.00002+(B29*0.0000008)</f>
        <v>2.1219200000000002E-05</v>
      </c>
      <c r="D29" s="374">
        <f aca="true" t="shared" si="15" ref="D29:D36">0.000036+(B29*0.000006)</f>
        <v>4.5144E-05</v>
      </c>
      <c r="E29" s="381" t="s">
        <v>72</v>
      </c>
      <c r="F29" s="382">
        <f t="shared" si="10"/>
        <v>6.63632E-05</v>
      </c>
      <c r="G29" s="383" t="s">
        <v>72</v>
      </c>
      <c r="H29" s="384">
        <f t="shared" si="11"/>
        <v>0.00261272582032</v>
      </c>
      <c r="I29" s="383" t="s">
        <v>72</v>
      </c>
      <c r="J29" s="382">
        <f t="shared" si="12"/>
        <v>0.00130636291016</v>
      </c>
      <c r="K29" s="384">
        <v>5</v>
      </c>
    </row>
    <row r="30" spans="1:11" ht="12.75">
      <c r="A30" s="373">
        <v>10</v>
      </c>
      <c r="B30" s="373">
        <f t="shared" si="13"/>
        <v>3.048</v>
      </c>
      <c r="C30" s="374">
        <f t="shared" si="14"/>
        <v>2.2438400000000002E-05</v>
      </c>
      <c r="D30" s="374">
        <f t="shared" si="15"/>
        <v>5.4288000000000006E-05</v>
      </c>
      <c r="E30" s="381" t="s">
        <v>72</v>
      </c>
      <c r="F30" s="382">
        <f t="shared" si="10"/>
        <v>7.672640000000001E-05</v>
      </c>
      <c r="G30" s="383" t="s">
        <v>72</v>
      </c>
      <c r="H30" s="384">
        <f t="shared" si="11"/>
        <v>0.0030207260406400005</v>
      </c>
      <c r="I30" s="383" t="s">
        <v>72</v>
      </c>
      <c r="J30" s="382">
        <f t="shared" si="12"/>
        <v>0.0015103630203200003</v>
      </c>
      <c r="K30" s="384">
        <v>10</v>
      </c>
    </row>
    <row r="31" spans="1:11" ht="12.75">
      <c r="A31" s="373">
        <v>15</v>
      </c>
      <c r="B31" s="373">
        <f t="shared" si="13"/>
        <v>4.572</v>
      </c>
      <c r="C31" s="374">
        <f t="shared" si="14"/>
        <v>2.3657600000000002E-05</v>
      </c>
      <c r="D31" s="374">
        <f t="shared" si="15"/>
        <v>6.3432E-05</v>
      </c>
      <c r="E31" s="381" t="s">
        <v>72</v>
      </c>
      <c r="F31" s="382">
        <f t="shared" si="10"/>
        <v>8.708960000000001E-05</v>
      </c>
      <c r="G31" s="383" t="s">
        <v>72</v>
      </c>
      <c r="H31" s="384">
        <f t="shared" si="11"/>
        <v>0.0034287262609600006</v>
      </c>
      <c r="I31" s="383" t="s">
        <v>72</v>
      </c>
      <c r="J31" s="382">
        <f t="shared" si="12"/>
        <v>0.0017143631304800003</v>
      </c>
      <c r="K31" s="384">
        <v>15</v>
      </c>
    </row>
    <row r="32" spans="1:11" ht="12.75">
      <c r="A32" s="373">
        <v>20</v>
      </c>
      <c r="B32" s="373">
        <f t="shared" si="13"/>
        <v>6.096</v>
      </c>
      <c r="C32" s="374">
        <f t="shared" si="14"/>
        <v>2.4876800000000002E-05</v>
      </c>
      <c r="D32" s="374">
        <f t="shared" si="15"/>
        <v>7.2576E-05</v>
      </c>
      <c r="E32" s="381" t="s">
        <v>72</v>
      </c>
      <c r="F32" s="382">
        <f t="shared" si="10"/>
        <v>9.74528E-05</v>
      </c>
      <c r="G32" s="383" t="s">
        <v>72</v>
      </c>
      <c r="H32" s="384">
        <f t="shared" si="11"/>
        <v>0.00383672648128</v>
      </c>
      <c r="I32" s="383" t="s">
        <v>72</v>
      </c>
      <c r="J32" s="382">
        <f t="shared" si="12"/>
        <v>0.00191836324064</v>
      </c>
      <c r="K32" s="384">
        <v>20</v>
      </c>
    </row>
    <row r="33" spans="1:11" ht="12.75">
      <c r="A33" s="373">
        <v>25</v>
      </c>
      <c r="B33" s="373">
        <f t="shared" si="13"/>
        <v>7.62</v>
      </c>
      <c r="C33" s="374">
        <f t="shared" si="14"/>
        <v>2.6096000000000002E-05</v>
      </c>
      <c r="D33" s="374">
        <f t="shared" si="15"/>
        <v>8.172E-05</v>
      </c>
      <c r="E33" s="381" t="s">
        <v>72</v>
      </c>
      <c r="F33" s="382">
        <f t="shared" si="10"/>
        <v>0.000107816</v>
      </c>
      <c r="G33" s="383" t="s">
        <v>72</v>
      </c>
      <c r="H33" s="384">
        <f t="shared" si="11"/>
        <v>0.0042447267016</v>
      </c>
      <c r="I33" s="383" t="s">
        <v>72</v>
      </c>
      <c r="J33" s="382">
        <f t="shared" si="12"/>
        <v>0.0021223633508</v>
      </c>
      <c r="K33" s="384">
        <v>25</v>
      </c>
    </row>
    <row r="34" spans="1:11" ht="12.75">
      <c r="A34" s="373">
        <v>30</v>
      </c>
      <c r="B34" s="373">
        <f t="shared" si="13"/>
        <v>9.144</v>
      </c>
      <c r="C34" s="374">
        <f t="shared" si="14"/>
        <v>2.7315200000000002E-05</v>
      </c>
      <c r="D34" s="374">
        <f t="shared" si="15"/>
        <v>9.0864E-05</v>
      </c>
      <c r="E34" s="381" t="s">
        <v>72</v>
      </c>
      <c r="F34" s="382">
        <f t="shared" si="10"/>
        <v>0.00011817920000000001</v>
      </c>
      <c r="G34" s="383" t="s">
        <v>72</v>
      </c>
      <c r="H34" s="384">
        <f t="shared" si="11"/>
        <v>0.004652726921920001</v>
      </c>
      <c r="I34" s="383" t="s">
        <v>72</v>
      </c>
      <c r="J34" s="382">
        <f t="shared" si="12"/>
        <v>0.0023263634609600003</v>
      </c>
      <c r="K34" s="384">
        <v>30</v>
      </c>
    </row>
    <row r="35" spans="1:11" ht="12.75">
      <c r="A35" s="373">
        <v>35</v>
      </c>
      <c r="B35" s="373">
        <f t="shared" si="13"/>
        <v>10.668000000000001</v>
      </c>
      <c r="C35" s="374">
        <f t="shared" si="14"/>
        <v>2.8534400000000002E-05</v>
      </c>
      <c r="D35" s="374">
        <f t="shared" si="15"/>
        <v>0.00010000800000000001</v>
      </c>
      <c r="E35" s="381" t="s">
        <v>72</v>
      </c>
      <c r="F35" s="382">
        <f t="shared" si="10"/>
        <v>0.00012854240000000002</v>
      </c>
      <c r="G35" s="383" t="s">
        <v>72</v>
      </c>
      <c r="H35" s="384">
        <f t="shared" si="11"/>
        <v>0.005060727142240001</v>
      </c>
      <c r="I35" s="383" t="s">
        <v>72</v>
      </c>
      <c r="J35" s="382">
        <f t="shared" si="12"/>
        <v>0.0025303635711200006</v>
      </c>
      <c r="K35" s="384">
        <v>35</v>
      </c>
    </row>
    <row r="36" spans="1:11" ht="13.5" thickBot="1">
      <c r="A36" s="375">
        <v>40</v>
      </c>
      <c r="B36" s="375">
        <f t="shared" si="13"/>
        <v>12.192</v>
      </c>
      <c r="C36" s="376">
        <f t="shared" si="14"/>
        <v>2.97536E-05</v>
      </c>
      <c r="D36" s="376">
        <f t="shared" si="15"/>
        <v>0.000109152</v>
      </c>
      <c r="E36" s="385" t="s">
        <v>72</v>
      </c>
      <c r="F36" s="386">
        <f t="shared" si="10"/>
        <v>0.0001389056</v>
      </c>
      <c r="G36" s="387" t="s">
        <v>72</v>
      </c>
      <c r="H36" s="388">
        <f t="shared" si="11"/>
        <v>0.00546872736256</v>
      </c>
      <c r="I36" s="387" t="s">
        <v>72</v>
      </c>
      <c r="J36" s="386">
        <f t="shared" si="12"/>
        <v>0.00273436368128</v>
      </c>
      <c r="K36" s="388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rellis</dc:creator>
  <cp:keywords/>
  <dc:description/>
  <cp:lastModifiedBy>NCSX-team</cp:lastModifiedBy>
  <cp:lastPrinted>2007-07-27T13:55:28Z</cp:lastPrinted>
  <dcterms:created xsi:type="dcterms:W3CDTF">2007-07-06T13:15:08Z</dcterms:created>
  <dcterms:modified xsi:type="dcterms:W3CDTF">2008-05-15T12:51:46Z</dcterms:modified>
  <cp:category/>
  <cp:version/>
  <cp:contentType/>
  <cp:contentStatus/>
</cp:coreProperties>
</file>