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<sst xmlns="http://schemas.openxmlformats.org/spreadsheetml/2006/main" count="381" uniqueCount="98">
  <si>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</si>
  <si>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</si>
  <si>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</si>
  <si>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</si>
  <si>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</si>
  <si>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</si>
  <si>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</si>
  <si>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</si>
  <si>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</si>
  <si>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</si>
  <si>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</si>
  <si>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</si>
  <si>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</si>
  <si>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</si>
  <si>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</si>
  <si>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</si>
  <si>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</si>
  <si>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</si>
  <si>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</si>
  <si>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</si>
  <si>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</si>
  <si>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</si>
  <si>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</si>
  <si>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</si>
  <si>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</si>
  <si>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</si>
  <si>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</si>
  <si>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</si>
  <si>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</si>
  <si>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</si>
  <si>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</si>
  <si>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</si>
  <si>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</si>
  <si>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</si>
  <si>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</si>
  <si>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</si>
  <si>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</si>
  <si>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</si>
  <si>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</si>
  <si>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</si>
  <si>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</si>
  <si>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</si>
  <si>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</si>
  <si>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</si>
  <si>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</si>
  <si>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</si>
  <si>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</si>
  <si>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</si>
  <si>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</si>
  <si>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</si>
  <si>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</si>
  <si>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</si>
  <si>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</si>
  <si>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</si>
  <si>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</si>
  <si>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</si>
  <si>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</si>
  <si>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</si>
  <si>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</si>
  <si>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</si>
  <si>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</si>
  <si>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</si>
  <si>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</si>
  <si>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</si>
  <si>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</si>
  <si>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</si>
  <si>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</si>
  <si>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</si>
  <si>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</si>
  <si>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</si>
  <si>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</si>
  <si>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</si>
  <si>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</si>
  <si>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</si>
  <si>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</si>
  <si>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</si>
  <si>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</si>
  <si>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</si>
  <si>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</si>
  <si>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</si>
  <si>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</si>
  <si>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</si>
  <si>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</si>
  <si>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</si>
  <si>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</si>
  <si>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</si>
  <si>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</si>
  <si>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</si>
  <si>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</si>
  <si>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</si>
  <si>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</si>
  <si>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</si>
  <si>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</si>
  <si>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</si>
  <si>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 xml:space="preserve">initial </t>
  </si>
  <si>
    <t>Post adj 1</t>
  </si>
  <si>
    <t>.</t>
  </si>
  <si>
    <t>Post adj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</si>
</sst>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3" borderId="13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164" fontId="0" fillId="5" borderId="27" xfId="0" applyNumberFormat="1" applyFill="1" applyBorder="1" applyAlignment="1" quotePrefix="1">
      <alignment horizontal="center"/>
    </xf>
    <xf numFmtId="164" fontId="0" fillId="5" borderId="33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2" borderId="24" xfId="0" applyNumberFormat="1" applyFill="1" applyBorder="1" applyAlignment="1" quotePrefix="1">
      <alignment horizontal="center"/>
    </xf>
    <xf numFmtId="164" fontId="0" fillId="2" borderId="3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29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7" xfId="0" applyNumberFormat="1" applyBorder="1" applyAlignment="1" quotePrefix="1">
      <alignment horizontal="center"/>
    </xf>
    <xf numFmtId="164" fontId="0" fillId="0" borderId="28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38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38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2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38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38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38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2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38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2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38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38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2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38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2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38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2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38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2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38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2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38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38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38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2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38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2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2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3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2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38" xfId="0" applyNumberFormat="1" applyFill="1" applyBorder="1" applyAlignment="1">
      <alignment/>
    </xf>
    <xf numFmtId="166" fontId="0" fillId="13" borderId="13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4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4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38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3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4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1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38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166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166" fontId="0" fillId="5" borderId="79" xfId="0" applyNumberFormat="1" applyFill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0" fontId="0" fillId="0" borderId="36" xfId="0" applyBorder="1" applyAlignment="1">
      <alignment/>
    </xf>
    <xf numFmtId="166" fontId="0" fillId="0" borderId="64" xfId="0" applyNumberFormat="1" applyBorder="1" applyAlignment="1">
      <alignment/>
    </xf>
    <xf numFmtId="0" fontId="0" fillId="0" borderId="67" xfId="0" applyBorder="1" applyAlignment="1">
      <alignment/>
    </xf>
    <xf numFmtId="166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31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2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 vertical="justify"/>
    </xf>
    <xf numFmtId="166" fontId="0" fillId="0" borderId="0" xfId="0" applyNumberFormat="1" applyAlignment="1">
      <alignment horizontal="center" vertical="justify"/>
    </xf>
    <xf numFmtId="166" fontId="6" fillId="5" borderId="10" xfId="0" applyNumberFormat="1" applyFont="1" applyFill="1" applyBorder="1" applyAlignment="1">
      <alignment horizontal="center"/>
    </xf>
    <xf numFmtId="166" fontId="6" fillId="5" borderId="6" xfId="0" applyNumberFormat="1" applyFont="1" applyFill="1" applyBorder="1" applyAlignment="1">
      <alignment horizontal="center"/>
    </xf>
    <xf numFmtId="166" fontId="6" fillId="5" borderId="38" xfId="0" applyNumberFormat="1" applyFont="1" applyFill="1" applyBorder="1" applyAlignment="1">
      <alignment horizontal="center"/>
    </xf>
    <xf numFmtId="166" fontId="6" fillId="5" borderId="13" xfId="0" applyNumberFormat="1" applyFont="1" applyFill="1" applyBorder="1" applyAlignment="1">
      <alignment horizontal="center"/>
    </xf>
    <xf numFmtId="166" fontId="6" fillId="5" borderId="7" xfId="0" applyNumberFormat="1" applyFont="1" applyFill="1" applyBorder="1" applyAlignment="1">
      <alignment horizontal="center"/>
    </xf>
    <xf numFmtId="166" fontId="6" fillId="5" borderId="14" xfId="0" applyNumberFormat="1" applyFont="1" applyFill="1" applyBorder="1" applyAlignment="1">
      <alignment horizontal="center"/>
    </xf>
    <xf numFmtId="0" fontId="0" fillId="13" borderId="67" xfId="0" applyFill="1" applyBorder="1" applyAlignment="1">
      <alignment/>
    </xf>
    <xf numFmtId="166" fontId="0" fillId="21" borderId="64" xfId="0" applyNumberFormat="1" applyFill="1" applyBorder="1" applyAlignment="1">
      <alignment/>
    </xf>
    <xf numFmtId="166" fontId="0" fillId="13" borderId="67" xfId="0" applyNumberFormat="1" applyFill="1" applyBorder="1" applyAlignment="1">
      <alignment/>
    </xf>
    <xf numFmtId="166" fontId="0" fillId="21" borderId="67" xfId="0" applyNumberFormat="1" applyFill="1" applyBorder="1" applyAlignment="1">
      <alignment/>
    </xf>
    <xf numFmtId="0" fontId="0" fillId="0" borderId="75" xfId="0" applyBorder="1" applyAlignment="1">
      <alignment horizontal="center"/>
    </xf>
    <xf numFmtId="0" fontId="0" fillId="0" borderId="7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38437015"/>
        <c:axId val="65451136"/>
      </c:lineChart>
      <c:catAx>
        <c:axId val="3843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1136"/>
        <c:crosses val="autoZero"/>
        <c:auto val="1"/>
        <c:lblOffset val="100"/>
        <c:noMultiLvlLbl val="0"/>
      </c:catAx>
      <c:valAx>
        <c:axId val="65451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37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819525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9">
      <selection activeCell="C49" sqref="C49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77" t="s">
        <v>43</v>
      </c>
      <c r="B1" s="76"/>
      <c r="C1" s="76"/>
      <c r="D1" s="76"/>
      <c r="E1" s="76"/>
      <c r="F1" s="76"/>
      <c r="I1" s="1"/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32"/>
      <c r="M2" s="432"/>
      <c r="N2" s="432"/>
      <c r="O2" s="3"/>
    </row>
    <row r="3" spans="1:15" ht="12.75">
      <c r="A3" s="80"/>
      <c r="B3" s="87" t="s">
        <v>1</v>
      </c>
      <c r="C3" s="88" t="s">
        <v>2</v>
      </c>
      <c r="D3" s="89" t="s">
        <v>3</v>
      </c>
      <c r="E3" s="87" t="s">
        <v>12</v>
      </c>
      <c r="F3" s="88" t="s">
        <v>13</v>
      </c>
      <c r="G3" s="88" t="s">
        <v>34</v>
      </c>
      <c r="H3" s="90" t="s">
        <v>33</v>
      </c>
      <c r="I3" s="16"/>
      <c r="J3" s="3"/>
      <c r="K3" s="432">
        <v>-4.56837</v>
      </c>
      <c r="L3" s="432">
        <v>66.76715</v>
      </c>
      <c r="M3" s="432">
        <v>-10.12305</v>
      </c>
      <c r="N3" s="432"/>
      <c r="O3" s="3"/>
    </row>
    <row r="4" spans="1:15" ht="13.5" thickBot="1">
      <c r="A4" s="97" t="s">
        <v>0</v>
      </c>
      <c r="B4" s="91"/>
      <c r="C4" s="92"/>
      <c r="D4" s="93"/>
      <c r="E4" s="91"/>
      <c r="F4" s="92"/>
      <c r="G4" s="94">
        <f>IF(D5&gt;-1,D5,"")</f>
      </c>
      <c r="H4" s="95"/>
      <c r="I4" s="476"/>
      <c r="J4" s="3"/>
      <c r="K4" s="475">
        <v>62.12883</v>
      </c>
      <c r="L4" s="475">
        <v>125.96281</v>
      </c>
      <c r="M4" s="475">
        <v>-9.92015</v>
      </c>
      <c r="N4" s="475"/>
      <c r="O4" s="3"/>
    </row>
    <row r="5" spans="1:15" ht="12.75">
      <c r="A5" s="96">
        <v>1</v>
      </c>
      <c r="B5" s="388">
        <v>78.41160544521888</v>
      </c>
      <c r="C5" s="388">
        <v>-41.64523657646248</v>
      </c>
      <c r="D5" s="388">
        <v>-1.5976006122047879</v>
      </c>
      <c r="E5" s="85">
        <f aca="true" t="shared" si="0" ref="E5:E17">57.3*ATAN2(B5-60,C5)</f>
        <v>-66.15436748771889</v>
      </c>
      <c r="F5" s="86">
        <f aca="true" t="shared" si="1" ref="F5:F17">57.3*ATAN2(B5,D5)</f>
        <v>-1.1672997971398082</v>
      </c>
      <c r="G5" s="83">
        <f>SUMPRODUCT(G$24:I$24,B5:D5)</f>
        <v>1.5976006122047879</v>
      </c>
      <c r="H5" s="84">
        <f>SUMPRODUCT(G$23:I$23,B5:D5)</f>
        <v>25.31709502651766</v>
      </c>
      <c r="I5" s="477"/>
      <c r="J5" s="3"/>
      <c r="K5" s="475">
        <v>-24.92784</v>
      </c>
      <c r="L5" s="432">
        <v>157.51641</v>
      </c>
      <c r="M5" s="432">
        <v>-9.97854</v>
      </c>
      <c r="N5" s="432"/>
      <c r="O5" s="3"/>
    </row>
    <row r="6" spans="1:15" ht="12.75">
      <c r="A6" s="81">
        <v>2</v>
      </c>
      <c r="B6" s="388">
        <v>75.62729032902325</v>
      </c>
      <c r="C6" s="388">
        <v>-37.523679769797326</v>
      </c>
      <c r="D6" s="388">
        <v>-25.294541665963</v>
      </c>
      <c r="E6" s="85">
        <f t="shared" si="0"/>
        <v>-67.39495684608737</v>
      </c>
      <c r="F6" s="86">
        <f t="shared" si="1"/>
        <v>-18.494551593684772</v>
      </c>
      <c r="G6" s="22">
        <f aca="true" t="shared" si="2" ref="G6:G17">SUMPRODUCT(G$24:I$24,B6:D6)</f>
        <v>25.294541665963</v>
      </c>
      <c r="H6" s="78">
        <f aca="true" t="shared" si="3" ref="H6:H17">SUMPRODUCT(G$23:I$23,B6:D6)</f>
        <v>2.0969625279973627</v>
      </c>
      <c r="I6" s="477"/>
      <c r="J6" s="3"/>
      <c r="K6" s="3"/>
      <c r="L6" s="432"/>
      <c r="M6" s="432"/>
      <c r="N6" s="432"/>
      <c r="O6" s="3"/>
    </row>
    <row r="7" spans="1:15" ht="12.75">
      <c r="A7" s="81">
        <v>3</v>
      </c>
      <c r="B7" s="388">
        <v>93.2648665747594</v>
      </c>
      <c r="C7" s="388">
        <v>-19.999055410785925</v>
      </c>
      <c r="D7" s="388">
        <v>-27.066974912748773</v>
      </c>
      <c r="E7" s="85">
        <f t="shared" si="0"/>
        <v>-31.016844770107678</v>
      </c>
      <c r="F7" s="86">
        <f t="shared" si="1"/>
        <v>-16.184776702257906</v>
      </c>
      <c r="G7" s="22">
        <f t="shared" si="2"/>
        <v>27.066974912748773</v>
      </c>
      <c r="H7" s="78">
        <f t="shared" si="3"/>
        <v>6.463826440641249</v>
      </c>
      <c r="I7" s="477"/>
      <c r="J7" s="3"/>
      <c r="K7" s="3"/>
      <c r="L7" s="432"/>
      <c r="M7" s="432"/>
      <c r="N7" s="432"/>
      <c r="O7" s="3"/>
    </row>
    <row r="8" spans="1:14" ht="12.75">
      <c r="A8" s="81">
        <v>4</v>
      </c>
      <c r="B8" s="388">
        <v>99.2570327645211</v>
      </c>
      <c r="C8" s="388">
        <v>14.13737040623138</v>
      </c>
      <c r="D8" s="388">
        <v>-10.114260221390001</v>
      </c>
      <c r="E8" s="85">
        <f t="shared" si="0"/>
        <v>19.806586726252235</v>
      </c>
      <c r="F8" s="86">
        <f t="shared" si="1"/>
        <v>-5.818767515483418</v>
      </c>
      <c r="G8" s="22">
        <f t="shared" si="2"/>
        <v>10.114260221390001</v>
      </c>
      <c r="H8" s="78">
        <f t="shared" si="3"/>
        <v>24.443608877453464</v>
      </c>
      <c r="I8" s="477"/>
      <c r="K8" s="14"/>
      <c r="L8" s="388"/>
      <c r="M8" s="388"/>
      <c r="N8" s="388"/>
    </row>
    <row r="9" spans="1:14" ht="12.75">
      <c r="A9" s="81">
        <v>5</v>
      </c>
      <c r="B9" s="388">
        <v>83.1935403541757</v>
      </c>
      <c r="C9" s="388">
        <v>27.361208700484067</v>
      </c>
      <c r="D9" s="388">
        <v>-28.238437922839665</v>
      </c>
      <c r="E9" s="85">
        <f t="shared" si="0"/>
        <v>49.716395263458324</v>
      </c>
      <c r="F9" s="86">
        <f t="shared" si="1"/>
        <v>-18.75016840367098</v>
      </c>
      <c r="G9" s="22">
        <f t="shared" si="2"/>
        <v>28.238437922839665</v>
      </c>
      <c r="H9" s="78">
        <f t="shared" si="3"/>
        <v>1.9184148570915873</v>
      </c>
      <c r="I9" s="477"/>
      <c r="K9" s="388"/>
      <c r="L9" s="388"/>
      <c r="M9" s="388"/>
      <c r="N9" s="388"/>
    </row>
    <row r="10" spans="1:14" ht="12.75">
      <c r="A10" s="81">
        <v>6</v>
      </c>
      <c r="B10" s="388">
        <v>87.45178466603275</v>
      </c>
      <c r="C10" s="388">
        <v>33.981276950369285</v>
      </c>
      <c r="D10" s="388">
        <v>-3.0226582875064976</v>
      </c>
      <c r="E10" s="85">
        <f t="shared" si="0"/>
        <v>51.07074023072869</v>
      </c>
      <c r="F10" s="86">
        <f t="shared" si="1"/>
        <v>-1.9797125863421865</v>
      </c>
      <c r="G10" s="22">
        <f t="shared" si="2"/>
        <v>3.0226582875064976</v>
      </c>
      <c r="H10" s="78">
        <f t="shared" si="3"/>
        <v>27.069902237634814</v>
      </c>
      <c r="I10" s="477"/>
      <c r="K10" s="14"/>
      <c r="L10" s="388"/>
      <c r="M10" s="388"/>
      <c r="N10" s="388"/>
    </row>
    <row r="11" spans="1:14" ht="12.75">
      <c r="A11" s="81">
        <v>7</v>
      </c>
      <c r="B11" s="388">
        <v>63.82384146281225</v>
      </c>
      <c r="C11" s="388">
        <v>46.990380743985476</v>
      </c>
      <c r="D11" s="388">
        <v>-9.838923037396146</v>
      </c>
      <c r="E11" s="85">
        <f t="shared" si="0"/>
        <v>85.35409441496925</v>
      </c>
      <c r="F11" s="86">
        <f t="shared" si="1"/>
        <v>-8.764232642926151</v>
      </c>
      <c r="G11" s="22">
        <f t="shared" si="2"/>
        <v>9.838923037396146</v>
      </c>
      <c r="H11" s="78">
        <f t="shared" si="3"/>
        <v>12.583476029984167</v>
      </c>
      <c r="I11" s="477"/>
      <c r="K11" s="14"/>
      <c r="L11" s="475"/>
      <c r="M11" s="475"/>
      <c r="N11" s="475"/>
    </row>
    <row r="12" spans="1:14" ht="12.75">
      <c r="A12" s="81">
        <v>8</v>
      </c>
      <c r="B12" s="388">
        <v>41.65640680130868</v>
      </c>
      <c r="C12" s="388">
        <v>49.81381953684945</v>
      </c>
      <c r="D12" s="388">
        <v>-5.565823858110253</v>
      </c>
      <c r="E12" s="85">
        <f>57.3*ATAN2(B12-60,C12)</f>
        <v>110.22399801417815</v>
      </c>
      <c r="F12" s="86">
        <f>57.3*ATAN2(B12,D12)</f>
        <v>-7.610928801027629</v>
      </c>
      <c r="G12" s="22">
        <f>SUMPRODUCT(G$24:I$24,B12:D12)</f>
        <v>5.565823858110253</v>
      </c>
      <c r="H12" s="78">
        <f>SUMPRODUCT(G$23:I$23,B12:D12)</f>
        <v>9.017166616555595</v>
      </c>
      <c r="I12" s="477"/>
      <c r="K12" s="14"/>
      <c r="L12" s="475"/>
      <c r="M12" s="475"/>
      <c r="N12" s="475"/>
    </row>
    <row r="13" spans="1:9" ht="12.75">
      <c r="A13" s="81">
        <v>9</v>
      </c>
      <c r="B13" s="388">
        <v>21.037953477971058</v>
      </c>
      <c r="C13" s="388">
        <v>26.39333850726586</v>
      </c>
      <c r="D13" s="388">
        <v>-4.9341426512337865</v>
      </c>
      <c r="E13" s="85">
        <f t="shared" si="0"/>
        <v>145.89658156472842</v>
      </c>
      <c r="F13" s="86">
        <f t="shared" si="1"/>
        <v>-13.200288741992189</v>
      </c>
      <c r="G13" s="22">
        <f t="shared" si="2"/>
        <v>4.9341426512337865</v>
      </c>
      <c r="H13" s="78">
        <f t="shared" si="3"/>
        <v>2.5588264245450043</v>
      </c>
      <c r="I13" s="477"/>
    </row>
    <row r="14" spans="1:8" ht="12.75">
      <c r="A14" s="81">
        <v>10</v>
      </c>
      <c r="B14" s="388">
        <v>37.3552504072252</v>
      </c>
      <c r="C14" s="388">
        <v>-5.849956290905398</v>
      </c>
      <c r="D14" s="388">
        <v>-10.43723095818518</v>
      </c>
      <c r="E14" s="85">
        <f t="shared" si="0"/>
        <v>-165.52730992298711</v>
      </c>
      <c r="F14" s="86">
        <f t="shared" si="1"/>
        <v>-15.611760726196154</v>
      </c>
      <c r="G14" s="22">
        <f t="shared" si="2"/>
        <v>10.43723095818518</v>
      </c>
      <c r="H14" s="78">
        <f t="shared" si="3"/>
        <v>2.9684591854005564</v>
      </c>
    </row>
    <row r="15" spans="1:8" ht="12.75">
      <c r="A15" s="81">
        <v>11</v>
      </c>
      <c r="B15" s="388">
        <v>27.428590743055917</v>
      </c>
      <c r="C15" s="388">
        <v>-16.971161543221758</v>
      </c>
      <c r="D15" s="388">
        <v>-2.5772145853626083</v>
      </c>
      <c r="E15" s="85">
        <f t="shared" si="0"/>
        <v>-152.48970181494275</v>
      </c>
      <c r="F15" s="86">
        <f t="shared" si="1"/>
        <v>-5.368197601144825</v>
      </c>
      <c r="G15" s="22">
        <f t="shared" si="2"/>
        <v>2.5772145853626083</v>
      </c>
      <c r="H15" s="78">
        <f t="shared" si="3"/>
        <v>6.959341009114038</v>
      </c>
    </row>
    <row r="16" spans="1:9" ht="12.75">
      <c r="A16" s="81">
        <v>12</v>
      </c>
      <c r="B16" s="388">
        <v>32.949050167183536</v>
      </c>
      <c r="C16" s="388">
        <v>-45.50635351734144</v>
      </c>
      <c r="D16" s="388">
        <v>-1.4795310869543499</v>
      </c>
      <c r="E16" s="85">
        <f t="shared" si="0"/>
        <v>-120.73797868994926</v>
      </c>
      <c r="F16" s="86">
        <f t="shared" si="1"/>
        <v>-2.571249247782533</v>
      </c>
      <c r="G16" s="22">
        <f t="shared" si="2"/>
        <v>1.4795310869543499</v>
      </c>
      <c r="H16" s="78">
        <f t="shared" si="3"/>
        <v>9.878934415990406</v>
      </c>
      <c r="I16" s="476"/>
    </row>
    <row r="17" spans="1:9" ht="13.5" thickBot="1">
      <c r="A17" s="81">
        <v>13</v>
      </c>
      <c r="B17" s="484"/>
      <c r="C17" s="485"/>
      <c r="D17" s="486"/>
      <c r="E17" s="85">
        <f t="shared" si="0"/>
        <v>180.01325905069513</v>
      </c>
      <c r="F17" s="86" t="e">
        <f t="shared" si="1"/>
        <v>#DIV/0!</v>
      </c>
      <c r="G17" s="22">
        <f t="shared" si="2"/>
        <v>0</v>
      </c>
      <c r="H17" s="78">
        <f t="shared" si="3"/>
        <v>0</v>
      </c>
      <c r="I17" s="476"/>
    </row>
    <row r="18" spans="1:14" ht="13.5" thickBot="1">
      <c r="A18" s="81">
        <v>14</v>
      </c>
      <c r="B18" s="484"/>
      <c r="C18" s="485"/>
      <c r="D18" s="486"/>
      <c r="E18" s="85">
        <f>57.3*ATAN2(B18-60,C18)</f>
        <v>180.01325905069513</v>
      </c>
      <c r="F18" s="86" t="e">
        <f>57.3*ATAN2(B18,D18)</f>
        <v>#DIV/0!</v>
      </c>
      <c r="G18" s="22">
        <f>SUMPRODUCT(G$24:I$24,B18:D18)</f>
        <v>0</v>
      </c>
      <c r="H18" s="78">
        <f>SUMPRODUCT(G$23:I$23,B18:D18)</f>
        <v>0</v>
      </c>
      <c r="I18" s="476"/>
      <c r="J18" s="24" t="s">
        <v>46</v>
      </c>
      <c r="K18" s="25"/>
      <c r="L18" s="25"/>
      <c r="M18" s="25"/>
      <c r="N18" s="358" t="s">
        <v>53</v>
      </c>
    </row>
    <row r="19" spans="1:14" ht="13.5" thickBot="1">
      <c r="A19" s="82">
        <v>15</v>
      </c>
      <c r="B19" s="487"/>
      <c r="C19" s="488"/>
      <c r="D19" s="489"/>
      <c r="E19" s="85">
        <f>57.3*ATAN2(B19-60,C19)</f>
        <v>180.01325905069513</v>
      </c>
      <c r="F19" s="86" t="e">
        <f>57.3*ATAN2(B19,D19)</f>
        <v>#DIV/0!</v>
      </c>
      <c r="G19" s="23">
        <f>SUMPRODUCT(G$24:I$24,B19:D19)</f>
        <v>0</v>
      </c>
      <c r="H19" s="79">
        <f>SUMPRODUCT(G$23:I$23,B19:D19)</f>
        <v>0</v>
      </c>
      <c r="I19" s="476"/>
      <c r="J19" s="323" t="s">
        <v>47</v>
      </c>
      <c r="K19" s="324">
        <v>1</v>
      </c>
      <c r="L19" s="329">
        <v>20</v>
      </c>
      <c r="M19" s="329">
        <v>0</v>
      </c>
      <c r="N19" s="321"/>
    </row>
    <row r="20" spans="10:15" ht="12.75">
      <c r="J20" s="327" t="s">
        <v>48</v>
      </c>
      <c r="K20" s="328"/>
      <c r="L20" s="329">
        <v>40</v>
      </c>
      <c r="M20" s="329">
        <v>20</v>
      </c>
      <c r="N20" s="321">
        <f>IF(AND(K19=1,ISBLANK(K20),ISBLANK(K21)),20,IF(AND(K20=1,ISBLANK(K19),ISBLANK(K21)),40,IF(AND(K21=1,ISBLANK(K19),ISBLANK(K20)),60)))</f>
        <v>20</v>
      </c>
      <c r="O20" t="s">
        <v>81</v>
      </c>
    </row>
    <row r="21" spans="10:15" ht="13.5" thickBot="1">
      <c r="J21" s="330" t="s">
        <v>49</v>
      </c>
      <c r="K21" s="331"/>
      <c r="L21" s="329">
        <v>60</v>
      </c>
      <c r="M21" s="329">
        <v>40</v>
      </c>
      <c r="N21" s="321">
        <f>IF(AND(K19=1,ISBLANK(K20),ISBLANK(K21)),0,IF(AND(K20=1,ISBLANK(K19),ISBLANK(K21)),20,IF(AND(K21=1,ISBLANK(K19),ISBLANK(K20)),40)))</f>
        <v>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1" t="s">
        <v>3</v>
      </c>
      <c r="F23" s="33" t="s">
        <v>31</v>
      </c>
      <c r="G23" s="34">
        <f>SIN(N20*ACOS(-1)/180)</f>
        <v>0.3420201433256687</v>
      </c>
      <c r="H23" s="34">
        <v>0</v>
      </c>
      <c r="I23" s="35">
        <f>COS(N20*ACOS(-1)/180)</f>
        <v>0.9396926207859084</v>
      </c>
      <c r="J23" s="323" t="s">
        <v>52</v>
      </c>
      <c r="K23" s="324">
        <v>1</v>
      </c>
      <c r="L23" s="320"/>
      <c r="M23" s="320"/>
      <c r="N23" s="356" t="str">
        <f>IF(AND(K23=1,ISBLANK(K24)),"G",IF(AND(K24=1,ISBLANK(K23)),"H"))</f>
        <v>G</v>
      </c>
      <c r="O23" t="s">
        <v>79</v>
      </c>
    </row>
    <row r="24" spans="1:15" ht="13.5" thickBot="1">
      <c r="A24" s="29">
        <v>1</v>
      </c>
      <c r="B24" s="438">
        <v>-4.56837</v>
      </c>
      <c r="C24" s="438">
        <v>66.76715</v>
      </c>
      <c r="D24" s="439">
        <v>-10.12305</v>
      </c>
      <c r="F24" s="36" t="s">
        <v>14</v>
      </c>
      <c r="G24" s="37">
        <f>SIN(N21*ACOS(-1)/180)</f>
        <v>0</v>
      </c>
      <c r="H24" s="37">
        <v>0</v>
      </c>
      <c r="I24" s="38">
        <f>N24*COS(N21*ACOS(-1)/180)</f>
        <v>-1</v>
      </c>
      <c r="J24" s="325" t="s">
        <v>51</v>
      </c>
      <c r="K24" s="326"/>
      <c r="L24" s="322"/>
      <c r="M24" s="322"/>
      <c r="N24" s="357">
        <f>IF(AND(K23=1,ISBLANK(K24)),-1,IF(AND(K24=1,ISBLANK(K23)),1))</f>
        <v>-1</v>
      </c>
      <c r="O24" t="s">
        <v>80</v>
      </c>
    </row>
    <row r="25" spans="1:11" ht="12.75">
      <c r="A25" s="29">
        <v>2</v>
      </c>
      <c r="B25" s="438">
        <v>62.12883</v>
      </c>
      <c r="C25" s="438">
        <v>125.96281</v>
      </c>
      <c r="D25" s="439">
        <v>-9.92015</v>
      </c>
      <c r="J25" s="14"/>
      <c r="K25" s="14"/>
    </row>
    <row r="26" spans="1:11" ht="13.5" thickBot="1">
      <c r="A26" s="32">
        <v>3</v>
      </c>
      <c r="B26" s="440">
        <v>-24.92784</v>
      </c>
      <c r="C26" s="440">
        <v>157.51641</v>
      </c>
      <c r="D26" s="441">
        <v>-9.97854</v>
      </c>
      <c r="J26" s="14"/>
      <c r="K26" s="14"/>
    </row>
    <row r="27" spans="9:13" ht="13.5" thickBot="1">
      <c r="I27" t="s">
        <v>94</v>
      </c>
      <c r="M27" s="332"/>
    </row>
    <row r="28" spans="1:11" ht="12.75">
      <c r="A28" s="21" t="s">
        <v>45</v>
      </c>
      <c r="B28" s="17"/>
      <c r="C28" s="17"/>
      <c r="D28" s="18"/>
      <c r="E28" s="70" t="s">
        <v>42</v>
      </c>
      <c r="G28" s="1"/>
      <c r="H28" s="388"/>
      <c r="I28" s="518">
        <v>-42.7895</v>
      </c>
      <c r="J28" s="519">
        <v>114.10077</v>
      </c>
      <c r="K28" s="519">
        <v>-8.23458</v>
      </c>
    </row>
    <row r="29" spans="1:11" ht="13.5" thickBot="1">
      <c r="A29" s="30"/>
      <c r="B29" s="19"/>
      <c r="C29" s="19"/>
      <c r="D29" s="20"/>
      <c r="E29" s="14"/>
      <c r="F29" s="15"/>
      <c r="G29" s="3"/>
      <c r="H29" s="388"/>
      <c r="I29" s="518">
        <v>-37.87963</v>
      </c>
      <c r="J29" s="519">
        <v>114.71204</v>
      </c>
      <c r="K29" s="519">
        <v>15.46713</v>
      </c>
    </row>
    <row r="30" spans="1:19" ht="12.75">
      <c r="A30" s="435" t="s">
        <v>15</v>
      </c>
      <c r="B30" s="73" t="s">
        <v>16</v>
      </c>
      <c r="C30" s="74" t="s">
        <v>17</v>
      </c>
      <c r="D30" s="75" t="s">
        <v>18</v>
      </c>
      <c r="E30" s="14"/>
      <c r="F30" s="15"/>
      <c r="G30" s="477"/>
      <c r="H30" s="388"/>
      <c r="I30" s="519">
        <v>-36.52177</v>
      </c>
      <c r="J30" s="519">
        <v>139.53401</v>
      </c>
      <c r="K30" s="519">
        <v>17.29261</v>
      </c>
      <c r="N30" s="388"/>
      <c r="O30" s="388"/>
      <c r="P30" s="388"/>
      <c r="Q30" s="388"/>
      <c r="R30" s="388"/>
      <c r="S30" s="388"/>
    </row>
    <row r="31" spans="1:19" ht="12.75">
      <c r="A31" s="436">
        <v>1</v>
      </c>
      <c r="B31" s="481">
        <v>-42.76391</v>
      </c>
      <c r="C31" s="482">
        <v>114.08877</v>
      </c>
      <c r="D31" s="483">
        <v>-8.22831</v>
      </c>
      <c r="E31" s="14" t="b">
        <f>AND(ISBLANK(B31),ISBLANK(C31),ISBLANK(D31))</f>
        <v>0</v>
      </c>
      <c r="F31" s="15"/>
      <c r="G31" s="477"/>
      <c r="I31" s="519">
        <v>-14.97333</v>
      </c>
      <c r="J31" s="519">
        <v>166.72084</v>
      </c>
      <c r="K31" s="519">
        <v>0.41811</v>
      </c>
      <c r="O31" s="388"/>
      <c r="P31" s="388"/>
      <c r="Q31" s="388"/>
      <c r="R31" s="388"/>
      <c r="S31" s="388"/>
    </row>
    <row r="32" spans="1:19" ht="12.75">
      <c r="A32" s="436">
        <v>2</v>
      </c>
      <c r="B32" s="481">
        <v>-37.85896</v>
      </c>
      <c r="C32" s="482">
        <v>114.70266</v>
      </c>
      <c r="D32" s="483">
        <v>15.47261</v>
      </c>
      <c r="E32" s="14" t="b">
        <f aca="true" t="shared" si="4" ref="E32:E45">AND(ISBLANK(B32),ISBLANK(C32),ISBLANK(D32))</f>
        <v>0</v>
      </c>
      <c r="F32" s="15"/>
      <c r="G32" s="477"/>
      <c r="I32" s="519">
        <v>5.55252</v>
      </c>
      <c r="J32" s="519">
        <v>163.47677</v>
      </c>
      <c r="K32" s="519">
        <v>18.56298</v>
      </c>
      <c r="O32" s="388"/>
      <c r="P32" s="388"/>
      <c r="Q32" s="388"/>
      <c r="R32" s="388"/>
      <c r="S32" s="388"/>
    </row>
    <row r="33" spans="1:19" ht="12.75">
      <c r="A33" s="436">
        <v>3</v>
      </c>
      <c r="B33" s="481">
        <v>-36.50892</v>
      </c>
      <c r="C33" s="482">
        <v>139.52569</v>
      </c>
      <c r="D33" s="483">
        <v>17.29591</v>
      </c>
      <c r="E33" s="14" t="b">
        <f t="shared" si="4"/>
        <v>0</v>
      </c>
      <c r="F33" s="15"/>
      <c r="G33" s="477"/>
      <c r="I33" s="519">
        <v>7.70859</v>
      </c>
      <c r="J33" s="519">
        <v>171.10127</v>
      </c>
      <c r="K33" s="519">
        <v>-6.63474</v>
      </c>
      <c r="O33" s="388"/>
      <c r="P33" s="388"/>
      <c r="Q33" s="388"/>
      <c r="R33" s="388"/>
      <c r="S33" s="388"/>
    </row>
    <row r="34" spans="1:19" ht="12.75">
      <c r="A34" s="436">
        <v>4</v>
      </c>
      <c r="B34" s="481">
        <v>-14.97201</v>
      </c>
      <c r="C34" s="482">
        <v>166.72316</v>
      </c>
      <c r="D34" s="483">
        <v>0.42195</v>
      </c>
      <c r="E34" s="14" t="b">
        <f t="shared" si="4"/>
        <v>0</v>
      </c>
      <c r="F34" s="15"/>
      <c r="G34" s="477"/>
      <c r="I34" s="519">
        <v>33.12259</v>
      </c>
      <c r="J34" s="519">
        <v>162.07901</v>
      </c>
      <c r="K34" s="519">
        <v>0.19937</v>
      </c>
      <c r="O34" s="388"/>
      <c r="P34" s="388"/>
      <c r="Q34" s="388"/>
      <c r="R34" s="388"/>
      <c r="S34" s="388"/>
    </row>
    <row r="35" spans="1:19" ht="12.75">
      <c r="A35" s="436">
        <v>5</v>
      </c>
      <c r="B35" s="481">
        <v>5.5563</v>
      </c>
      <c r="C35" s="482">
        <v>163.48176</v>
      </c>
      <c r="D35" s="483">
        <v>18.56809</v>
      </c>
      <c r="E35" s="14" t="b">
        <f t="shared" si="4"/>
        <v>0</v>
      </c>
      <c r="F35" s="15"/>
      <c r="G35" s="477"/>
      <c r="I35" s="519">
        <v>49.97614</v>
      </c>
      <c r="J35" s="519">
        <v>147.39919</v>
      </c>
      <c r="K35" s="519">
        <v>-4.0759</v>
      </c>
      <c r="O35" s="388"/>
      <c r="P35" s="388"/>
      <c r="Q35" s="388"/>
      <c r="R35" s="388"/>
      <c r="S35" s="388"/>
    </row>
    <row r="36" spans="1:19" ht="12.75">
      <c r="A36" s="436">
        <v>6</v>
      </c>
      <c r="B36" s="481">
        <v>7.70942</v>
      </c>
      <c r="C36" s="482">
        <v>171.11367</v>
      </c>
      <c r="D36" s="483">
        <v>-6.62997</v>
      </c>
      <c r="E36" s="14" t="b">
        <f t="shared" si="4"/>
        <v>0</v>
      </c>
      <c r="F36" s="15"/>
      <c r="G36" s="477"/>
      <c r="I36" s="519">
        <v>46.17992</v>
      </c>
      <c r="J36" s="519">
        <v>116.43164</v>
      </c>
      <c r="K36" s="519">
        <v>-4.78332</v>
      </c>
      <c r="O36" s="388"/>
      <c r="P36" s="388"/>
      <c r="Q36" s="388"/>
      <c r="R36" s="388"/>
      <c r="S36" s="388"/>
    </row>
    <row r="37" spans="1:19" ht="12.75">
      <c r="A37" s="436">
        <v>7</v>
      </c>
      <c r="B37" s="481">
        <v>33.12611</v>
      </c>
      <c r="C37" s="482">
        <v>162.09762</v>
      </c>
      <c r="D37" s="483">
        <v>0.20722</v>
      </c>
      <c r="E37" s="14" t="b">
        <f t="shared" si="4"/>
        <v>0</v>
      </c>
      <c r="F37" s="15"/>
      <c r="G37" s="477"/>
      <c r="I37" s="519">
        <v>11.23631</v>
      </c>
      <c r="J37" s="519">
        <v>107.18938</v>
      </c>
      <c r="K37" s="519">
        <v>0.64967</v>
      </c>
      <c r="O37" s="388"/>
      <c r="P37" s="388"/>
      <c r="Q37" s="388"/>
      <c r="R37" s="388"/>
      <c r="S37" s="388"/>
    </row>
    <row r="38" spans="1:19" ht="12.75">
      <c r="A38" s="436">
        <v>8</v>
      </c>
      <c r="B38" s="481"/>
      <c r="C38" s="482"/>
      <c r="D38" s="483"/>
      <c r="E38" s="14" t="b">
        <f t="shared" si="4"/>
        <v>1</v>
      </c>
      <c r="F38" s="14"/>
      <c r="G38" s="477"/>
      <c r="O38" s="388"/>
      <c r="P38" s="388"/>
      <c r="Q38" s="388"/>
      <c r="R38" s="388"/>
      <c r="S38" s="388"/>
    </row>
    <row r="39" spans="1:13" ht="12.75">
      <c r="A39" s="436">
        <v>9</v>
      </c>
      <c r="B39" s="481">
        <v>46.20262</v>
      </c>
      <c r="C39" s="482">
        <v>116.45591</v>
      </c>
      <c r="D39" s="483">
        <v>-4.76636</v>
      </c>
      <c r="E39" s="14" t="b">
        <f t="shared" si="4"/>
        <v>0</v>
      </c>
      <c r="F39" s="14"/>
      <c r="I39" s="478"/>
      <c r="J39" s="478"/>
      <c r="K39" s="475"/>
      <c r="L39" s="3"/>
      <c r="M39" s="3"/>
    </row>
    <row r="40" spans="1:10" ht="12.75">
      <c r="A40" s="436">
        <v>10</v>
      </c>
      <c r="B40" s="481">
        <v>11.26173</v>
      </c>
      <c r="C40" s="482">
        <v>107.19729</v>
      </c>
      <c r="D40" s="483">
        <v>0.66777</v>
      </c>
      <c r="E40" s="14" t="b">
        <f t="shared" si="4"/>
        <v>0</v>
      </c>
      <c r="F40" s="14"/>
      <c r="I40" s="478" t="s">
        <v>95</v>
      </c>
      <c r="J40" s="478"/>
    </row>
    <row r="41" spans="1:15" ht="12.75">
      <c r="A41" s="436">
        <v>11</v>
      </c>
      <c r="B41" s="481"/>
      <c r="C41" s="482"/>
      <c r="D41" s="483"/>
      <c r="E41" s="14" t="b">
        <f t="shared" si="4"/>
        <v>1</v>
      </c>
      <c r="F41" s="14"/>
      <c r="I41" s="388">
        <v>-42.78293</v>
      </c>
      <c r="J41" s="388">
        <v>114.09439</v>
      </c>
      <c r="K41" s="388">
        <v>-8.23016</v>
      </c>
      <c r="O41" s="429"/>
    </row>
    <row r="42" spans="1:16" ht="12.75">
      <c r="A42" s="436">
        <v>12</v>
      </c>
      <c r="B42" s="481"/>
      <c r="C42" s="482"/>
      <c r="D42" s="483"/>
      <c r="E42" s="14" t="b">
        <f t="shared" si="4"/>
        <v>1</v>
      </c>
      <c r="F42" s="14"/>
      <c r="I42" s="388">
        <v>-37.87404</v>
      </c>
      <c r="J42" s="388">
        <v>114.70786</v>
      </c>
      <c r="K42" s="388">
        <v>15.47152</v>
      </c>
      <c r="O42" s="388"/>
      <c r="P42" s="388"/>
    </row>
    <row r="43" spans="1:16" ht="12.75">
      <c r="A43" s="436">
        <v>13</v>
      </c>
      <c r="B43" s="520"/>
      <c r="C43" s="521"/>
      <c r="D43" s="522"/>
      <c r="E43" s="14" t="b">
        <f t="shared" si="4"/>
        <v>1</v>
      </c>
      <c r="F43" s="14"/>
      <c r="G43" s="3"/>
      <c r="I43" s="388">
        <v>-36.51867</v>
      </c>
      <c r="J43" s="388">
        <v>139.53154</v>
      </c>
      <c r="K43" s="388">
        <v>17.2938</v>
      </c>
      <c r="O43" s="388"/>
      <c r="P43" s="388"/>
    </row>
    <row r="44" spans="1:11" ht="12.75">
      <c r="A44" s="436">
        <v>14</v>
      </c>
      <c r="B44" s="520"/>
      <c r="C44" s="521"/>
      <c r="D44" s="522"/>
      <c r="E44" s="14" t="b">
        <f t="shared" si="4"/>
        <v>1</v>
      </c>
      <c r="F44" s="14"/>
      <c r="G44" s="3"/>
      <c r="I44" s="388">
        <v>-14.9734</v>
      </c>
      <c r="J44" s="388">
        <v>166.72089</v>
      </c>
      <c r="K44" s="388">
        <v>0.41877</v>
      </c>
    </row>
    <row r="45" spans="1:16" ht="13.5" thickBot="1">
      <c r="A45" s="437">
        <v>15</v>
      </c>
      <c r="B45" s="523"/>
      <c r="C45" s="524"/>
      <c r="D45" s="525"/>
      <c r="E45" s="14" t="b">
        <f t="shared" si="4"/>
        <v>1</v>
      </c>
      <c r="F45" s="14"/>
      <c r="G45" s="3"/>
      <c r="I45" s="388">
        <v>5.55545</v>
      </c>
      <c r="J45" s="388">
        <v>163.47502</v>
      </c>
      <c r="K45" s="388">
        <v>18.56297</v>
      </c>
      <c r="O45" s="388"/>
      <c r="P45" s="388"/>
    </row>
    <row r="46" spans="1:16" ht="12.75">
      <c r="A46" s="14"/>
      <c r="B46" s="14"/>
      <c r="C46" s="14"/>
      <c r="D46" s="14"/>
      <c r="E46" s="14"/>
      <c r="F46" s="14"/>
      <c r="G46" s="3"/>
      <c r="I46" s="388">
        <v>7.71005</v>
      </c>
      <c r="J46" s="388">
        <v>171.10261</v>
      </c>
      <c r="K46" s="388">
        <v>-6.63512</v>
      </c>
      <c r="O46" s="388"/>
      <c r="P46" s="388"/>
    </row>
    <row r="47" spans="7:16" ht="12.75">
      <c r="G47" s="3"/>
      <c r="I47" s="388">
        <v>33.12325</v>
      </c>
      <c r="J47" s="388">
        <v>162.07962</v>
      </c>
      <c r="K47" s="388">
        <v>0.20133</v>
      </c>
      <c r="O47" s="388"/>
      <c r="P47" s="388"/>
    </row>
    <row r="48" spans="4:16" ht="12.75">
      <c r="D48" s="14"/>
      <c r="E48" s="14"/>
      <c r="F48" s="14"/>
      <c r="G48" s="14"/>
      <c r="I48" s="388">
        <v>49.97608</v>
      </c>
      <c r="J48" s="388">
        <v>147.40103</v>
      </c>
      <c r="K48" s="388">
        <v>-4.07325</v>
      </c>
      <c r="O48" s="388"/>
      <c r="P48" s="388"/>
    </row>
    <row r="49" spans="1:17" ht="12.75">
      <c r="A49" s="3"/>
      <c r="B49" s="3"/>
      <c r="C49" s="3"/>
      <c r="D49" s="442"/>
      <c r="E49" s="442"/>
      <c r="F49" s="442"/>
      <c r="G49" s="3"/>
      <c r="H49" s="388"/>
      <c r="I49" s="388">
        <v>46.18608</v>
      </c>
      <c r="J49" s="388">
        <v>116.43524</v>
      </c>
      <c r="K49" s="388">
        <v>-4.77207</v>
      </c>
      <c r="M49" s="388"/>
      <c r="N49" s="388"/>
      <c r="O49" s="388"/>
      <c r="P49" s="388"/>
      <c r="Q49" s="3"/>
    </row>
    <row r="50" spans="1:17" ht="12.75">
      <c r="A50" s="3"/>
      <c r="B50" s="3"/>
      <c r="C50" s="432"/>
      <c r="D50" s="442"/>
      <c r="E50" s="442"/>
      <c r="F50" s="442"/>
      <c r="G50" s="3"/>
      <c r="H50" s="14"/>
      <c r="I50" s="388">
        <v>11.24258</v>
      </c>
      <c r="J50" s="388">
        <v>107.18851</v>
      </c>
      <c r="K50" s="388">
        <v>0.66356</v>
      </c>
      <c r="M50" s="388"/>
      <c r="N50" s="388"/>
      <c r="O50" s="388"/>
      <c r="P50" s="388"/>
      <c r="Q50" s="3"/>
    </row>
    <row r="51" spans="1:18" ht="12.75">
      <c r="A51" s="3"/>
      <c r="B51" s="3"/>
      <c r="C51" s="388"/>
      <c r="D51" s="388"/>
      <c r="E51" s="388"/>
      <c r="F51" s="479"/>
      <c r="G51" s="3"/>
      <c r="H51" s="14"/>
      <c r="N51" s="3"/>
      <c r="O51" s="3"/>
      <c r="P51" s="3"/>
      <c r="Q51" s="3"/>
      <c r="R51" s="3"/>
    </row>
    <row r="52" spans="1:18" ht="12.75">
      <c r="A52" s="3"/>
      <c r="B52" s="3"/>
      <c r="C52" s="3"/>
      <c r="D52" s="479"/>
      <c r="E52" s="479"/>
      <c r="F52" s="479"/>
      <c r="G52" s="3"/>
      <c r="H52" s="431"/>
      <c r="N52" s="3"/>
      <c r="O52" s="3"/>
      <c r="P52" s="3"/>
      <c r="Q52" s="430"/>
      <c r="R52" s="3"/>
    </row>
    <row r="53" spans="1:18" ht="12.75">
      <c r="A53" s="433"/>
      <c r="B53" s="480"/>
      <c r="C53" s="432"/>
      <c r="D53" s="479"/>
      <c r="E53" s="479"/>
      <c r="F53" s="479"/>
      <c r="G53" s="3"/>
      <c r="H53" s="3"/>
      <c r="I53" t="s">
        <v>97</v>
      </c>
      <c r="N53" s="3"/>
      <c r="O53" s="3"/>
      <c r="P53" s="3"/>
      <c r="Q53" s="430"/>
      <c r="R53" s="3"/>
    </row>
    <row r="54" spans="1:18" ht="12.75">
      <c r="A54" s="433"/>
      <c r="B54" s="480"/>
      <c r="C54" s="432"/>
      <c r="D54" s="479"/>
      <c r="E54" s="479"/>
      <c r="F54" s="479"/>
      <c r="G54" s="3"/>
      <c r="H54" s="3"/>
      <c r="I54" s="388">
        <v>-42.76391</v>
      </c>
      <c r="J54" s="388">
        <v>114.08877</v>
      </c>
      <c r="K54" s="388">
        <v>-8.22831</v>
      </c>
      <c r="N54" s="3"/>
      <c r="O54" s="3"/>
      <c r="P54" s="3"/>
      <c r="Q54" s="430"/>
      <c r="R54" s="3"/>
    </row>
    <row r="55" spans="1:18" ht="12.75">
      <c r="A55" s="433"/>
      <c r="B55" s="480"/>
      <c r="C55" s="432"/>
      <c r="D55" s="479"/>
      <c r="E55" s="479"/>
      <c r="F55" s="479"/>
      <c r="G55" s="3"/>
      <c r="H55" s="3"/>
      <c r="I55" s="388">
        <v>-37.85896</v>
      </c>
      <c r="J55" s="388">
        <v>114.70266</v>
      </c>
      <c r="K55" s="388">
        <v>15.47261</v>
      </c>
      <c r="L55" s="3"/>
      <c r="M55" s="3"/>
      <c r="N55" s="3"/>
      <c r="O55" s="3"/>
      <c r="P55" s="3"/>
      <c r="Q55" s="430"/>
      <c r="R55" s="3"/>
    </row>
    <row r="56" spans="1:18" ht="12.75">
      <c r="A56" s="433"/>
      <c r="B56" s="480"/>
      <c r="C56" s="432"/>
      <c r="D56" s="479"/>
      <c r="E56" s="479"/>
      <c r="F56" s="479"/>
      <c r="G56" s="3"/>
      <c r="H56" s="3"/>
      <c r="I56" s="388">
        <v>-36.50892</v>
      </c>
      <c r="J56" s="388">
        <v>139.52569</v>
      </c>
      <c r="K56" s="388">
        <v>17.29591</v>
      </c>
      <c r="L56" s="3"/>
      <c r="M56" s="3"/>
      <c r="N56" s="3"/>
      <c r="O56" s="3"/>
      <c r="P56" s="3"/>
      <c r="Q56" s="430"/>
      <c r="R56" s="3"/>
    </row>
    <row r="57" spans="1:18" ht="12.75">
      <c r="A57" s="433"/>
      <c r="B57" s="480"/>
      <c r="C57" s="432"/>
      <c r="D57" s="479"/>
      <c r="E57" s="479"/>
      <c r="F57" s="479"/>
      <c r="G57" s="3"/>
      <c r="H57" s="3"/>
      <c r="I57" s="388">
        <v>-14.97201</v>
      </c>
      <c r="J57" s="388">
        <v>166.72316</v>
      </c>
      <c r="K57" s="388">
        <v>0.42195</v>
      </c>
      <c r="L57" s="3"/>
      <c r="M57" s="3"/>
      <c r="N57" s="3"/>
      <c r="O57" s="3"/>
      <c r="P57" s="3"/>
      <c r="Q57" s="430"/>
      <c r="R57" s="3"/>
    </row>
    <row r="58" spans="1:18" ht="12.75">
      <c r="A58" s="433"/>
      <c r="B58" s="480"/>
      <c r="C58" s="432"/>
      <c r="D58" s="479"/>
      <c r="E58" s="479"/>
      <c r="F58" s="479"/>
      <c r="G58" s="3"/>
      <c r="H58" s="3"/>
      <c r="I58" s="388">
        <v>5.5563</v>
      </c>
      <c r="J58" s="388">
        <v>163.48176</v>
      </c>
      <c r="K58" s="388">
        <v>18.56809</v>
      </c>
      <c r="L58" s="3"/>
      <c r="M58" s="3"/>
      <c r="N58" s="3"/>
      <c r="O58" s="3"/>
      <c r="P58" s="3"/>
      <c r="Q58" s="430"/>
      <c r="R58" s="3"/>
    </row>
    <row r="59" spans="1:18" ht="12.75">
      <c r="A59" s="433"/>
      <c r="B59" s="480"/>
      <c r="C59" s="432"/>
      <c r="D59" s="432"/>
      <c r="E59" s="432"/>
      <c r="F59" s="3"/>
      <c r="G59" s="3"/>
      <c r="H59" s="3"/>
      <c r="I59" s="388">
        <v>7.70942</v>
      </c>
      <c r="J59" s="388">
        <v>171.11367</v>
      </c>
      <c r="K59" s="388">
        <v>-6.62997</v>
      </c>
      <c r="L59" s="3"/>
      <c r="M59" s="3"/>
      <c r="N59" s="3"/>
      <c r="O59" s="3"/>
      <c r="P59" s="3"/>
      <c r="Q59" s="430"/>
      <c r="R59" s="3"/>
    </row>
    <row r="60" spans="1:18" ht="12.75">
      <c r="A60" s="433"/>
      <c r="B60" s="480"/>
      <c r="C60" s="432"/>
      <c r="D60" s="432"/>
      <c r="E60" s="432"/>
      <c r="F60" s="3"/>
      <c r="G60" s="3"/>
      <c r="H60" s="3"/>
      <c r="I60" s="388">
        <v>33.12611</v>
      </c>
      <c r="J60" s="388">
        <v>162.09762</v>
      </c>
      <c r="K60" s="388">
        <v>0.20722</v>
      </c>
      <c r="L60" s="3"/>
      <c r="M60" s="3"/>
      <c r="N60" s="3"/>
      <c r="O60" s="3"/>
      <c r="P60" s="3"/>
      <c r="Q60" s="430"/>
      <c r="R60" s="3"/>
    </row>
    <row r="61" spans="1:18" ht="12.75">
      <c r="A61" s="433"/>
      <c r="B61" s="480"/>
      <c r="C61" s="432"/>
      <c r="D61" s="433"/>
      <c r="E61" s="433"/>
      <c r="F61" s="1"/>
      <c r="G61" s="3"/>
      <c r="H61" s="3"/>
      <c r="I61" s="388">
        <v>49.98524</v>
      </c>
      <c r="J61" s="388">
        <v>147.42539</v>
      </c>
      <c r="K61" s="388">
        <v>-4.06762</v>
      </c>
      <c r="L61" s="3"/>
      <c r="M61" s="3"/>
      <c r="N61" s="3"/>
      <c r="O61" s="3"/>
      <c r="P61" s="3"/>
      <c r="Q61" s="430"/>
      <c r="R61" s="3"/>
    </row>
    <row r="62" spans="1:18" ht="12.75">
      <c r="A62" s="433"/>
      <c r="B62" s="480"/>
      <c r="C62" s="432"/>
      <c r="D62" s="432"/>
      <c r="E62" s="432"/>
      <c r="F62" s="3"/>
      <c r="G62" s="3"/>
      <c r="H62" s="3"/>
      <c r="I62" s="388">
        <v>46.20262</v>
      </c>
      <c r="J62" s="388">
        <v>116.45591</v>
      </c>
      <c r="K62" s="388">
        <v>-4.76636</v>
      </c>
      <c r="L62" s="3"/>
      <c r="M62" s="3"/>
      <c r="N62" s="3"/>
      <c r="O62" s="3"/>
      <c r="P62" s="3"/>
      <c r="Q62" s="430"/>
      <c r="R62" s="3"/>
    </row>
    <row r="63" spans="1:18" ht="12.75">
      <c r="A63" s="433"/>
      <c r="B63" s="480"/>
      <c r="C63" s="432"/>
      <c r="D63" s="432"/>
      <c r="E63" s="432"/>
      <c r="F63" s="3"/>
      <c r="G63" s="3"/>
      <c r="H63" s="3"/>
      <c r="I63" s="388">
        <v>11.26173</v>
      </c>
      <c r="J63" s="388">
        <v>107.19729</v>
      </c>
      <c r="K63" s="388">
        <v>0.66777</v>
      </c>
      <c r="L63" s="3"/>
      <c r="M63" s="3"/>
      <c r="N63" s="3"/>
      <c r="O63" s="3"/>
      <c r="P63" s="3"/>
      <c r="Q63" s="430"/>
      <c r="R63" s="3"/>
    </row>
    <row r="64" spans="1:18" ht="12.75">
      <c r="A64" s="433"/>
      <c r="B64" s="480"/>
      <c r="C64" s="432"/>
      <c r="D64" s="433"/>
      <c r="E64" s="433"/>
      <c r="F64" s="1"/>
      <c r="G64" s="3"/>
      <c r="H64" s="3"/>
      <c r="L64" s="3"/>
      <c r="M64" s="3"/>
      <c r="N64" s="3"/>
      <c r="O64" s="3"/>
      <c r="P64" s="3"/>
      <c r="Q64" s="430"/>
      <c r="R64" s="3"/>
    </row>
    <row r="65" spans="1:18" ht="12.75">
      <c r="A65" s="433"/>
      <c r="B65" s="480"/>
      <c r="C65" s="432"/>
      <c r="D65" s="432"/>
      <c r="E65" s="432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33"/>
      <c r="B66" s="480"/>
      <c r="C66" s="432"/>
      <c r="D66" s="432"/>
      <c r="E66" s="432"/>
      <c r="F66" s="3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433"/>
      <c r="B67" s="480"/>
      <c r="C67" s="432"/>
      <c r="D67" s="433"/>
      <c r="E67" s="433"/>
      <c r="F67" s="1"/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32"/>
      <c r="E68" s="3"/>
      <c r="F68" s="3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32"/>
      <c r="E69" s="3"/>
      <c r="F69" s="3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0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0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0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0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77" t="s">
        <v>43</v>
      </c>
      <c r="B1" s="76"/>
      <c r="C1" s="76"/>
      <c r="D1" s="76"/>
      <c r="E1" s="76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-74346.52654615237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346">
        <f>'Input Data'!B24</f>
        <v>-4.56837</v>
      </c>
      <c r="C4" s="346">
        <f>'Input Data'!C24</f>
        <v>66.76715</v>
      </c>
      <c r="D4" s="346">
        <f>'Input Data'!D24</f>
        <v>-10.12305</v>
      </c>
      <c r="E4" s="314"/>
      <c r="F4" s="341" t="s">
        <v>38</v>
      </c>
      <c r="G4" s="342">
        <f>(C5*D6-D5*C6)-(C4*D6-D4*C6)+(C4*D5-D4*C5)</f>
        <v>-9.858660027400333</v>
      </c>
      <c r="H4" s="347">
        <f>G4/G3</f>
        <v>0.00013260417783311418</v>
      </c>
      <c r="I4" s="348">
        <f>H4*J$4</f>
        <v>0.0013583287776448441</v>
      </c>
      <c r="J4" s="349">
        <f>1/SQRT(SUMSQ(H4:H6))</f>
        <v>10.243484027738074</v>
      </c>
    </row>
    <row r="5" spans="1:10" ht="10.5" customHeight="1">
      <c r="A5" s="340">
        <v>2</v>
      </c>
      <c r="B5" s="346">
        <f>'Input Data'!B25</f>
        <v>62.12883</v>
      </c>
      <c r="C5" s="346">
        <f>'Input Data'!C25</f>
        <v>125.96281</v>
      </c>
      <c r="D5" s="346">
        <f>'Input Data'!D25</f>
        <v>-9.92015</v>
      </c>
      <c r="E5" s="314"/>
      <c r="F5" s="341" t="s">
        <v>39</v>
      </c>
      <c r="G5" s="342">
        <f>-(B5*D6-D5*B6)+(B4*D6-D4*B6)-(B4*D5-D4*B5)</f>
        <v>-13.769348834999846</v>
      </c>
      <c r="H5" s="347">
        <f>G5/G3</f>
        <v>0.00018520500519216855</v>
      </c>
      <c r="I5" s="348">
        <f>H5*J$4</f>
        <v>0.0018971445125431255</v>
      </c>
      <c r="J5" s="350"/>
    </row>
    <row r="6" spans="1:10" ht="10.5" customHeight="1" thickBot="1">
      <c r="A6" s="340">
        <v>3</v>
      </c>
      <c r="B6" s="346">
        <f>'Input Data'!B26</f>
        <v>-24.92784</v>
      </c>
      <c r="C6" s="346">
        <f>'Input Data'!C26</f>
        <v>157.51641</v>
      </c>
      <c r="D6" s="346">
        <f>'Input Data'!D26</f>
        <v>-9.97854</v>
      </c>
      <c r="E6" s="314"/>
      <c r="F6" s="341" t="s">
        <v>40</v>
      </c>
      <c r="G6" s="342">
        <f>(B5*C6-C5*B6)-(B4*C6-C4*B6)+(B4*C5-C4*B5)</f>
        <v>7257.9138079722</v>
      </c>
      <c r="H6" s="351">
        <f>G6/G3</f>
        <v>-0.09762276928252563</v>
      </c>
      <c r="I6" s="352">
        <f>H6*J$4</f>
        <v>-0.9999972778891103</v>
      </c>
      <c r="J6" s="353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4" t="s">
        <v>41</v>
      </c>
      <c r="B8" s="355"/>
      <c r="C8" s="335"/>
      <c r="D8" s="335"/>
      <c r="E8" s="335"/>
      <c r="F8" s="336"/>
      <c r="G8" s="336"/>
      <c r="H8" s="336"/>
      <c r="I8" s="336"/>
      <c r="J8" s="336"/>
    </row>
    <row r="9" spans="1:10" ht="10.5" customHeight="1">
      <c r="A9" s="98" t="s">
        <v>0</v>
      </c>
      <c r="B9" s="99" t="s">
        <v>16</v>
      </c>
      <c r="C9" s="99" t="s">
        <v>17</v>
      </c>
      <c r="D9" s="99" t="s">
        <v>18</v>
      </c>
      <c r="E9" s="100"/>
      <c r="F9" s="101" t="s">
        <v>7</v>
      </c>
      <c r="G9" s="101" t="s">
        <v>8</v>
      </c>
      <c r="H9" s="101" t="s">
        <v>9</v>
      </c>
      <c r="I9" s="101" t="s">
        <v>10</v>
      </c>
      <c r="J9" s="102" t="s">
        <v>11</v>
      </c>
    </row>
    <row r="10" spans="1:10" ht="10.5" customHeight="1">
      <c r="A10" s="103">
        <v>1</v>
      </c>
      <c r="B10" s="104">
        <f>'Input Data'!B31</f>
        <v>-42.76391</v>
      </c>
      <c r="C10" s="104">
        <f>'Input Data'!C31</f>
        <v>114.08877</v>
      </c>
      <c r="D10" s="104">
        <f>'Input Data'!D31</f>
        <v>-8.22831</v>
      </c>
      <c r="E10" s="105" t="s">
        <v>1</v>
      </c>
      <c r="F10" s="106">
        <f>C10*I$6-D10*I$5</f>
        <v>-114.07284914455279</v>
      </c>
      <c r="G10" s="106">
        <f>I$5*F12-I$6-F11</f>
        <v>43.7745197054115</v>
      </c>
      <c r="H10" s="106">
        <f>J$4*I$4</f>
        <v>0.013914019138221942</v>
      </c>
      <c r="I10" s="106">
        <f>G10+H10</f>
        <v>43.78843372454972</v>
      </c>
      <c r="J10" s="107">
        <f>B10-I10</f>
        <v>-86.55234372454973</v>
      </c>
    </row>
    <row r="11" spans="1:10" ht="10.5" customHeight="1" thickBot="1">
      <c r="A11" s="239"/>
      <c r="B11" s="240"/>
      <c r="C11" s="240"/>
      <c r="D11" s="241"/>
      <c r="E11" s="105" t="s">
        <v>2</v>
      </c>
      <c r="F11" s="106">
        <f>-(B10*I$6-I$4*D10)</f>
        <v>-42.774970342159286</v>
      </c>
      <c r="G11" s="106">
        <f>-(I$4*F12-I$6*F10)</f>
        <v>114.07285932618566</v>
      </c>
      <c r="H11" s="106">
        <f>J$4*I$5</f>
        <v>0.01943336951254644</v>
      </c>
      <c r="I11" s="106">
        <f>G11+H11</f>
        <v>114.0922926956982</v>
      </c>
      <c r="J11" s="108">
        <f>C10-I11</f>
        <v>-0.003522695698208622</v>
      </c>
    </row>
    <row r="12" spans="1:10" ht="10.5" customHeight="1" thickBot="1">
      <c r="A12" s="242"/>
      <c r="B12" s="243"/>
      <c r="C12" s="243"/>
      <c r="D12" s="244"/>
      <c r="E12" s="109" t="s">
        <v>3</v>
      </c>
      <c r="F12" s="110">
        <f>B10*I$5-I$4*C10</f>
        <v>-0.23609937668849185</v>
      </c>
      <c r="G12" s="110">
        <f>I$4*F11-I$5*F10</f>
        <v>0.1583102066060884</v>
      </c>
      <c r="H12" s="110">
        <f>J$4*I$6</f>
        <v>-10.243456143838653</v>
      </c>
      <c r="I12" s="111">
        <f>G12+H12</f>
        <v>-10.085145937232564</v>
      </c>
      <c r="J12" s="112">
        <f>IF('Input Data'!E31=TRUE,"",(D10-I12))</f>
        <v>1.8568359372325638</v>
      </c>
    </row>
    <row r="13" spans="1:10" ht="10.5" customHeight="1">
      <c r="A13" s="113" t="s">
        <v>0</v>
      </c>
      <c r="B13" s="114" t="s">
        <v>16</v>
      </c>
      <c r="C13" s="114" t="s">
        <v>17</v>
      </c>
      <c r="D13" s="114" t="s">
        <v>18</v>
      </c>
      <c r="E13" s="115"/>
      <c r="F13" s="116" t="s">
        <v>7</v>
      </c>
      <c r="G13" s="116" t="s">
        <v>8</v>
      </c>
      <c r="H13" s="116" t="s">
        <v>9</v>
      </c>
      <c r="I13" s="116" t="s">
        <v>10</v>
      </c>
      <c r="J13" s="117" t="s">
        <v>11</v>
      </c>
    </row>
    <row r="14" spans="1:10" ht="10.5" customHeight="1">
      <c r="A14" s="118">
        <v>2</v>
      </c>
      <c r="B14" s="119">
        <f>'Input Data'!B32</f>
        <v>-37.85896</v>
      </c>
      <c r="C14" s="119">
        <f>'Input Data'!C32</f>
        <v>114.70266</v>
      </c>
      <c r="D14" s="119">
        <f>'Input Data'!D32</f>
        <v>15.47261</v>
      </c>
      <c r="E14" s="120" t="s">
        <v>1</v>
      </c>
      <c r="F14" s="121">
        <f>C14*I$6-D14*I$5</f>
        <v>-114.73170154379635</v>
      </c>
      <c r="G14" s="121">
        <f>I$5*F16-I$6-F15</f>
        <v>38.83740548726189</v>
      </c>
      <c r="H14" s="121">
        <f>J$4*I$4</f>
        <v>0.013914019138221942</v>
      </c>
      <c r="I14" s="121">
        <f>G14+H14</f>
        <v>38.85131950640011</v>
      </c>
      <c r="J14" s="122">
        <f>B14-I14</f>
        <v>-76.71027950640011</v>
      </c>
    </row>
    <row r="15" spans="1:10" ht="10.5" customHeight="1" thickBot="1">
      <c r="A15" s="239"/>
      <c r="B15" s="240"/>
      <c r="C15" s="240"/>
      <c r="D15" s="241"/>
      <c r="E15" s="120" t="s">
        <v>2</v>
      </c>
      <c r="F15" s="121">
        <f>-(B14*I$6-I$4*D14)</f>
        <v>-37.83784005228444</v>
      </c>
      <c r="G15" s="121">
        <f>-(I$4*F16-I$6*F14)</f>
        <v>114.73169842483078</v>
      </c>
      <c r="H15" s="121">
        <f>J$4*I$5</f>
        <v>0.01943336951254644</v>
      </c>
      <c r="I15" s="121">
        <f>G15+H15</f>
        <v>114.75113179434332</v>
      </c>
      <c r="J15" s="123">
        <f>C14-I15</f>
        <v>-0.048471794343328156</v>
      </c>
    </row>
    <row r="16" spans="1:10" ht="10.5" customHeight="1" thickBot="1">
      <c r="A16" s="242"/>
      <c r="B16" s="243"/>
      <c r="C16" s="243"/>
      <c r="D16" s="244"/>
      <c r="E16" s="124" t="s">
        <v>3</v>
      </c>
      <c r="F16" s="125">
        <f>B14*I$5-I$4*C14</f>
        <v>-0.22762784216500184</v>
      </c>
      <c r="G16" s="125">
        <f>I$4*F15-I$5*F14</f>
        <v>0.16626639097160822</v>
      </c>
      <c r="H16" s="125">
        <f>J$4*I$6</f>
        <v>-10.243456143838653</v>
      </c>
      <c r="I16" s="126">
        <f>G16+H16</f>
        <v>-10.077189752867046</v>
      </c>
      <c r="J16" s="112">
        <f>IF('Input Data'!E32=TRUE,"",(D14-I16))</f>
        <v>25.549799752867045</v>
      </c>
    </row>
    <row r="17" spans="1:10" ht="10.5" customHeight="1">
      <c r="A17" s="127" t="s">
        <v>0</v>
      </c>
      <c r="B17" s="128" t="s">
        <v>16</v>
      </c>
      <c r="C17" s="128" t="s">
        <v>17</v>
      </c>
      <c r="D17" s="128" t="s">
        <v>18</v>
      </c>
      <c r="E17" s="129"/>
      <c r="F17" s="130" t="s">
        <v>7</v>
      </c>
      <c r="G17" s="130" t="s">
        <v>8</v>
      </c>
      <c r="H17" s="130" t="s">
        <v>9</v>
      </c>
      <c r="I17" s="130" t="s">
        <v>10</v>
      </c>
      <c r="J17" s="131" t="s">
        <v>11</v>
      </c>
    </row>
    <row r="18" spans="1:10" ht="10.5" customHeight="1">
      <c r="A18" s="132">
        <v>3</v>
      </c>
      <c r="B18" s="133">
        <f>'Input Data'!B33</f>
        <v>-36.50892</v>
      </c>
      <c r="C18" s="133">
        <f>'Input Data'!C33</f>
        <v>139.52569</v>
      </c>
      <c r="D18" s="133">
        <f>'Input Data'!D33</f>
        <v>17.29591</v>
      </c>
      <c r="E18" s="134" t="s">
        <v>1</v>
      </c>
      <c r="F18" s="135">
        <f>C18*I$6-D18*I$5</f>
        <v>-139.5581230363458</v>
      </c>
      <c r="G18" s="135">
        <f>I$5*F20-I$6-F19</f>
        <v>37.484833412758974</v>
      </c>
      <c r="H18" s="135">
        <f>J$4*I$4</f>
        <v>0.013914019138221942</v>
      </c>
      <c r="I18" s="135">
        <f>G18+H18</f>
        <v>37.49874743189719</v>
      </c>
      <c r="J18" s="136">
        <f>B18-I18</f>
        <v>-74.0076674318972</v>
      </c>
    </row>
    <row r="19" spans="1:10" ht="10.5" customHeight="1" thickBot="1">
      <c r="A19" s="239"/>
      <c r="B19" s="240"/>
      <c r="C19" s="240"/>
      <c r="D19" s="241"/>
      <c r="E19" s="134" t="s">
        <v>2</v>
      </c>
      <c r="F19" s="135">
        <f>-(B18*I$6-I$4*D18)</f>
        <v>-36.485327086382746</v>
      </c>
      <c r="G19" s="135">
        <f>-(I$4*F20-I$6*F18)</f>
        <v>139.55809465803475</v>
      </c>
      <c r="H19" s="135">
        <f>J$4*I$5</f>
        <v>0.01943336951254644</v>
      </c>
      <c r="I19" s="135">
        <f>G19+H19</f>
        <v>139.5775280275473</v>
      </c>
      <c r="J19" s="137">
        <f>C18-I19</f>
        <v>-0.05183802754729072</v>
      </c>
    </row>
    <row r="20" spans="1:10" ht="10.5" customHeight="1" thickBot="1">
      <c r="A20" s="242"/>
      <c r="B20" s="243"/>
      <c r="C20" s="243"/>
      <c r="D20" s="244"/>
      <c r="E20" s="138" t="s">
        <v>3</v>
      </c>
      <c r="F20" s="139">
        <f>B18*I$5-I$4*C18</f>
        <v>-0.2587844571846294</v>
      </c>
      <c r="G20" s="139">
        <f>I$4*F19-I$5*F18</f>
        <v>0.21520285755600316</v>
      </c>
      <c r="H20" s="139">
        <f>J$4*I$6</f>
        <v>-10.243456143838653</v>
      </c>
      <c r="I20" s="140">
        <f>G20+H20</f>
        <v>-10.02825328628265</v>
      </c>
      <c r="J20" s="112">
        <f>IF('Input Data'!E33=TRUE,"",(D18-I20))</f>
        <v>27.324163286282648</v>
      </c>
    </row>
    <row r="21" spans="1:10" ht="10.5" customHeight="1">
      <c r="A21" s="141" t="s">
        <v>0</v>
      </c>
      <c r="B21" s="142" t="s">
        <v>16</v>
      </c>
      <c r="C21" s="142" t="s">
        <v>17</v>
      </c>
      <c r="D21" s="142" t="s">
        <v>18</v>
      </c>
      <c r="E21" s="143"/>
      <c r="F21" s="144" t="s">
        <v>7</v>
      </c>
      <c r="G21" s="144" t="s">
        <v>8</v>
      </c>
      <c r="H21" s="144" t="s">
        <v>9</v>
      </c>
      <c r="I21" s="144" t="s">
        <v>10</v>
      </c>
      <c r="J21" s="145" t="s">
        <v>11</v>
      </c>
    </row>
    <row r="22" spans="1:10" ht="10.5" customHeight="1">
      <c r="A22" s="146">
        <v>4</v>
      </c>
      <c r="B22" s="147">
        <f>'Input Data'!B34</f>
        <v>-14.97201</v>
      </c>
      <c r="C22" s="147">
        <f>'Input Data'!C34</f>
        <v>166.72316</v>
      </c>
      <c r="D22" s="147">
        <f>'Input Data'!D34</f>
        <v>0.42195</v>
      </c>
      <c r="E22" s="148" t="s">
        <v>1</v>
      </c>
      <c r="F22" s="149">
        <f>C22*I$6-D22*I$5</f>
        <v>-166.7235066611977</v>
      </c>
      <c r="G22" s="149">
        <f>I$5*F24-I$6-F23</f>
        <v>15.970909852392753</v>
      </c>
      <c r="H22" s="149">
        <f>J$4*I$4</f>
        <v>0.013914019138221942</v>
      </c>
      <c r="I22" s="149">
        <f>G22+H22</f>
        <v>15.984823871530974</v>
      </c>
      <c r="J22" s="150">
        <f>B22-I22</f>
        <v>-30.956833871530975</v>
      </c>
    </row>
    <row r="23" spans="1:10" ht="10.5" customHeight="1" thickBot="1">
      <c r="A23" s="239"/>
      <c r="B23" s="240"/>
      <c r="C23" s="240"/>
      <c r="D23" s="241"/>
      <c r="E23" s="148" t="s">
        <v>2</v>
      </c>
      <c r="F23" s="149">
        <f>-(B22*I$6-I$4*D22)</f>
        <v>-14.97139609770081</v>
      </c>
      <c r="G23" s="149">
        <f>-(I$4*F24-I$6*F22)</f>
        <v>166.7233990171305</v>
      </c>
      <c r="H23" s="149">
        <f>J$4*I$5</f>
        <v>0.01943336951254644</v>
      </c>
      <c r="I23" s="149">
        <f>G23+H23</f>
        <v>166.74283238664304</v>
      </c>
      <c r="J23" s="151">
        <f>C22-I23</f>
        <v>-0.0196723866430375</v>
      </c>
    </row>
    <row r="24" spans="1:10" ht="10.5" customHeight="1" thickBot="1">
      <c r="A24" s="242"/>
      <c r="B24" s="243"/>
      <c r="C24" s="243"/>
      <c r="D24" s="244"/>
      <c r="E24" s="152" t="s">
        <v>3</v>
      </c>
      <c r="F24" s="153">
        <f>B22*I$5-I$4*C22</f>
        <v>-0.25486893274112654</v>
      </c>
      <c r="G24" s="153">
        <f>I$4*F23-I$5*F22</f>
        <v>0.2959625076132117</v>
      </c>
      <c r="H24" s="153">
        <f>J$4*I$6</f>
        <v>-10.243456143838653</v>
      </c>
      <c r="I24" s="154">
        <f>G24+H24</f>
        <v>-9.947493636225442</v>
      </c>
      <c r="J24" s="112">
        <f>IF('Input Data'!E34=TRUE,"",(D22-I24))</f>
        <v>10.369443636225443</v>
      </c>
    </row>
    <row r="25" spans="1:10" ht="10.5" customHeight="1">
      <c r="A25" s="155" t="s">
        <v>0</v>
      </c>
      <c r="B25" s="156" t="s">
        <v>16</v>
      </c>
      <c r="C25" s="156" t="s">
        <v>17</v>
      </c>
      <c r="D25" s="156" t="s">
        <v>18</v>
      </c>
      <c r="E25" s="157"/>
      <c r="F25" s="158" t="s">
        <v>7</v>
      </c>
      <c r="G25" s="158" t="s">
        <v>8</v>
      </c>
      <c r="H25" s="158" t="s">
        <v>9</v>
      </c>
      <c r="I25" s="158" t="s">
        <v>10</v>
      </c>
      <c r="J25" s="159" t="s">
        <v>11</v>
      </c>
    </row>
    <row r="26" spans="1:10" ht="10.5" customHeight="1">
      <c r="A26" s="160">
        <v>5</v>
      </c>
      <c r="B26" s="161">
        <f>'Input Data'!B35</f>
        <v>5.5563</v>
      </c>
      <c r="C26" s="161">
        <f>'Input Data'!C35</f>
        <v>163.48176</v>
      </c>
      <c r="D26" s="161">
        <f>'Input Data'!D35</f>
        <v>18.56809</v>
      </c>
      <c r="E26" s="162" t="s">
        <v>1</v>
      </c>
      <c r="F26" s="163">
        <f>C26*I$6-D26*I$5</f>
        <v>-163.51654133457276</v>
      </c>
      <c r="G26" s="163">
        <f>I$5*F28-I$6-F27</f>
        <v>-4.5819104539066755</v>
      </c>
      <c r="H26" s="163">
        <f>J$4*I$4</f>
        <v>0.013914019138221942</v>
      </c>
      <c r="I26" s="163">
        <f>G26+H26</f>
        <v>-4.567996434768453</v>
      </c>
      <c r="J26" s="164">
        <f>B26-I26</f>
        <v>10.124296434768453</v>
      </c>
    </row>
    <row r="27" spans="1:10" ht="10.5" customHeight="1" thickBot="1">
      <c r="A27" s="239"/>
      <c r="B27" s="240"/>
      <c r="C27" s="240"/>
      <c r="D27" s="241"/>
      <c r="E27" s="162" t="s">
        <v>2</v>
      </c>
      <c r="F27" s="163">
        <f>-(B26*I$6-I$4*D26)</f>
        <v>5.581506446128163</v>
      </c>
      <c r="G27" s="163">
        <f>-(I$4*F28-I$6*F26)</f>
        <v>163.51638353930676</v>
      </c>
      <c r="H27" s="163">
        <f>J$4*I$5</f>
        <v>0.01943336951254644</v>
      </c>
      <c r="I27" s="163">
        <f>G27+H27</f>
        <v>163.5358169088193</v>
      </c>
      <c r="J27" s="165">
        <f>C26-I27</f>
        <v>-0.05405690881929104</v>
      </c>
    </row>
    <row r="28" spans="1:10" ht="10.5" customHeight="1" thickBot="1">
      <c r="A28" s="242"/>
      <c r="B28" s="243"/>
      <c r="C28" s="243"/>
      <c r="D28" s="244"/>
      <c r="E28" s="166" t="s">
        <v>3</v>
      </c>
      <c r="F28" s="167">
        <f>B26*I$5-I$4*C26</f>
        <v>-0.2115208751729844</v>
      </c>
      <c r="G28" s="167">
        <f>I$4*F27-I$5*F26</f>
        <v>0.31779602993130196</v>
      </c>
      <c r="H28" s="167">
        <f>J$4*I$6</f>
        <v>-10.243456143838653</v>
      </c>
      <c r="I28" s="168">
        <f>G28+H28</f>
        <v>-9.925660113907352</v>
      </c>
      <c r="J28" s="112">
        <f>IF('Input Data'!E35=TRUE,"",(D26-I28))</f>
        <v>28.493750113907353</v>
      </c>
    </row>
    <row r="29" spans="1:10" ht="10.5" customHeight="1">
      <c r="A29" s="169" t="s">
        <v>0</v>
      </c>
      <c r="B29" s="170" t="s">
        <v>16</v>
      </c>
      <c r="C29" s="170" t="s">
        <v>17</v>
      </c>
      <c r="D29" s="170" t="s">
        <v>18</v>
      </c>
      <c r="E29" s="171"/>
      <c r="F29" s="172" t="s">
        <v>7</v>
      </c>
      <c r="G29" s="172" t="s">
        <v>8</v>
      </c>
      <c r="H29" s="172" t="s">
        <v>9</v>
      </c>
      <c r="I29" s="172" t="s">
        <v>10</v>
      </c>
      <c r="J29" s="173" t="s">
        <v>11</v>
      </c>
    </row>
    <row r="30" spans="1:10" ht="10.5" customHeight="1">
      <c r="A30" s="174">
        <v>6</v>
      </c>
      <c r="B30" s="175">
        <f>'Input Data'!B36</f>
        <v>7.70942</v>
      </c>
      <c r="C30" s="175">
        <f>'Input Data'!C36</f>
        <v>171.11367</v>
      </c>
      <c r="D30" s="175">
        <f>'Input Data'!D36</f>
        <v>-6.62997</v>
      </c>
      <c r="E30" s="176" t="s">
        <v>1</v>
      </c>
      <c r="F30" s="177">
        <f>C30*I$6-D30*I$5</f>
        <v>-171.1006261984117</v>
      </c>
      <c r="G30" s="177">
        <f>I$5*F32-I$6-F31</f>
        <v>-6.7008092604387315</v>
      </c>
      <c r="H30" s="177">
        <f>J$4*I$4</f>
        <v>0.013914019138221942</v>
      </c>
      <c r="I30" s="177">
        <f>G30+H30</f>
        <v>-6.686895241300509</v>
      </c>
      <c r="J30" s="178">
        <f>B30-I30</f>
        <v>14.39631524130051</v>
      </c>
    </row>
    <row r="31" spans="1:10" ht="10.5" customHeight="1" thickBot="1">
      <c r="A31" s="239"/>
      <c r="B31" s="240"/>
      <c r="C31" s="240"/>
      <c r="D31" s="241"/>
      <c r="E31" s="176" t="s">
        <v>2</v>
      </c>
      <c r="F31" s="177">
        <f>-(B30*I$6-I$4*D30)</f>
        <v>7.700393335057942</v>
      </c>
      <c r="G31" s="177">
        <f>-(I$4*F32-I$6*F30)</f>
        <v>171.10045629126125</v>
      </c>
      <c r="H31" s="177">
        <f>J$4*I$5</f>
        <v>0.01943336951254644</v>
      </c>
      <c r="I31" s="177">
        <f>G31+H31</f>
        <v>171.1198896607738</v>
      </c>
      <c r="J31" s="179">
        <f>C30-I31</f>
        <v>-0.006219660773780333</v>
      </c>
    </row>
    <row r="32" spans="1:10" ht="10.5" customHeight="1" thickBot="1">
      <c r="A32" s="242"/>
      <c r="B32" s="243"/>
      <c r="C32" s="243"/>
      <c r="D32" s="244"/>
      <c r="E32" s="180" t="s">
        <v>3</v>
      </c>
      <c r="F32" s="181">
        <f>B30*I$5-I$4*C30</f>
        <v>-0.21780273836153302</v>
      </c>
      <c r="G32" s="181">
        <f>I$4*F31-I$5*F30</f>
        <v>0.335062279951203</v>
      </c>
      <c r="H32" s="181">
        <f>J$4*I$6</f>
        <v>-10.243456143838653</v>
      </c>
      <c r="I32" s="182">
        <f>G32+H32</f>
        <v>-9.90839386388745</v>
      </c>
      <c r="J32" s="112">
        <f>IF('Input Data'!E36=TRUE,"",(D30-I32))</f>
        <v>3.2784238638874506</v>
      </c>
    </row>
    <row r="33" spans="1:10" ht="10.5" customHeight="1">
      <c r="A33" s="183" t="s">
        <v>0</v>
      </c>
      <c r="B33" s="184" t="s">
        <v>16</v>
      </c>
      <c r="C33" s="184" t="s">
        <v>17</v>
      </c>
      <c r="D33" s="184" t="s">
        <v>18</v>
      </c>
      <c r="E33" s="185"/>
      <c r="F33" s="186" t="s">
        <v>7</v>
      </c>
      <c r="G33" s="186" t="s">
        <v>8</v>
      </c>
      <c r="H33" s="186" t="s">
        <v>9</v>
      </c>
      <c r="I33" s="186" t="s">
        <v>10</v>
      </c>
      <c r="J33" s="187" t="s">
        <v>11</v>
      </c>
    </row>
    <row r="34" spans="1:10" ht="10.5" customHeight="1">
      <c r="A34" s="188">
        <v>7</v>
      </c>
      <c r="B34" s="189">
        <f>'Input Data'!B37</f>
        <v>33.12611</v>
      </c>
      <c r="C34" s="189">
        <f>'Input Data'!C37</f>
        <v>162.09762</v>
      </c>
      <c r="D34" s="189">
        <f>'Input Data'!D37</f>
        <v>0.20722</v>
      </c>
      <c r="E34" s="190" t="s">
        <v>1</v>
      </c>
      <c r="F34" s="191">
        <f>C34*I$6-D34*I$5</f>
        <v>-162.09757187858932</v>
      </c>
      <c r="G34" s="191">
        <f>I$5*F36-I$6-F35</f>
        <v>-32.12660251278607</v>
      </c>
      <c r="H34" s="191">
        <f>J$4*I$4</f>
        <v>0.013914019138221942</v>
      </c>
      <c r="I34" s="191">
        <f>G34+H34</f>
        <v>-32.11268849364785</v>
      </c>
      <c r="J34" s="192">
        <f>B34-I34</f>
        <v>65.23879849364785</v>
      </c>
    </row>
    <row r="35" spans="1:10" ht="10.5" customHeight="1" thickBot="1">
      <c r="A35" s="239"/>
      <c r="B35" s="240"/>
      <c r="C35" s="240"/>
      <c r="D35" s="241"/>
      <c r="E35" s="190" t="s">
        <v>2</v>
      </c>
      <c r="F35" s="191">
        <f>-(B34*I$6-I$4*D34)</f>
        <v>33.12630129994454</v>
      </c>
      <c r="G35" s="191">
        <f>-(I$4*F36-I$6*F34)</f>
        <v>162.097344346187</v>
      </c>
      <c r="H35" s="191">
        <f>J$4*I$5</f>
        <v>0.01943336951254644</v>
      </c>
      <c r="I35" s="191">
        <f>G35+H35</f>
        <v>162.11677771569953</v>
      </c>
      <c r="J35" s="193">
        <f>C34-I35</f>
        <v>-0.01915771569952085</v>
      </c>
    </row>
    <row r="36" spans="1:10" ht="10.5" customHeight="1" thickBot="1">
      <c r="A36" s="242"/>
      <c r="B36" s="243"/>
      <c r="C36" s="243"/>
      <c r="D36" s="244"/>
      <c r="E36" s="194" t="s">
        <v>3</v>
      </c>
      <c r="F36" s="195">
        <f>B34*I$5-I$4*C34</f>
        <v>-0.1573368442253385</v>
      </c>
      <c r="G36" s="195">
        <f>I$4*F35-I$5*F34</f>
        <v>0.352518927338679</v>
      </c>
      <c r="H36" s="195">
        <f>J$4*I$6</f>
        <v>-10.243456143838653</v>
      </c>
      <c r="I36" s="196">
        <f>G36+H36</f>
        <v>-9.890937216499974</v>
      </c>
      <c r="J36" s="112">
        <f>IF('Input Data'!E37=TRUE,"",(D34-I36))</f>
        <v>10.098157216499974</v>
      </c>
    </row>
    <row r="37" spans="1:10" ht="10.5" customHeight="1">
      <c r="A37" s="197" t="s">
        <v>0</v>
      </c>
      <c r="B37" s="198" t="s">
        <v>16</v>
      </c>
      <c r="C37" s="198" t="s">
        <v>17</v>
      </c>
      <c r="D37" s="198" t="s">
        <v>18</v>
      </c>
      <c r="E37" s="199"/>
      <c r="F37" s="200" t="s">
        <v>7</v>
      </c>
      <c r="G37" s="200" t="s">
        <v>8</v>
      </c>
      <c r="H37" s="200" t="s">
        <v>9</v>
      </c>
      <c r="I37" s="200" t="s">
        <v>10</v>
      </c>
      <c r="J37" s="201" t="s">
        <v>11</v>
      </c>
    </row>
    <row r="38" spans="1:10" ht="10.5" customHeight="1">
      <c r="A38" s="202">
        <v>8</v>
      </c>
      <c r="B38" s="203">
        <f>'Input Data'!B38</f>
        <v>0</v>
      </c>
      <c r="C38" s="203">
        <f>'Input Data'!C38</f>
        <v>0</v>
      </c>
      <c r="D38" s="203">
        <f>'Input Data'!D38</f>
        <v>0</v>
      </c>
      <c r="E38" s="204" t="s">
        <v>1</v>
      </c>
      <c r="F38" s="205">
        <f>C38*I$6-D38*I$5</f>
        <v>0</v>
      </c>
      <c r="G38" s="205">
        <f>I$5*F40-I$6-F39</f>
        <v>0.9999972778891103</v>
      </c>
      <c r="H38" s="205">
        <f>J$4*I$4</f>
        <v>0.013914019138221942</v>
      </c>
      <c r="I38" s="205">
        <f>G38+H38</f>
        <v>1.0139112970273323</v>
      </c>
      <c r="J38" s="206">
        <f>B38-I38</f>
        <v>-1.0139112970273323</v>
      </c>
    </row>
    <row r="39" spans="1:10" ht="10.5" customHeight="1" thickBot="1">
      <c r="A39" s="239"/>
      <c r="B39" s="240"/>
      <c r="C39" s="240"/>
      <c r="D39" s="241"/>
      <c r="E39" s="204" t="s">
        <v>2</v>
      </c>
      <c r="F39" s="205">
        <f>-(B38*I$6-I$4*D38)</f>
        <v>0</v>
      </c>
      <c r="G39" s="205">
        <f>-(I$4*F40-I$6*F38)</f>
        <v>0</v>
      </c>
      <c r="H39" s="205">
        <f>J$4*I$5</f>
        <v>0.01943336951254644</v>
      </c>
      <c r="I39" s="205">
        <f>G39+H39</f>
        <v>0.01943336951254644</v>
      </c>
      <c r="J39" s="207">
        <f>C38-I39</f>
        <v>-0.01943336951254644</v>
      </c>
    </row>
    <row r="40" spans="1:10" ht="10.5" customHeight="1" thickBot="1">
      <c r="A40" s="242"/>
      <c r="B40" s="243"/>
      <c r="C40" s="243"/>
      <c r="D40" s="244"/>
      <c r="E40" s="208" t="s">
        <v>3</v>
      </c>
      <c r="F40" s="209">
        <f>B38*I$5-I$4*C38</f>
        <v>0</v>
      </c>
      <c r="G40" s="209">
        <f>I$4*F39-I$5*F38</f>
        <v>0</v>
      </c>
      <c r="H40" s="209">
        <f>J$4*I$6</f>
        <v>-10.243456143838653</v>
      </c>
      <c r="I40" s="210">
        <f>G40+H40</f>
        <v>-10.243456143838653</v>
      </c>
      <c r="J40" s="112">
        <f>IF('Input Data'!E38=TRUE,"",(D38-I40))</f>
      </c>
    </row>
    <row r="41" spans="1:10" ht="10.5" customHeight="1">
      <c r="A41" s="211" t="s">
        <v>0</v>
      </c>
      <c r="B41" s="212" t="s">
        <v>16</v>
      </c>
      <c r="C41" s="212" t="s">
        <v>17</v>
      </c>
      <c r="D41" s="212" t="s">
        <v>18</v>
      </c>
      <c r="E41" s="213"/>
      <c r="F41" s="214" t="s">
        <v>7</v>
      </c>
      <c r="G41" s="214" t="s">
        <v>8</v>
      </c>
      <c r="H41" s="214" t="s">
        <v>9</v>
      </c>
      <c r="I41" s="214" t="s">
        <v>10</v>
      </c>
      <c r="J41" s="215" t="s">
        <v>11</v>
      </c>
    </row>
    <row r="42" spans="1:10" ht="10.5" customHeight="1">
      <c r="A42" s="216">
        <v>9</v>
      </c>
      <c r="B42" s="217">
        <f>'Input Data'!B39</f>
        <v>46.20262</v>
      </c>
      <c r="C42" s="217">
        <f>'Input Data'!C39</f>
        <v>116.45591</v>
      </c>
      <c r="D42" s="217">
        <f>'Input Data'!D39</f>
        <v>-4.76636</v>
      </c>
      <c r="E42" s="218" t="s">
        <v>1</v>
      </c>
      <c r="F42" s="219">
        <f>C42*I$6-D42*I$5</f>
        <v>-116.44655052038041</v>
      </c>
      <c r="G42" s="219">
        <f>I$5*F44-I$6-F43</f>
        <v>-45.196156479596034</v>
      </c>
      <c r="H42" s="219">
        <f>J$4*I$4</f>
        <v>0.013914019138221942</v>
      </c>
      <c r="I42" s="219">
        <f>G42+H42</f>
        <v>-45.182242460457815</v>
      </c>
      <c r="J42" s="220">
        <f>B42-I42</f>
        <v>91.38486246045781</v>
      </c>
    </row>
    <row r="43" spans="1:10" ht="10.5" customHeight="1" thickBot="1">
      <c r="A43" s="239"/>
      <c r="B43" s="240"/>
      <c r="C43" s="240"/>
      <c r="D43" s="241"/>
      <c r="E43" s="218" t="s">
        <v>2</v>
      </c>
      <c r="F43" s="219">
        <f>-(B42*I$6-I$4*D42)</f>
        <v>46.19601994739236</v>
      </c>
      <c r="G43" s="219">
        <f>-(I$4*F44-I$6*F42)</f>
        <v>116.44632934610087</v>
      </c>
      <c r="H43" s="219">
        <f>J$4*I$5</f>
        <v>0.01943336951254644</v>
      </c>
      <c r="I43" s="219">
        <f>G43+H43</f>
        <v>116.46576271561341</v>
      </c>
      <c r="J43" s="221">
        <f>C42-I43</f>
        <v>-0.009852715613405394</v>
      </c>
    </row>
    <row r="44" spans="1:10" ht="10.5" customHeight="1" thickBot="1">
      <c r="A44" s="242"/>
      <c r="B44" s="243"/>
      <c r="C44" s="243"/>
      <c r="D44" s="244"/>
      <c r="E44" s="222" t="s">
        <v>3</v>
      </c>
      <c r="F44" s="223">
        <f>B42*I$5-I$4*C42</f>
        <v>-0.07053236688170272</v>
      </c>
      <c r="G44" s="223">
        <f>I$4*F43-I$5*F42</f>
        <v>0.2836653176315138</v>
      </c>
      <c r="H44" s="223">
        <f>J$4*I$6</f>
        <v>-10.243456143838653</v>
      </c>
      <c r="I44" s="224">
        <f>G44+H44</f>
        <v>-9.95979082620714</v>
      </c>
      <c r="J44" s="112">
        <f>IF('Input Data'!E39=TRUE,"",(D42-I44))</f>
        <v>5.19343082620714</v>
      </c>
    </row>
    <row r="45" spans="1:10" ht="10.5" customHeight="1">
      <c r="A45" s="225" t="s">
        <v>0</v>
      </c>
      <c r="B45" s="226" t="s">
        <v>16</v>
      </c>
      <c r="C45" s="226" t="s">
        <v>17</v>
      </c>
      <c r="D45" s="226" t="s">
        <v>18</v>
      </c>
      <c r="E45" s="227"/>
      <c r="F45" s="228" t="s">
        <v>7</v>
      </c>
      <c r="G45" s="228" t="s">
        <v>8</v>
      </c>
      <c r="H45" s="228" t="s">
        <v>9</v>
      </c>
      <c r="I45" s="228" t="s">
        <v>10</v>
      </c>
      <c r="J45" s="229" t="s">
        <v>11</v>
      </c>
    </row>
    <row r="46" spans="1:10" ht="10.5" customHeight="1">
      <c r="A46" s="230">
        <v>10</v>
      </c>
      <c r="B46" s="231">
        <f>'Input Data'!B40</f>
        <v>11.26173</v>
      </c>
      <c r="C46" s="231">
        <f>'Input Data'!C40</f>
        <v>107.19729</v>
      </c>
      <c r="D46" s="231">
        <f>'Input Data'!D40</f>
        <v>0.66777</v>
      </c>
      <c r="E46" s="232" t="s">
        <v>1</v>
      </c>
      <c r="F46" s="233">
        <f>C46*I$6-D46*I$5</f>
        <v>-107.19826505328068</v>
      </c>
      <c r="G46" s="233">
        <f>I$5*F48-I$6-F47</f>
        <v>-10.262844826529367</v>
      </c>
      <c r="H46" s="233">
        <f>J$4*I$4</f>
        <v>0.013914019138221942</v>
      </c>
      <c r="I46" s="233">
        <f>G46+H46</f>
        <v>-10.248930807391146</v>
      </c>
      <c r="J46" s="234">
        <f>B46-I46</f>
        <v>21.510660807391147</v>
      </c>
    </row>
    <row r="47" spans="1:10" ht="10.5" customHeight="1" thickBot="1">
      <c r="A47" s="239"/>
      <c r="B47" s="240"/>
      <c r="C47" s="240"/>
      <c r="D47" s="241"/>
      <c r="E47" s="232" t="s">
        <v>2</v>
      </c>
      <c r="F47" s="233">
        <f>-(B46*I$6-I$4*D46)</f>
        <v>11.262606395529978</v>
      </c>
      <c r="G47" s="233">
        <f>-(I$4*F48-I$6*F46)</f>
        <v>107.1981420119637</v>
      </c>
      <c r="H47" s="233">
        <f>J$4*I$5</f>
        <v>0.01943336951254644</v>
      </c>
      <c r="I47" s="233">
        <f>G47+H47</f>
        <v>107.21757538147624</v>
      </c>
      <c r="J47" s="235">
        <f>C46-I47</f>
        <v>-0.020285381476242037</v>
      </c>
    </row>
    <row r="48" spans="1:10" ht="10.5" customHeight="1" thickBot="1">
      <c r="A48" s="242"/>
      <c r="B48" s="243"/>
      <c r="C48" s="243"/>
      <c r="D48" s="244"/>
      <c r="E48" s="236" t="s">
        <v>3</v>
      </c>
      <c r="F48" s="237">
        <f>B46*I$5-I$4*C46</f>
        <v>-0.12424403462129757</v>
      </c>
      <c r="G48" s="237">
        <f>I$4*F47-I$5*F46</f>
        <v>0.21866892267831017</v>
      </c>
      <c r="H48" s="237">
        <f>J$4*I$6</f>
        <v>-10.243456143838653</v>
      </c>
      <c r="I48" s="238">
        <f>G48+H48</f>
        <v>-10.024787221160343</v>
      </c>
      <c r="J48" s="112">
        <f>IF('Input Data'!E40=TRUE,"",(D46-I48))</f>
        <v>10.692557221160342</v>
      </c>
    </row>
    <row r="49" spans="1:10" ht="10.5" customHeight="1">
      <c r="A49" s="255" t="s">
        <v>0</v>
      </c>
      <c r="B49" s="256" t="s">
        <v>16</v>
      </c>
      <c r="C49" s="256" t="s">
        <v>17</v>
      </c>
      <c r="D49" s="256" t="s">
        <v>18</v>
      </c>
      <c r="E49" s="245"/>
      <c r="F49" s="246" t="s">
        <v>7</v>
      </c>
      <c r="G49" s="246" t="s">
        <v>8</v>
      </c>
      <c r="H49" s="246" t="s">
        <v>9</v>
      </c>
      <c r="I49" s="246" t="s">
        <v>10</v>
      </c>
      <c r="J49" s="247" t="s">
        <v>11</v>
      </c>
    </row>
    <row r="50" spans="1:12" ht="10.5" customHeight="1">
      <c r="A50" s="257">
        <v>11</v>
      </c>
      <c r="B50" s="258">
        <f>'Input Data'!B41</f>
        <v>0</v>
      </c>
      <c r="C50" s="258">
        <f>'Input Data'!C41</f>
        <v>0</v>
      </c>
      <c r="D50" s="258">
        <f>'Input Data'!D41</f>
        <v>0</v>
      </c>
      <c r="E50" s="248" t="s">
        <v>1</v>
      </c>
      <c r="F50" s="249">
        <f>C50*I$6-D50*I$5</f>
        <v>0</v>
      </c>
      <c r="G50" s="249">
        <f>I$5*F52-I$6-F51</f>
        <v>0.9999972778891103</v>
      </c>
      <c r="H50" s="249">
        <f>J$4*I$4</f>
        <v>0.013914019138221942</v>
      </c>
      <c r="I50" s="249">
        <f>G50+H50</f>
        <v>1.0139112970273323</v>
      </c>
      <c r="J50" s="250">
        <f>B50-I50</f>
        <v>-1.0139112970273323</v>
      </c>
      <c r="L50" s="14"/>
    </row>
    <row r="51" spans="1:10" ht="10.5" customHeight="1" thickBot="1">
      <c r="A51" s="239"/>
      <c r="B51" s="240"/>
      <c r="C51" s="240"/>
      <c r="D51" s="241"/>
      <c r="E51" s="248" t="s">
        <v>2</v>
      </c>
      <c r="F51" s="249">
        <f>-(B50*I$6-I$4*D50)</f>
        <v>0</v>
      </c>
      <c r="G51" s="249">
        <f>-(I$4*F52-I$6*F50)</f>
        <v>0</v>
      </c>
      <c r="H51" s="249">
        <f>J$4*I$5</f>
        <v>0.01943336951254644</v>
      </c>
      <c r="I51" s="249">
        <f>G51+H51</f>
        <v>0.01943336951254644</v>
      </c>
      <c r="J51" s="251">
        <f>C50-I51</f>
        <v>-0.01943336951254644</v>
      </c>
    </row>
    <row r="52" spans="1:10" ht="10.5" customHeight="1" thickBot="1">
      <c r="A52" s="242"/>
      <c r="B52" s="243"/>
      <c r="C52" s="243"/>
      <c r="D52" s="244"/>
      <c r="E52" s="252" t="s">
        <v>3</v>
      </c>
      <c r="F52" s="253">
        <f>B50*I$5-I$4*C50</f>
        <v>0</v>
      </c>
      <c r="G52" s="253">
        <f>I$4*F51-I$5*F50</f>
        <v>0</v>
      </c>
      <c r="H52" s="253">
        <f>J$4*I$6</f>
        <v>-10.243456143838653</v>
      </c>
      <c r="I52" s="254">
        <f>G52+H52</f>
        <v>-10.243456143838653</v>
      </c>
      <c r="J52" s="112">
        <f>IF('Input Data'!E41=TRUE,"",(D50-I52))</f>
      </c>
    </row>
    <row r="53" spans="1:10" ht="10.5" customHeight="1">
      <c r="A53" s="259" t="s">
        <v>0</v>
      </c>
      <c r="B53" s="260" t="s">
        <v>16</v>
      </c>
      <c r="C53" s="260" t="s">
        <v>17</v>
      </c>
      <c r="D53" s="260" t="s">
        <v>18</v>
      </c>
      <c r="E53" s="261"/>
      <c r="F53" s="262" t="s">
        <v>7</v>
      </c>
      <c r="G53" s="262" t="s">
        <v>8</v>
      </c>
      <c r="H53" s="262" t="s">
        <v>9</v>
      </c>
      <c r="I53" s="262" t="s">
        <v>10</v>
      </c>
      <c r="J53" s="263" t="s">
        <v>11</v>
      </c>
    </row>
    <row r="54" spans="1:10" ht="10.5" customHeight="1">
      <c r="A54" s="264">
        <v>12</v>
      </c>
      <c r="B54" s="265">
        <f>'Input Data'!B42</f>
        <v>0</v>
      </c>
      <c r="C54" s="265">
        <f>'Input Data'!C42</f>
        <v>0</v>
      </c>
      <c r="D54" s="265">
        <f>'Input Data'!D42</f>
        <v>0</v>
      </c>
      <c r="E54" s="266" t="s">
        <v>1</v>
      </c>
      <c r="F54" s="267">
        <f>C54*I$6-D54*I$5</f>
        <v>0</v>
      </c>
      <c r="G54" s="267">
        <f>I$5*F56-I$6-F55</f>
        <v>0.9999972778891103</v>
      </c>
      <c r="H54" s="267">
        <f>J$4*I$4</f>
        <v>0.013914019138221942</v>
      </c>
      <c r="I54" s="267">
        <f>G54+H54</f>
        <v>1.0139112970273323</v>
      </c>
      <c r="J54" s="268">
        <f>B54-I54</f>
        <v>-1.0139112970273323</v>
      </c>
    </row>
    <row r="55" spans="1:10" ht="10.5" customHeight="1" thickBot="1">
      <c r="A55" s="239"/>
      <c r="B55" s="240"/>
      <c r="C55" s="240"/>
      <c r="D55" s="241"/>
      <c r="E55" s="266" t="s">
        <v>2</v>
      </c>
      <c r="F55" s="267">
        <f>-(B54*I$6-I$4*D54)</f>
        <v>0</v>
      </c>
      <c r="G55" s="267">
        <f>-(I$4*F56-I$6*F54)</f>
        <v>0</v>
      </c>
      <c r="H55" s="267">
        <f>J$4*I$5</f>
        <v>0.01943336951254644</v>
      </c>
      <c r="I55" s="267">
        <f>G55+H55</f>
        <v>0.01943336951254644</v>
      </c>
      <c r="J55" s="269">
        <f>C54-I55</f>
        <v>-0.01943336951254644</v>
      </c>
    </row>
    <row r="56" spans="1:10" ht="10.5" customHeight="1" thickBot="1">
      <c r="A56" s="242"/>
      <c r="B56" s="243"/>
      <c r="C56" s="243"/>
      <c r="D56" s="244"/>
      <c r="E56" s="270" t="s">
        <v>3</v>
      </c>
      <c r="F56" s="271">
        <f>B54*I$5-I$4*C54</f>
        <v>0</v>
      </c>
      <c r="G56" s="271">
        <f>I$4*F55-I$5*F54</f>
        <v>0</v>
      </c>
      <c r="H56" s="271">
        <f>J$4*I$6</f>
        <v>-10.243456143838653</v>
      </c>
      <c r="I56" s="272">
        <f>G56+H56</f>
        <v>-10.243456143838653</v>
      </c>
      <c r="J56" s="112">
        <f>IF('Input Data'!E42=TRUE,"",(D54-I56))</f>
      </c>
    </row>
    <row r="57" spans="1:10" ht="10.5" customHeight="1">
      <c r="A57" s="283" t="s">
        <v>0</v>
      </c>
      <c r="B57" s="284" t="s">
        <v>16</v>
      </c>
      <c r="C57" s="284" t="s">
        <v>17</v>
      </c>
      <c r="D57" s="284" t="s">
        <v>18</v>
      </c>
      <c r="E57" s="273"/>
      <c r="F57" s="274" t="s">
        <v>7</v>
      </c>
      <c r="G57" s="274" t="s">
        <v>8</v>
      </c>
      <c r="H57" s="274" t="s">
        <v>9</v>
      </c>
      <c r="I57" s="274" t="s">
        <v>10</v>
      </c>
      <c r="J57" s="275" t="s">
        <v>11</v>
      </c>
    </row>
    <row r="58" spans="1:10" ht="10.5" customHeight="1">
      <c r="A58" s="285">
        <v>13</v>
      </c>
      <c r="B58" s="286">
        <f>'Input Data'!B43</f>
        <v>0</v>
      </c>
      <c r="C58" s="286">
        <f>'Input Data'!C43</f>
        <v>0</v>
      </c>
      <c r="D58" s="286">
        <f>'Input Data'!D43</f>
        <v>0</v>
      </c>
      <c r="E58" s="276" t="s">
        <v>1</v>
      </c>
      <c r="F58" s="277">
        <f>C58*I$6-D58*I$5</f>
        <v>0</v>
      </c>
      <c r="G58" s="277">
        <f>I$5*F60-I$6-F59</f>
        <v>0.9999972778891103</v>
      </c>
      <c r="H58" s="277">
        <f>J$4*I$4</f>
        <v>0.013914019138221942</v>
      </c>
      <c r="I58" s="277">
        <f>G58+H58</f>
        <v>1.0139112970273323</v>
      </c>
      <c r="J58" s="278">
        <f>B58-I58</f>
        <v>-1.0139112970273323</v>
      </c>
    </row>
    <row r="59" spans="1:10" ht="10.5" customHeight="1" thickBot="1">
      <c r="A59" s="239"/>
      <c r="B59" s="240"/>
      <c r="C59" s="240"/>
      <c r="D59" s="241"/>
      <c r="E59" s="276" t="s">
        <v>2</v>
      </c>
      <c r="F59" s="277">
        <f>-(B58*I$6-I$4*D58)</f>
        <v>0</v>
      </c>
      <c r="G59" s="277">
        <f>-(I$4*F60-I$6*F58)</f>
        <v>0</v>
      </c>
      <c r="H59" s="277">
        <f>J$4*I$5</f>
        <v>0.01943336951254644</v>
      </c>
      <c r="I59" s="277">
        <f>G59+H59</f>
        <v>0.01943336951254644</v>
      </c>
      <c r="J59" s="279">
        <f>C58-I59</f>
        <v>-0.01943336951254644</v>
      </c>
    </row>
    <row r="60" spans="1:10" ht="10.5" customHeight="1" thickBot="1">
      <c r="A60" s="242"/>
      <c r="B60" s="243"/>
      <c r="C60" s="243"/>
      <c r="D60" s="244"/>
      <c r="E60" s="280" t="s">
        <v>3</v>
      </c>
      <c r="F60" s="281">
        <f>B58*I$5-I$4*C58</f>
        <v>0</v>
      </c>
      <c r="G60" s="281">
        <f>I$4*F59-I$5*F58</f>
        <v>0</v>
      </c>
      <c r="H60" s="281">
        <f>J$4*I$6</f>
        <v>-10.243456143838653</v>
      </c>
      <c r="I60" s="282">
        <f>G60+H60</f>
        <v>-10.243456143838653</v>
      </c>
      <c r="J60" s="112">
        <f>IF('Input Data'!E43=TRUE,"",(D58-I60))</f>
      </c>
    </row>
    <row r="61" spans="1:10" ht="10.5" customHeight="1">
      <c r="A61" s="297" t="s">
        <v>0</v>
      </c>
      <c r="B61" s="298" t="s">
        <v>16</v>
      </c>
      <c r="C61" s="298" t="s">
        <v>17</v>
      </c>
      <c r="D61" s="298" t="s">
        <v>18</v>
      </c>
      <c r="E61" s="287"/>
      <c r="F61" s="288" t="s">
        <v>7</v>
      </c>
      <c r="G61" s="288" t="s">
        <v>8</v>
      </c>
      <c r="H61" s="288" t="s">
        <v>9</v>
      </c>
      <c r="I61" s="288" t="s">
        <v>10</v>
      </c>
      <c r="J61" s="289" t="s">
        <v>11</v>
      </c>
    </row>
    <row r="62" spans="1:10" ht="10.5" customHeight="1">
      <c r="A62" s="299">
        <v>14</v>
      </c>
      <c r="B62" s="300">
        <f>'Input Data'!B44</f>
        <v>0</v>
      </c>
      <c r="C62" s="300">
        <f>'Input Data'!C44</f>
        <v>0</v>
      </c>
      <c r="D62" s="300">
        <f>'Input Data'!D44</f>
        <v>0</v>
      </c>
      <c r="E62" s="290" t="s">
        <v>1</v>
      </c>
      <c r="F62" s="291">
        <f>C62*I$6-D62*I$5</f>
        <v>0</v>
      </c>
      <c r="G62" s="291">
        <f>I$5*F64-I$6-F63</f>
        <v>0.9999972778891103</v>
      </c>
      <c r="H62" s="291">
        <f>J$4*I$4</f>
        <v>0.013914019138221942</v>
      </c>
      <c r="I62" s="291">
        <f>G62+H62</f>
        <v>1.0139112970273323</v>
      </c>
      <c r="J62" s="292">
        <f>B62-I62</f>
        <v>-1.0139112970273323</v>
      </c>
    </row>
    <row r="63" spans="1:10" ht="10.5" customHeight="1" thickBot="1">
      <c r="A63" s="239"/>
      <c r="B63" s="240"/>
      <c r="C63" s="240"/>
      <c r="D63" s="241"/>
      <c r="E63" s="290" t="s">
        <v>2</v>
      </c>
      <c r="F63" s="291">
        <f>-(B62*I$6-I$4*D62)</f>
        <v>0</v>
      </c>
      <c r="G63" s="291">
        <f>-(I$4*F64-I$6*F62)</f>
        <v>0</v>
      </c>
      <c r="H63" s="291">
        <f>J$4*I$5</f>
        <v>0.01943336951254644</v>
      </c>
      <c r="I63" s="291">
        <f>G63+H63</f>
        <v>0.01943336951254644</v>
      </c>
      <c r="J63" s="293">
        <f>C62-I63</f>
        <v>-0.01943336951254644</v>
      </c>
    </row>
    <row r="64" spans="1:10" ht="10.5" customHeight="1" thickBot="1">
      <c r="A64" s="242"/>
      <c r="B64" s="243"/>
      <c r="C64" s="243"/>
      <c r="D64" s="244"/>
      <c r="E64" s="294" t="s">
        <v>3</v>
      </c>
      <c r="F64" s="295">
        <f>B62*I$5-I$4*C62</f>
        <v>0</v>
      </c>
      <c r="G64" s="295">
        <f>I$4*F63-I$5*F62</f>
        <v>0</v>
      </c>
      <c r="H64" s="295">
        <f>J$4*I$6</f>
        <v>-10.243456143838653</v>
      </c>
      <c r="I64" s="296">
        <f>G64+H64</f>
        <v>-10.243456143838653</v>
      </c>
      <c r="J64" s="112">
        <f>IF('Input Data'!E44=TRUE,"",(D62-I64))</f>
      </c>
    </row>
    <row r="65" spans="1:10" ht="10.5" customHeight="1">
      <c r="A65" s="308" t="s">
        <v>0</v>
      </c>
      <c r="B65" s="309" t="s">
        <v>16</v>
      </c>
      <c r="C65" s="309" t="s">
        <v>17</v>
      </c>
      <c r="D65" s="316" t="s">
        <v>18</v>
      </c>
      <c r="E65" s="315"/>
      <c r="F65" s="301" t="s">
        <v>7</v>
      </c>
      <c r="G65" s="301" t="s">
        <v>8</v>
      </c>
      <c r="H65" s="301" t="s">
        <v>9</v>
      </c>
      <c r="I65" s="301" t="s">
        <v>10</v>
      </c>
      <c r="J65" s="302" t="s">
        <v>11</v>
      </c>
    </row>
    <row r="66" spans="1:10" ht="10.5" customHeight="1" thickBot="1">
      <c r="A66" s="317">
        <v>15</v>
      </c>
      <c r="B66" s="318">
        <f>'Input Data'!B45</f>
        <v>0</v>
      </c>
      <c r="C66" s="318">
        <f>'Input Data'!C45</f>
        <v>0</v>
      </c>
      <c r="D66" s="319">
        <f>'Input Data'!D45</f>
        <v>0</v>
      </c>
      <c r="E66" s="310" t="s">
        <v>1</v>
      </c>
      <c r="F66" s="303">
        <f>C66*I$6-D66*I$5</f>
        <v>0</v>
      </c>
      <c r="G66" s="303">
        <f>I$5*F68-I$6-F67</f>
        <v>0.9999972778891103</v>
      </c>
      <c r="H66" s="303">
        <f>J$4*I$4</f>
        <v>0.013914019138221942</v>
      </c>
      <c r="I66" s="303">
        <f>G66+H66</f>
        <v>1.0139112970273323</v>
      </c>
      <c r="J66" s="304">
        <f>B66-I66</f>
        <v>-1.0139112970273323</v>
      </c>
    </row>
    <row r="67" spans="1:10" ht="10.5" customHeight="1" thickBot="1">
      <c r="A67" s="312"/>
      <c r="B67" s="313"/>
      <c r="C67" s="313"/>
      <c r="D67" s="313"/>
      <c r="E67" s="310" t="s">
        <v>2</v>
      </c>
      <c r="F67" s="303">
        <f>-(B66*I$6-I$4*D66)</f>
        <v>0</v>
      </c>
      <c r="G67" s="303">
        <f>-(I$4*F68-I$6*F66)</f>
        <v>0</v>
      </c>
      <c r="H67" s="303">
        <f>J$4*I$5</f>
        <v>0.01943336951254644</v>
      </c>
      <c r="I67" s="303">
        <f>G67+H67</f>
        <v>0.01943336951254644</v>
      </c>
      <c r="J67" s="305">
        <f>C66-I67</f>
        <v>-0.01943336951254644</v>
      </c>
    </row>
    <row r="68" spans="1:10" ht="10.5" customHeight="1" thickBot="1">
      <c r="A68" s="314"/>
      <c r="B68" s="313"/>
      <c r="C68" s="313"/>
      <c r="D68" s="313"/>
      <c r="E68" s="311" t="s">
        <v>3</v>
      </c>
      <c r="F68" s="306">
        <f>B66*I$5-I$4*C66</f>
        <v>0</v>
      </c>
      <c r="G68" s="306">
        <f>I$4*F67-I$5*F66</f>
        <v>0</v>
      </c>
      <c r="H68" s="306">
        <f>J$4*I$6</f>
        <v>-10.243456143838653</v>
      </c>
      <c r="I68" s="307">
        <f>G68+H68</f>
        <v>-10.243456143838653</v>
      </c>
      <c r="J68" s="112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0" customWidth="1"/>
    <col min="13" max="17" width="6.7109375" style="0" customWidth="1"/>
  </cols>
  <sheetData>
    <row r="1" spans="1:12" ht="13.5" thickBot="1">
      <c r="A1" s="45"/>
      <c r="B1" s="40" t="s">
        <v>19</v>
      </c>
      <c r="C1" s="40" t="s">
        <v>32</v>
      </c>
      <c r="D1" s="40" t="s">
        <v>25</v>
      </c>
      <c r="E1" s="40" t="s">
        <v>35</v>
      </c>
      <c r="F1" s="43" t="s">
        <v>26</v>
      </c>
      <c r="G1" s="58" t="s">
        <v>27</v>
      </c>
      <c r="H1" s="455" t="s">
        <v>87</v>
      </c>
      <c r="I1" s="456"/>
      <c r="J1" s="456"/>
      <c r="K1" s="456"/>
      <c r="L1" s="457"/>
    </row>
    <row r="2" spans="1:17" ht="13.5" thickBot="1">
      <c r="A2" s="46"/>
      <c r="B2" s="41" t="s">
        <v>29</v>
      </c>
      <c r="C2" s="41"/>
      <c r="D2" s="42"/>
      <c r="E2" s="42"/>
      <c r="F2" s="44"/>
      <c r="G2" s="59" t="s">
        <v>85</v>
      </c>
      <c r="H2" s="530">
        <v>5</v>
      </c>
      <c r="I2" s="531"/>
      <c r="J2" s="530">
        <v>4</v>
      </c>
      <c r="K2" s="531"/>
      <c r="L2" s="530">
        <v>3</v>
      </c>
      <c r="M2" s="531"/>
      <c r="N2" s="530">
        <v>2</v>
      </c>
      <c r="O2" s="531"/>
      <c r="P2" s="530" t="s">
        <v>92</v>
      </c>
      <c r="Q2" s="531"/>
    </row>
    <row r="3" spans="1:17" ht="13.5" thickBot="1">
      <c r="A3" s="492"/>
      <c r="B3" s="493"/>
      <c r="C3" s="493"/>
      <c r="D3" s="494"/>
      <c r="E3" s="494"/>
      <c r="F3" s="495"/>
      <c r="G3" s="496"/>
      <c r="H3" s="507" t="s">
        <v>90</v>
      </c>
      <c r="I3" s="507" t="s">
        <v>91</v>
      </c>
      <c r="J3" s="507" t="s">
        <v>90</v>
      </c>
      <c r="K3" s="507" t="s">
        <v>91</v>
      </c>
      <c r="L3" s="507" t="s">
        <v>90</v>
      </c>
      <c r="M3" s="507" t="s">
        <v>91</v>
      </c>
      <c r="N3" s="507" t="s">
        <v>90</v>
      </c>
      <c r="O3" s="507" t="s">
        <v>91</v>
      </c>
      <c r="P3" s="507" t="s">
        <v>90</v>
      </c>
      <c r="Q3" s="507" t="s">
        <v>91</v>
      </c>
    </row>
    <row r="4" spans="1:17" ht="13.5" thickBot="1">
      <c r="A4" s="39">
        <v>1</v>
      </c>
      <c r="B4" s="60">
        <f>offsets!J12</f>
        <v>1.8568359372325638</v>
      </c>
      <c r="C4" s="61">
        <f>IF('Input Data'!E31=TRUE,"",IF('Input Data'!N$23="G",'Input Data'!G5,IF('Input Data'!N$23="H",'Input Data'!H5)))</f>
        <v>1.5976006122047879</v>
      </c>
      <c r="D4" s="62">
        <f>IF('Input Data'!E31=TRUE,"",(B4-B$20))</f>
        <v>0</v>
      </c>
      <c r="E4" s="62">
        <f>IF('Input Data'!E31=TRUE,"",(C4-C$20))</f>
        <v>0</v>
      </c>
      <c r="F4" s="63">
        <f>IF('Input Data'!E31=TRUE,"",(E4-D4))</f>
        <v>0</v>
      </c>
      <c r="G4" s="460">
        <f>IF('Input Data'!E31=TRUE,"",(F4-F$20))</f>
        <v>5.284994557808176E-05</v>
      </c>
      <c r="H4" s="464"/>
      <c r="I4" s="464"/>
      <c r="J4" s="497"/>
      <c r="K4" s="465"/>
      <c r="L4" s="502"/>
      <c r="M4" s="503"/>
      <c r="N4" s="504" t="s">
        <v>96</v>
      </c>
      <c r="O4" s="506">
        <v>0</v>
      </c>
      <c r="P4" s="527">
        <v>0</v>
      </c>
      <c r="Q4" s="506">
        <v>0.001256475145031466</v>
      </c>
    </row>
    <row r="5" spans="1:17" ht="13.5" thickBot="1">
      <c r="A5" s="39">
        <v>2</v>
      </c>
      <c r="B5" s="64">
        <f>offsets!J16</f>
        <v>25.549799752867045</v>
      </c>
      <c r="C5" s="61">
        <f>IF('Input Data'!E32=TRUE,"",IF('Input Data'!N$23="G",'Input Data'!G6,IF('Input Data'!N$23="H",'Input Data'!H6)))</f>
        <v>25.294541665963</v>
      </c>
      <c r="D5" s="62">
        <f>IF('Input Data'!E32=TRUE,"",(B5-B$20))</f>
        <v>23.69296381563448</v>
      </c>
      <c r="E5" s="62">
        <f>IF('Input Data'!E32=TRUE,"",(C5-C$20))</f>
        <v>23.696941053758213</v>
      </c>
      <c r="F5" s="63">
        <f>IF('Input Data'!E32=TRUE,"",(E5-D5))</f>
        <v>0.003977238123731297</v>
      </c>
      <c r="G5" s="460">
        <f>IF('Input Data'!E32=TRUE,"",(F5-F$20))</f>
        <v>0.004030088069309379</v>
      </c>
      <c r="H5" s="466"/>
      <c r="I5" s="466"/>
      <c r="J5" s="498"/>
      <c r="K5" s="467"/>
      <c r="L5" s="466"/>
      <c r="M5" s="470"/>
      <c r="N5" s="529">
        <v>0.002</v>
      </c>
      <c r="O5" s="468">
        <v>0.0032217972636239267</v>
      </c>
      <c r="P5" s="527">
        <v>0</v>
      </c>
      <c r="Q5" s="468">
        <v>0.004445430023996444</v>
      </c>
    </row>
    <row r="6" spans="1:17" ht="13.5" thickBot="1">
      <c r="A6" s="39">
        <v>3</v>
      </c>
      <c r="B6" s="64">
        <f>offsets!J20</f>
        <v>27.324163286282648</v>
      </c>
      <c r="C6" s="61">
        <f>IF('Input Data'!E33=TRUE,"",IF('Input Data'!N$23="G",'Input Data'!G7,IF('Input Data'!N$23="H",'Input Data'!H7)))</f>
        <v>27.066974912748773</v>
      </c>
      <c r="D6" s="62">
        <f>IF('Input Data'!E33=TRUE,"",(B6-B$20))</f>
        <v>25.467327349050084</v>
      </c>
      <c r="E6" s="62">
        <f>IF('Input Data'!E33=TRUE,"",(C6-C$20))</f>
        <v>25.469374300543986</v>
      </c>
      <c r="F6" s="63">
        <f>IF('Input Data'!E33=TRUE,"",(E6-D6))</f>
        <v>0.002046951493902327</v>
      </c>
      <c r="G6" s="460">
        <f>IF('Input Data'!E33=TRUE,"",(F6-F$20))</f>
        <v>0.0020998014394804088</v>
      </c>
      <c r="H6" s="466"/>
      <c r="I6" s="466"/>
      <c r="J6" s="498"/>
      <c r="K6" s="467"/>
      <c r="L6" s="466"/>
      <c r="M6" s="470"/>
      <c r="N6" s="529">
        <v>0.001</v>
      </c>
      <c r="O6" s="468">
        <v>0.002319978093947128</v>
      </c>
      <c r="P6" s="527">
        <v>0</v>
      </c>
      <c r="Q6" s="468">
        <v>0.00034376639697075717</v>
      </c>
    </row>
    <row r="7" spans="1:17" ht="13.5" thickBot="1">
      <c r="A7" s="39">
        <v>4</v>
      </c>
      <c r="B7" s="64">
        <f>offsets!J24</f>
        <v>10.369443636225443</v>
      </c>
      <c r="C7" s="61">
        <f>IF('Input Data'!E34=TRUE,"",IF('Input Data'!N$23="G",'Input Data'!G8,IF('Input Data'!N$23="H",'Input Data'!H8)))</f>
        <v>10.114260221390001</v>
      </c>
      <c r="D7" s="62">
        <f>IF('Input Data'!E34=TRUE,"",(B7-B$20))</f>
        <v>8.512607698992879</v>
      </c>
      <c r="E7" s="62">
        <f>IF('Input Data'!E34=TRUE,"",(C7-C$20))</f>
        <v>8.516659609185213</v>
      </c>
      <c r="F7" s="63">
        <f>IF('Input Data'!E34=TRUE,"",(E7-D7))</f>
        <v>0.004051910192334418</v>
      </c>
      <c r="G7" s="460">
        <f>IF('Input Data'!E34=TRUE,"",(F7-F$20))</f>
        <v>0.0041047601379125</v>
      </c>
      <c r="H7" s="466"/>
      <c r="I7" s="466"/>
      <c r="J7" s="498"/>
      <c r="K7" s="467"/>
      <c r="L7" s="466"/>
      <c r="M7" s="470"/>
      <c r="N7" s="529">
        <v>0.003</v>
      </c>
      <c r="O7" s="468">
        <v>0.005390881793235991</v>
      </c>
      <c r="P7" s="527">
        <v>0</v>
      </c>
      <c r="Q7" s="468">
        <v>0.002884198081036793</v>
      </c>
    </row>
    <row r="8" spans="1:17" ht="13.5" thickBot="1">
      <c r="A8" s="39">
        <v>5</v>
      </c>
      <c r="B8" s="64">
        <f>offsets!J28</f>
        <v>28.493750113907353</v>
      </c>
      <c r="C8" s="61">
        <f>IF('Input Data'!E35=TRUE,"",IF('Input Data'!N$23="G",'Input Data'!G9,IF('Input Data'!N$23="H",'Input Data'!H9)))</f>
        <v>28.238437922839665</v>
      </c>
      <c r="D8" s="62">
        <f>IF('Input Data'!E35=TRUE,"",(B8-B$20))</f>
        <v>26.63691417667479</v>
      </c>
      <c r="E8" s="62">
        <f>IF('Input Data'!E35=TRUE,"",(C8-C$20))</f>
        <v>26.64083731063488</v>
      </c>
      <c r="F8" s="63">
        <f>IF('Input Data'!E35=TRUE,"",(E8-D8))</f>
        <v>0.0039231339600895865</v>
      </c>
      <c r="G8" s="460">
        <f>IF('Input Data'!E35=TRUE,"",(F8-F$20))</f>
        <v>0.003975983905667668</v>
      </c>
      <c r="H8" s="466"/>
      <c r="I8" s="466"/>
      <c r="J8" s="498"/>
      <c r="K8" s="467"/>
      <c r="L8" s="466"/>
      <c r="M8" s="470"/>
      <c r="N8" s="528">
        <v>0.005</v>
      </c>
      <c r="O8" s="468">
        <v>0.007194348281871044</v>
      </c>
      <c r="P8" s="527">
        <v>0</v>
      </c>
      <c r="Q8" s="468">
        <v>0.004017008092884744</v>
      </c>
    </row>
    <row r="9" spans="1:17" ht="13.5" thickBot="1">
      <c r="A9" s="39">
        <v>6</v>
      </c>
      <c r="B9" s="64">
        <f>offsets!J32</f>
        <v>3.2784238638874506</v>
      </c>
      <c r="C9" s="61">
        <f>IF('Input Data'!E36=TRUE,"",IF('Input Data'!N$23="G",'Input Data'!G10,IF('Input Data'!N$23="H",'Input Data'!H10)))</f>
        <v>3.0226582875064976</v>
      </c>
      <c r="D9" s="62">
        <f>IF('Input Data'!E36=TRUE,"",(B9-B$20))</f>
        <v>1.4215879266548868</v>
      </c>
      <c r="E9" s="62">
        <f>IF('Input Data'!E36=TRUE,"",(C9-C$20))</f>
        <v>1.4250576753017097</v>
      </c>
      <c r="F9" s="63">
        <f>IF('Input Data'!E36=TRUE,"",(E9-D9))</f>
        <v>0.0034697486468229233</v>
      </c>
      <c r="G9" s="460">
        <f>IF('Input Data'!E36=TRUE,"",(F9-F$20))</f>
        <v>0.003522598592401005</v>
      </c>
      <c r="H9" s="466"/>
      <c r="I9" s="466"/>
      <c r="J9" s="498"/>
      <c r="K9" s="467"/>
      <c r="L9" s="466"/>
      <c r="M9" s="470"/>
      <c r="N9" s="528">
        <v>0.005</v>
      </c>
      <c r="O9" s="468">
        <v>0.0067647774844117325</v>
      </c>
      <c r="P9" s="527">
        <v>0</v>
      </c>
      <c r="Q9" s="468">
        <v>0.003213573887064003</v>
      </c>
    </row>
    <row r="10" spans="1:17" ht="13.5" thickBot="1">
      <c r="A10" s="39">
        <v>7</v>
      </c>
      <c r="B10" s="64">
        <f>offsets!J36</f>
        <v>10.098157216499974</v>
      </c>
      <c r="C10" s="61">
        <f>IF('Input Data'!E37=TRUE,"",IF('Input Data'!N$23="G",'Input Data'!G11,IF('Input Data'!N$23="H",'Input Data'!H11)))</f>
        <v>9.838923037396146</v>
      </c>
      <c r="D10" s="62">
        <f>IF('Input Data'!E37=TRUE,"",(B10-B$20))</f>
        <v>8.24132127926741</v>
      </c>
      <c r="E10" s="62">
        <f>IF('Input Data'!E37=TRUE,"",(C10-C$20))</f>
        <v>8.241322425191358</v>
      </c>
      <c r="F10" s="63">
        <f>IF('Input Data'!E37=TRUE,"",(E10-D10))</f>
        <v>1.1459239477318306E-06</v>
      </c>
      <c r="G10" s="460">
        <f>IF('Input Data'!E37=TRUE,"",(F10-F$20))</f>
        <v>5.399586952581359E-05</v>
      </c>
      <c r="H10" s="466"/>
      <c r="I10" s="466"/>
      <c r="J10" s="498"/>
      <c r="K10" s="467"/>
      <c r="L10" s="466"/>
      <c r="M10" s="470"/>
      <c r="N10" s="529">
        <v>0.005</v>
      </c>
      <c r="O10" s="468">
        <v>0.00401826403120964</v>
      </c>
      <c r="P10" s="527">
        <v>0</v>
      </c>
      <c r="Q10" s="468">
        <v>0.00280951926618922</v>
      </c>
    </row>
    <row r="11" spans="1:17" ht="12.75">
      <c r="A11" s="39">
        <v>8</v>
      </c>
      <c r="B11" s="64">
        <f>offsets!J40</f>
      </c>
      <c r="C11" s="61">
        <f>IF('Input Data'!E38=TRUE,"",IF('Input Data'!N$23="G",'Input Data'!G12,IF('Input Data'!N$23="H",'Input Data'!H12)))</f>
      </c>
      <c r="D11" s="62">
        <f>IF('Input Data'!E38=TRUE,"",(B11-B$20))</f>
      </c>
      <c r="E11" s="62">
        <f>IF('Input Data'!E38=TRUE,"",(C11-C$20))</f>
      </c>
      <c r="F11" s="63">
        <f>IF('Input Data'!E38=TRUE,"",(E11-D11))</f>
      </c>
      <c r="G11" s="460">
        <f>IF('Input Data'!E38=TRUE,"",(F11-F$20))</f>
      </c>
      <c r="H11" s="466"/>
      <c r="I11" s="466"/>
      <c r="J11" s="498"/>
      <c r="K11" s="467"/>
      <c r="L11" s="466"/>
      <c r="M11" s="391"/>
      <c r="N11" s="529">
        <v>0</v>
      </c>
      <c r="O11" s="468">
        <v>0.0005201040088689268</v>
      </c>
      <c r="P11" s="527">
        <v>0</v>
      </c>
      <c r="Q11" s="468">
        <v>0</v>
      </c>
    </row>
    <row r="12" spans="1:17" ht="12.75">
      <c r="A12" s="39">
        <v>9</v>
      </c>
      <c r="B12" s="64">
        <f>offsets!J44</f>
        <v>5.19343082620714</v>
      </c>
      <c r="C12" s="61">
        <f>IF('Input Data'!E39=TRUE,"",IF('Input Data'!N$23="G",'Input Data'!G13,IF('Input Data'!N$23="H",'Input Data'!H13)))</f>
        <v>4.9341426512337865</v>
      </c>
      <c r="D12" s="62">
        <f>IF('Input Data'!E39=TRUE,"",(B12-B$20))</f>
        <v>3.3365948889745765</v>
      </c>
      <c r="E12" s="62">
        <f>IF('Input Data'!E39=TRUE,"",(C12-C$20))</f>
        <v>3.3365420390289984</v>
      </c>
      <c r="F12" s="63">
        <f>IF('Input Data'!E39=TRUE,"",(E12-D12))</f>
        <v>-5.284994557808176E-05</v>
      </c>
      <c r="G12" s="460">
        <f>IF('Input Data'!E39=TRUE,"",(F12-F$20))</f>
        <v>0</v>
      </c>
      <c r="H12" s="466"/>
      <c r="I12" s="466"/>
      <c r="J12" s="498"/>
      <c r="K12" s="467"/>
      <c r="L12" s="466"/>
      <c r="M12" s="470"/>
      <c r="N12" s="528">
        <v>0.003</v>
      </c>
      <c r="O12" s="468">
        <v>0.0037606218924883805</v>
      </c>
      <c r="P12" s="528">
        <v>0.01</v>
      </c>
      <c r="Q12" s="468">
        <v>0.011828683316124078</v>
      </c>
    </row>
    <row r="13" spans="1:17" ht="12.75">
      <c r="A13" s="39">
        <v>10</v>
      </c>
      <c r="B13" s="64">
        <f>offsets!J48</f>
        <v>10.692557221160342</v>
      </c>
      <c r="C13" s="61">
        <f>IF('Input Data'!E40=TRUE,"",IF('Input Data'!N$23="G",'Input Data'!G14,IF('Input Data'!N$23="H",'Input Data'!H14)))</f>
        <v>10.43723095818518</v>
      </c>
      <c r="D13" s="62">
        <f>IF('Input Data'!E40=TRUE,"",(B13-B$20))</f>
        <v>8.835721283927779</v>
      </c>
      <c r="E13" s="62">
        <f>IF('Input Data'!E40=TRUE,"",(C13-C$20))</f>
        <v>8.839630345980392</v>
      </c>
      <c r="F13" s="63">
        <f>IF('Input Data'!E40=TRUE,"",(E13-D13))</f>
        <v>0.003909062052613876</v>
      </c>
      <c r="G13" s="460">
        <f>IF('Input Data'!E40=TRUE,"",(F13-F$20))</f>
        <v>0.003961911998191958</v>
      </c>
      <c r="H13" s="466"/>
      <c r="I13" s="466"/>
      <c r="J13" s="498"/>
      <c r="K13" s="467"/>
      <c r="L13" s="466"/>
      <c r="M13" s="470"/>
      <c r="N13" s="528">
        <v>0.005</v>
      </c>
      <c r="O13" s="468">
        <v>0.00624155381539282</v>
      </c>
      <c r="P13" s="526">
        <v>0.016</v>
      </c>
      <c r="Q13" s="468">
        <v>0.016957931663429626</v>
      </c>
    </row>
    <row r="14" spans="1:17" ht="12.75">
      <c r="A14" s="39">
        <v>11</v>
      </c>
      <c r="B14" s="64">
        <f>offsets!J52</f>
      </c>
      <c r="C14" s="61">
        <f>IF('Input Data'!E41=TRUE,"",IF('Input Data'!N$23="G",'Input Data'!G15,IF('Input Data'!N$23="H",'Input Data'!H15)))</f>
      </c>
      <c r="D14" s="62">
        <f>IF('Input Data'!E41=TRUE,"",(B14-B$20))</f>
      </c>
      <c r="E14" s="62">
        <f>IF('Input Data'!E41=TRUE,"",(C14-C$20))</f>
      </c>
      <c r="F14" s="63">
        <f>IF('Input Data'!E41=TRUE,"",(E14-D14))</f>
      </c>
      <c r="G14" s="460">
        <f>IF('Input Data'!E41=TRUE,"",(F14-F$20))</f>
      </c>
      <c r="H14" s="466"/>
      <c r="I14" s="467"/>
      <c r="J14" s="498"/>
      <c r="K14" s="466"/>
      <c r="L14" s="466"/>
      <c r="M14" s="470"/>
      <c r="N14" s="505"/>
      <c r="O14" s="468"/>
      <c r="P14" s="505"/>
      <c r="Q14" s="470"/>
    </row>
    <row r="15" spans="1:17" ht="12.75">
      <c r="A15" s="39">
        <v>12</v>
      </c>
      <c r="B15" s="64">
        <f>offsets!J56</f>
      </c>
      <c r="C15" s="61">
        <f>IF('Input Data'!E42=TRUE,"",IF('Input Data'!N$23="G",'Input Data'!G16,IF('Input Data'!N$23="H",'Input Data'!H16)))</f>
      </c>
      <c r="D15" s="62">
        <f>IF('Input Data'!E42=TRUE,"",(B15-B$20))</f>
      </c>
      <c r="E15" s="62">
        <f>IF('Input Data'!E42=TRUE,"",(C15-C$20))</f>
      </c>
      <c r="F15" s="63">
        <f>IF('Input Data'!E42=TRUE,"",(E15-D15))</f>
      </c>
      <c r="G15" s="460">
        <f>IF('Input Data'!E42=TRUE,"",(F15-F$20))</f>
      </c>
      <c r="H15" s="466"/>
      <c r="I15" s="467"/>
      <c r="J15" s="498"/>
      <c r="K15" s="466"/>
      <c r="L15" s="466"/>
      <c r="M15" s="470"/>
      <c r="N15" s="505"/>
      <c r="O15" s="468"/>
      <c r="P15" s="505"/>
      <c r="Q15" s="470"/>
    </row>
    <row r="16" spans="1:17" ht="12.75">
      <c r="A16" s="39">
        <v>13</v>
      </c>
      <c r="B16" s="64">
        <f>offsets!J60</f>
      </c>
      <c r="C16" s="61">
        <f>IF('Input Data'!E43=TRUE,"",IF('Input Data'!N$23="G",'Input Data'!G17,IF('Input Data'!N$23="H",'Input Data'!H17)))</f>
      </c>
      <c r="D16" s="62">
        <f>IF('Input Data'!E43=TRUE,"",(B16-B$20))</f>
      </c>
      <c r="E16" s="62">
        <f>IF('Input Data'!E43=TRUE,"",(C16-C$20))</f>
      </c>
      <c r="F16" s="63">
        <f>IF('Input Data'!E43=TRUE,"",(E16-D16))</f>
      </c>
      <c r="G16" s="460">
        <f>IF('Input Data'!E43=TRUE,"",(F16-F$20))</f>
      </c>
      <c r="H16" s="468"/>
      <c r="I16" s="469"/>
      <c r="J16" s="499"/>
      <c r="K16" s="466"/>
      <c r="L16" s="466"/>
      <c r="M16" s="470"/>
      <c r="N16" s="505"/>
      <c r="O16" s="468"/>
      <c r="P16" s="505"/>
      <c r="Q16" s="470"/>
    </row>
    <row r="17" spans="1:17" ht="12.75">
      <c r="A17" s="39">
        <v>14</v>
      </c>
      <c r="B17" s="64">
        <f>offsets!J64</f>
      </c>
      <c r="C17" s="61">
        <f>IF('Input Data'!E44=TRUE,"",IF('Input Data'!N$23="G",'Input Data'!G18,IF('Input Data'!N$23="H",'Input Data'!H18)))</f>
      </c>
      <c r="D17" s="62">
        <f>IF('Input Data'!E44=TRUE,"",(B17-B$20))</f>
      </c>
      <c r="E17" s="62">
        <f>IF('Input Data'!E44=TRUE,"",(C17-C$20))</f>
      </c>
      <c r="F17" s="63">
        <f>IF('Input Data'!E44=TRUE,"",(E17-D17))</f>
      </c>
      <c r="G17" s="460">
        <f>IF('Input Data'!E44=TRUE,"",(F17-F$20))</f>
      </c>
      <c r="H17" s="468"/>
      <c r="I17" s="468"/>
      <c r="J17" s="499"/>
      <c r="K17" s="466"/>
      <c r="L17" s="466"/>
      <c r="M17" s="470"/>
      <c r="N17" s="505"/>
      <c r="O17" s="468"/>
      <c r="P17" s="505"/>
      <c r="Q17" s="470"/>
    </row>
    <row r="18" spans="1:17" ht="12" customHeight="1" thickBot="1">
      <c r="A18" s="39">
        <v>15</v>
      </c>
      <c r="B18" s="64">
        <f>offsets!J68</f>
      </c>
      <c r="C18" s="61">
        <f>IF('Input Data'!E45=TRUE,"",IF('Input Data'!N$23="G",'Input Data'!G19,IF('Input Data'!N$23="H",'Input Data'!H19)))</f>
      </c>
      <c r="D18" s="62">
        <f>IF('Input Data'!E45=TRUE,"",(B18-B$20))</f>
      </c>
      <c r="E18" s="62">
        <f>IF('Input Data'!E45=TRUE,"",(C18-C$20))</f>
      </c>
      <c r="F18" s="63">
        <f>IF('Input Data'!E45=TRUE,"",(E18-D18))</f>
      </c>
      <c r="G18" s="460">
        <f>IF('Input Data'!E45=TRUE,"",(F18-F$20))</f>
      </c>
      <c r="H18" s="468"/>
      <c r="I18" s="468"/>
      <c r="J18" s="499"/>
      <c r="K18" s="466"/>
      <c r="L18" s="466"/>
      <c r="M18" s="470"/>
      <c r="N18" s="505"/>
      <c r="O18" s="468"/>
      <c r="P18" s="505"/>
      <c r="Q18" s="470"/>
    </row>
    <row r="19" spans="1:17" ht="12.75">
      <c r="A19" s="47" t="s">
        <v>20</v>
      </c>
      <c r="B19" s="65">
        <f>MAX(B4:B18)</f>
        <v>28.493750113907353</v>
      </c>
      <c r="C19" s="65">
        <f>MAX(C4:C18)</f>
        <v>28.238437922839665</v>
      </c>
      <c r="D19" s="65">
        <f>MAX(D4:D18)</f>
        <v>26.63691417667479</v>
      </c>
      <c r="E19" s="66">
        <f>MAX(E4:E18)</f>
        <v>26.64083731063488</v>
      </c>
      <c r="F19" s="67">
        <f>MAX(F4:F18)</f>
        <v>0.004051910192334418</v>
      </c>
      <c r="G19" s="4"/>
      <c r="H19" s="470"/>
      <c r="I19" s="470"/>
      <c r="J19" s="500"/>
      <c r="K19" s="391"/>
      <c r="L19" s="391"/>
      <c r="M19" s="470"/>
      <c r="N19" s="505"/>
      <c r="O19" s="468"/>
      <c r="P19" s="505"/>
      <c r="Q19" s="470"/>
    </row>
    <row r="20" spans="1:17" ht="13.5" thickBot="1">
      <c r="A20" s="48" t="s">
        <v>21</v>
      </c>
      <c r="B20" s="68">
        <f>MIN(B4:B18)</f>
        <v>1.8568359372325638</v>
      </c>
      <c r="C20" s="68">
        <f>MIN(C4:C18)</f>
        <v>1.5976006122047879</v>
      </c>
      <c r="D20" s="68">
        <f>MIN(D4:D18)</f>
        <v>0</v>
      </c>
      <c r="E20" s="69">
        <f>MIN(E4:E18)</f>
        <v>0</v>
      </c>
      <c r="F20" s="458">
        <f>MIN(F4:F18)</f>
        <v>-5.284994557808176E-05</v>
      </c>
      <c r="G20" s="4"/>
      <c r="H20" s="470"/>
      <c r="I20" s="470"/>
      <c r="J20" s="500"/>
      <c r="K20" s="391"/>
      <c r="L20" s="391"/>
      <c r="M20" s="470"/>
      <c r="N20" s="505"/>
      <c r="O20" s="470"/>
      <c r="P20" s="505"/>
      <c r="Q20" s="470"/>
    </row>
    <row r="21" spans="1:17" ht="13.5" thickBot="1">
      <c r="A21" s="49" t="s">
        <v>22</v>
      </c>
      <c r="B21" s="50"/>
      <c r="C21" s="51"/>
      <c r="D21" s="2"/>
      <c r="E21" s="2"/>
      <c r="F21" s="459"/>
      <c r="G21" s="461">
        <f aca="true" t="shared" si="0" ref="G21:L21">SUM(G4:G20)</f>
        <v>0.021801989958066814</v>
      </c>
      <c r="H21" s="508">
        <f t="shared" si="0"/>
        <v>0</v>
      </c>
      <c r="I21" s="508">
        <f t="shared" si="0"/>
        <v>0</v>
      </c>
      <c r="J21" s="509">
        <f t="shared" si="0"/>
        <v>0</v>
      </c>
      <c r="K21" s="508">
        <f t="shared" si="0"/>
        <v>0</v>
      </c>
      <c r="L21" s="508">
        <f t="shared" si="0"/>
        <v>0</v>
      </c>
      <c r="M21" s="508">
        <f>SUM(M4:M20)</f>
        <v>0</v>
      </c>
      <c r="N21" s="508">
        <f>SUM(N4:N20)</f>
        <v>0.029</v>
      </c>
      <c r="O21" s="508">
        <f>SUM(O4:O20)</f>
        <v>0.03943232666504959</v>
      </c>
      <c r="P21" s="508">
        <f>SUM(P4:P20)</f>
        <v>0.026000000000000002</v>
      </c>
      <c r="Q21" s="508">
        <f>SUM(Q4:Q20)</f>
        <v>0.04775658587272713</v>
      </c>
    </row>
    <row r="22" spans="1:17" ht="13.5" thickBot="1">
      <c r="A22" s="52"/>
      <c r="B22" s="71">
        <f>B19-B20</f>
        <v>26.63691417667479</v>
      </c>
      <c r="C22" s="72">
        <f>C19-C20</f>
        <v>26.64083731063488</v>
      </c>
      <c r="D22" s="2"/>
      <c r="E22" s="2"/>
      <c r="F22" s="462" t="s">
        <v>86</v>
      </c>
      <c r="G22" s="463">
        <f aca="true" t="shared" si="1" ref="G22:L22">G21/8</f>
        <v>0.0027252487447583518</v>
      </c>
      <c r="H22" s="463">
        <f t="shared" si="1"/>
        <v>0</v>
      </c>
      <c r="I22" s="463">
        <f t="shared" si="1"/>
        <v>0</v>
      </c>
      <c r="J22" s="501">
        <f t="shared" si="1"/>
        <v>0</v>
      </c>
      <c r="K22" s="463">
        <f t="shared" si="1"/>
        <v>0</v>
      </c>
      <c r="L22" s="463">
        <f t="shared" si="1"/>
        <v>0</v>
      </c>
      <c r="M22" s="463">
        <f>M21/8</f>
        <v>0</v>
      </c>
      <c r="N22" s="463">
        <f>N21/8</f>
        <v>0.003625</v>
      </c>
      <c r="O22" s="463">
        <f>O21/8</f>
        <v>0.0049290408331311986</v>
      </c>
      <c r="P22" s="463">
        <f>P21/8</f>
        <v>0.0032500000000000003</v>
      </c>
      <c r="Q22" s="463">
        <f>Q21/8</f>
        <v>0.005969573234090891</v>
      </c>
    </row>
    <row r="23" spans="1:11" ht="12.75">
      <c r="A23" s="52"/>
      <c r="B23" s="53"/>
      <c r="C23" s="54"/>
      <c r="D23" s="2"/>
      <c r="E23" s="2"/>
      <c r="F23" s="2"/>
      <c r="G23" s="434"/>
      <c r="H23" s="434"/>
      <c r="I23" s="434"/>
      <c r="J23" s="434"/>
      <c r="K23" s="434"/>
    </row>
    <row r="24" spans="1:7" ht="12.75">
      <c r="A24" s="52"/>
      <c r="B24" s="53" t="s">
        <v>23</v>
      </c>
      <c r="C24" s="54" t="s">
        <v>24</v>
      </c>
      <c r="D24" s="2"/>
      <c r="E24" s="2"/>
      <c r="F24" s="2"/>
      <c r="G24" s="2"/>
    </row>
    <row r="25" spans="1:7" ht="13.5" thickBot="1">
      <c r="A25" s="55"/>
      <c r="B25" s="56">
        <f>B20</f>
        <v>1.8568359372325638</v>
      </c>
      <c r="C25" s="57">
        <f>C20</f>
        <v>1.5976006122047879</v>
      </c>
      <c r="D25" s="2"/>
      <c r="E25" s="2"/>
      <c r="F25" s="2"/>
      <c r="G25" s="2"/>
    </row>
    <row r="26" ht="13.5" thickBot="1"/>
    <row r="27" spans="1:13" ht="12.75">
      <c r="A27" s="14"/>
      <c r="B27" s="511"/>
      <c r="C27" s="516" t="s">
        <v>88</v>
      </c>
      <c r="D27" s="471"/>
      <c r="E27" s="471"/>
      <c r="F27" s="471"/>
      <c r="G27" s="471"/>
      <c r="H27" s="383"/>
      <c r="M27" s="490"/>
    </row>
    <row r="28" spans="1:13" ht="13.5" thickBot="1">
      <c r="A28" s="359"/>
      <c r="B28" s="517" t="s">
        <v>93</v>
      </c>
      <c r="C28" s="510"/>
      <c r="D28" s="514"/>
      <c r="E28" s="514"/>
      <c r="F28" s="514"/>
      <c r="G28" s="514"/>
      <c r="H28" s="515"/>
      <c r="M28" s="490"/>
    </row>
    <row r="29" spans="1:14" ht="12.75">
      <c r="A29" s="3"/>
      <c r="B29" s="512">
        <v>1</v>
      </c>
      <c r="C29" s="432">
        <f>Q4</f>
        <v>0.001256475145031466</v>
      </c>
      <c r="D29" s="432">
        <f>O4</f>
        <v>0</v>
      </c>
      <c r="E29" s="432">
        <f>M4</f>
        <v>0</v>
      </c>
      <c r="F29" s="432">
        <f>K4</f>
        <v>0</v>
      </c>
      <c r="G29" s="432">
        <f>I4</f>
        <v>0</v>
      </c>
      <c r="H29" s="472">
        <f>G4</f>
        <v>5.284994557808176E-05</v>
      </c>
      <c r="M29" s="490"/>
      <c r="N29" s="388"/>
    </row>
    <row r="30" spans="1:14" ht="12.75">
      <c r="A30" s="3"/>
      <c r="B30" s="512">
        <v>2</v>
      </c>
      <c r="C30" s="432">
        <f aca="true" t="shared" si="2" ref="C30:C43">Q5</f>
        <v>0.004445430023996444</v>
      </c>
      <c r="D30" s="432">
        <f aca="true" t="shared" si="3" ref="D30:D43">O5</f>
        <v>0.0032217972636239267</v>
      </c>
      <c r="E30" s="432">
        <f aca="true" t="shared" si="4" ref="E30:E43">M5</f>
        <v>0</v>
      </c>
      <c r="F30" s="432">
        <f aca="true" t="shared" si="5" ref="F30:F43">K5</f>
        <v>0</v>
      </c>
      <c r="G30" s="432">
        <f aca="true" t="shared" si="6" ref="G30:G43">I5</f>
        <v>0</v>
      </c>
      <c r="H30" s="472">
        <f aca="true" t="shared" si="7" ref="H30:H43">G5</f>
        <v>0.004030088069309379</v>
      </c>
      <c r="M30" s="490"/>
      <c r="N30" s="388"/>
    </row>
    <row r="31" spans="1:14" ht="12.75">
      <c r="A31" s="3"/>
      <c r="B31" s="512">
        <v>3</v>
      </c>
      <c r="C31" s="432">
        <f t="shared" si="2"/>
        <v>0.00034376639697075717</v>
      </c>
      <c r="D31" s="432">
        <f t="shared" si="3"/>
        <v>0.002319978093947128</v>
      </c>
      <c r="E31" s="432">
        <f t="shared" si="4"/>
        <v>0</v>
      </c>
      <c r="F31" s="432">
        <f t="shared" si="5"/>
        <v>0</v>
      </c>
      <c r="G31" s="432">
        <f t="shared" si="6"/>
        <v>0</v>
      </c>
      <c r="H31" s="472">
        <f t="shared" si="7"/>
        <v>0.0020998014394804088</v>
      </c>
      <c r="M31" s="490"/>
      <c r="N31" s="388"/>
    </row>
    <row r="32" spans="1:14" ht="12.75">
      <c r="A32" s="3"/>
      <c r="B32" s="512">
        <v>4</v>
      </c>
      <c r="C32" s="432">
        <f t="shared" si="2"/>
        <v>0.002884198081036793</v>
      </c>
      <c r="D32" s="432">
        <f t="shared" si="3"/>
        <v>0.005390881793235991</v>
      </c>
      <c r="E32" s="432">
        <f t="shared" si="4"/>
        <v>0</v>
      </c>
      <c r="F32" s="432">
        <f t="shared" si="5"/>
        <v>0</v>
      </c>
      <c r="G32" s="432">
        <f t="shared" si="6"/>
        <v>0</v>
      </c>
      <c r="H32" s="472">
        <f t="shared" si="7"/>
        <v>0.0041047601379125</v>
      </c>
      <c r="M32" s="490"/>
      <c r="N32" s="388"/>
    </row>
    <row r="33" spans="1:14" ht="12.75">
      <c r="A33" s="14"/>
      <c r="B33" s="512">
        <v>5</v>
      </c>
      <c r="C33" s="432">
        <f t="shared" si="2"/>
        <v>0.004017008092884744</v>
      </c>
      <c r="D33" s="432">
        <f t="shared" si="3"/>
        <v>0.007194348281871044</v>
      </c>
      <c r="E33" s="432">
        <f t="shared" si="4"/>
        <v>0</v>
      </c>
      <c r="F33" s="432">
        <f t="shared" si="5"/>
        <v>0</v>
      </c>
      <c r="G33" s="432">
        <f t="shared" si="6"/>
        <v>0</v>
      </c>
      <c r="H33" s="472">
        <f t="shared" si="7"/>
        <v>0.003975983905667668</v>
      </c>
      <c r="M33" s="490"/>
      <c r="N33" s="388"/>
    </row>
    <row r="34" spans="1:14" ht="12.75">
      <c r="A34" s="14"/>
      <c r="B34" s="512">
        <v>6</v>
      </c>
      <c r="C34" s="432">
        <f t="shared" si="2"/>
        <v>0.003213573887064003</v>
      </c>
      <c r="D34" s="432">
        <f t="shared" si="3"/>
        <v>0.0067647774844117325</v>
      </c>
      <c r="E34" s="432">
        <f t="shared" si="4"/>
        <v>0</v>
      </c>
      <c r="F34" s="432">
        <f t="shared" si="5"/>
        <v>0</v>
      </c>
      <c r="G34" s="432">
        <f t="shared" si="6"/>
        <v>0</v>
      </c>
      <c r="H34" s="472">
        <f t="shared" si="7"/>
        <v>0.003522598592401005</v>
      </c>
      <c r="M34" s="490"/>
      <c r="N34" s="388"/>
    </row>
    <row r="35" spans="1:14" ht="12.75">
      <c r="A35" s="14"/>
      <c r="B35" s="512">
        <v>7</v>
      </c>
      <c r="C35" s="432">
        <f t="shared" si="2"/>
        <v>0.00280951926618922</v>
      </c>
      <c r="D35" s="432">
        <f t="shared" si="3"/>
        <v>0.00401826403120964</v>
      </c>
      <c r="E35" s="432">
        <f t="shared" si="4"/>
        <v>0</v>
      </c>
      <c r="F35" s="432">
        <f t="shared" si="5"/>
        <v>0</v>
      </c>
      <c r="G35" s="432">
        <f t="shared" si="6"/>
        <v>0</v>
      </c>
      <c r="H35" s="472">
        <f t="shared" si="7"/>
        <v>5.399586952581359E-05</v>
      </c>
      <c r="M35" s="490"/>
      <c r="N35" s="388"/>
    </row>
    <row r="36" spans="1:14" ht="12.75">
      <c r="A36" s="14"/>
      <c r="B36" s="512">
        <v>8</v>
      </c>
      <c r="C36" s="432">
        <f t="shared" si="2"/>
        <v>0</v>
      </c>
      <c r="D36" s="432">
        <f t="shared" si="3"/>
        <v>0.0005201040088689268</v>
      </c>
      <c r="E36" s="432">
        <f t="shared" si="4"/>
        <v>0</v>
      </c>
      <c r="F36" s="432">
        <f t="shared" si="5"/>
        <v>0</v>
      </c>
      <c r="G36" s="432">
        <f t="shared" si="6"/>
        <v>0</v>
      </c>
      <c r="H36" s="472">
        <f t="shared" si="7"/>
      </c>
      <c r="M36" s="490"/>
      <c r="N36" s="388"/>
    </row>
    <row r="37" spans="1:14" ht="12.75">
      <c r="A37" s="14"/>
      <c r="B37" s="512">
        <v>9</v>
      </c>
      <c r="C37" s="432">
        <f t="shared" si="2"/>
        <v>0.011828683316124078</v>
      </c>
      <c r="D37" s="432">
        <f t="shared" si="3"/>
        <v>0.0037606218924883805</v>
      </c>
      <c r="E37" s="432">
        <f t="shared" si="4"/>
        <v>0</v>
      </c>
      <c r="F37" s="432">
        <f t="shared" si="5"/>
        <v>0</v>
      </c>
      <c r="G37" s="432">
        <f t="shared" si="6"/>
        <v>0</v>
      </c>
      <c r="H37" s="472">
        <f t="shared" si="7"/>
        <v>0</v>
      </c>
      <c r="M37" s="490"/>
      <c r="N37" s="388"/>
    </row>
    <row r="38" spans="1:13" ht="12.75">
      <c r="A38" s="14"/>
      <c r="B38" s="512">
        <v>10</v>
      </c>
      <c r="C38" s="432">
        <f t="shared" si="2"/>
        <v>0.016957931663429626</v>
      </c>
      <c r="D38" s="432">
        <f t="shared" si="3"/>
        <v>0.00624155381539282</v>
      </c>
      <c r="E38" s="432">
        <f t="shared" si="4"/>
        <v>0</v>
      </c>
      <c r="F38" s="432">
        <f t="shared" si="5"/>
        <v>0</v>
      </c>
      <c r="G38" s="432">
        <f t="shared" si="6"/>
        <v>0</v>
      </c>
      <c r="H38" s="472">
        <f t="shared" si="7"/>
        <v>0.003961911998191958</v>
      </c>
      <c r="M38" s="490"/>
    </row>
    <row r="39" spans="1:13" ht="12.75">
      <c r="A39" s="14"/>
      <c r="B39" s="512">
        <v>11</v>
      </c>
      <c r="C39" s="432">
        <f t="shared" si="2"/>
        <v>0</v>
      </c>
      <c r="D39" s="432">
        <f t="shared" si="3"/>
        <v>0</v>
      </c>
      <c r="E39" s="432">
        <f t="shared" si="4"/>
        <v>0</v>
      </c>
      <c r="F39" s="432">
        <f t="shared" si="5"/>
        <v>0</v>
      </c>
      <c r="G39" s="432">
        <f t="shared" si="6"/>
        <v>0</v>
      </c>
      <c r="H39" s="472">
        <f t="shared" si="7"/>
      </c>
      <c r="M39" s="490"/>
    </row>
    <row r="40" spans="1:13" ht="12.75">
      <c r="A40" s="14"/>
      <c r="B40" s="512">
        <v>12</v>
      </c>
      <c r="C40" s="432">
        <f t="shared" si="2"/>
        <v>0</v>
      </c>
      <c r="D40" s="432">
        <f t="shared" si="3"/>
        <v>0</v>
      </c>
      <c r="E40" s="432">
        <f t="shared" si="4"/>
        <v>0</v>
      </c>
      <c r="F40" s="432">
        <f t="shared" si="5"/>
        <v>0</v>
      </c>
      <c r="G40" s="432">
        <f t="shared" si="6"/>
        <v>0</v>
      </c>
      <c r="H40" s="472">
        <f t="shared" si="7"/>
      </c>
      <c r="M40" s="490"/>
    </row>
    <row r="41" spans="2:13" ht="12.75">
      <c r="B41" s="512">
        <v>13</v>
      </c>
      <c r="C41" s="432">
        <f t="shared" si="2"/>
        <v>0</v>
      </c>
      <c r="D41" s="432">
        <f t="shared" si="3"/>
        <v>0</v>
      </c>
      <c r="E41" s="432">
        <f t="shared" si="4"/>
        <v>0</v>
      </c>
      <c r="F41" s="432">
        <f t="shared" si="5"/>
        <v>0</v>
      </c>
      <c r="G41" s="432">
        <f t="shared" si="6"/>
        <v>0</v>
      </c>
      <c r="H41" s="472">
        <f t="shared" si="7"/>
      </c>
      <c r="M41" s="490"/>
    </row>
    <row r="42" spans="2:13" ht="12.75">
      <c r="B42" s="512">
        <v>14</v>
      </c>
      <c r="C42" s="432">
        <f t="shared" si="2"/>
        <v>0</v>
      </c>
      <c r="D42" s="432">
        <f t="shared" si="3"/>
        <v>0</v>
      </c>
      <c r="E42" s="432">
        <f t="shared" si="4"/>
        <v>0</v>
      </c>
      <c r="F42" s="432">
        <f t="shared" si="5"/>
        <v>0</v>
      </c>
      <c r="G42" s="432">
        <f t="shared" si="6"/>
        <v>0</v>
      </c>
      <c r="H42" s="472">
        <f t="shared" si="7"/>
      </c>
      <c r="M42" s="4"/>
    </row>
    <row r="43" spans="2:13" ht="12.75">
      <c r="B43" s="512">
        <v>15</v>
      </c>
      <c r="C43" s="432">
        <f t="shared" si="2"/>
        <v>0</v>
      </c>
      <c r="D43" s="432">
        <f t="shared" si="3"/>
        <v>0</v>
      </c>
      <c r="E43" s="432">
        <f t="shared" si="4"/>
        <v>0</v>
      </c>
      <c r="F43" s="432">
        <f t="shared" si="5"/>
        <v>0</v>
      </c>
      <c r="G43" s="432">
        <f t="shared" si="6"/>
        <v>0</v>
      </c>
      <c r="H43" s="472">
        <f t="shared" si="7"/>
      </c>
      <c r="M43" s="4"/>
    </row>
    <row r="44" spans="2:13" ht="13.5" thickBot="1">
      <c r="B44" s="513" t="s">
        <v>89</v>
      </c>
      <c r="C44" s="473">
        <f>Q22</f>
        <v>0.005969573234090891</v>
      </c>
      <c r="D44" s="473">
        <f>O22</f>
        <v>0.0049290408331311986</v>
      </c>
      <c r="E44" s="473">
        <f>M22</f>
        <v>0</v>
      </c>
      <c r="F44" s="473">
        <f>K22</f>
        <v>0</v>
      </c>
      <c r="G44" s="473">
        <f>I22</f>
        <v>0</v>
      </c>
      <c r="H44" s="474">
        <f>G22</f>
        <v>0.0027252487447583518</v>
      </c>
      <c r="M44" s="475"/>
    </row>
    <row r="45" ht="12.75">
      <c r="M45" s="475"/>
    </row>
  </sheetData>
  <mergeCells count="5">
    <mergeCell ref="P2:Q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77" t="s">
        <v>73</v>
      </c>
    </row>
    <row r="2" spans="1:24" ht="24" customHeight="1">
      <c r="A2" s="367" t="s">
        <v>16</v>
      </c>
      <c r="B2" s="367" t="s">
        <v>17</v>
      </c>
      <c r="C2" s="367" t="s">
        <v>18</v>
      </c>
      <c r="D2" s="368" t="s">
        <v>16</v>
      </c>
      <c r="E2" s="368" t="s">
        <v>17</v>
      </c>
      <c r="F2" s="368" t="s">
        <v>18</v>
      </c>
      <c r="G2" s="370" t="s">
        <v>16</v>
      </c>
      <c r="H2" s="370" t="s">
        <v>17</v>
      </c>
      <c r="I2" s="370" t="s">
        <v>18</v>
      </c>
      <c r="J2" s="371" t="s">
        <v>16</v>
      </c>
      <c r="K2" s="371" t="s">
        <v>17</v>
      </c>
      <c r="L2" s="371" t="s">
        <v>18</v>
      </c>
      <c r="M2" s="372" t="s">
        <v>16</v>
      </c>
      <c r="N2" s="372" t="s">
        <v>17</v>
      </c>
      <c r="O2" s="372" t="s">
        <v>18</v>
      </c>
      <c r="P2" s="373" t="s">
        <v>16</v>
      </c>
      <c r="Q2" s="373" t="s">
        <v>17</v>
      </c>
      <c r="R2" s="373" t="s">
        <v>18</v>
      </c>
      <c r="S2" s="375" t="s">
        <v>16</v>
      </c>
      <c r="T2" s="375" t="s">
        <v>17</v>
      </c>
      <c r="U2" s="375" t="s">
        <v>18</v>
      </c>
      <c r="V2" s="380" t="s">
        <v>16</v>
      </c>
      <c r="W2" s="380" t="s">
        <v>17</v>
      </c>
      <c r="X2" s="380" t="s">
        <v>18</v>
      </c>
    </row>
    <row r="103" spans="1:24" ht="12.75">
      <c r="A103" s="364">
        <f aca="true" t="shared" si="0" ref="A103:U103">SUM(A3:A102)</f>
        <v>0</v>
      </c>
      <c r="B103" s="364">
        <f t="shared" si="0"/>
        <v>0</v>
      </c>
      <c r="C103" s="364">
        <f t="shared" si="0"/>
        <v>0</v>
      </c>
      <c r="D103" s="365">
        <f t="shared" si="0"/>
        <v>0</v>
      </c>
      <c r="E103" s="365">
        <f t="shared" si="0"/>
        <v>0</v>
      </c>
      <c r="F103" s="365">
        <f t="shared" si="0"/>
        <v>0</v>
      </c>
      <c r="G103" s="369">
        <f t="shared" si="0"/>
        <v>0</v>
      </c>
      <c r="H103" s="369">
        <f t="shared" si="0"/>
        <v>0</v>
      </c>
      <c r="I103" s="369">
        <f t="shared" si="0"/>
        <v>0</v>
      </c>
      <c r="J103" s="361">
        <f t="shared" si="0"/>
        <v>0</v>
      </c>
      <c r="K103" s="361">
        <f t="shared" si="0"/>
        <v>0</v>
      </c>
      <c r="L103" s="361">
        <f t="shared" si="0"/>
        <v>0</v>
      </c>
      <c r="M103" s="362">
        <f t="shared" si="0"/>
        <v>0</v>
      </c>
      <c r="N103" s="362">
        <f t="shared" si="0"/>
        <v>0</v>
      </c>
      <c r="O103" s="362">
        <f t="shared" si="0"/>
        <v>0</v>
      </c>
      <c r="P103" s="378">
        <f t="shared" si="0"/>
        <v>0</v>
      </c>
      <c r="Q103" s="378">
        <f t="shared" si="0"/>
        <v>0</v>
      </c>
      <c r="R103" s="378">
        <f t="shared" si="0"/>
        <v>0</v>
      </c>
      <c r="S103" s="374">
        <f t="shared" si="0"/>
        <v>0</v>
      </c>
      <c r="T103" s="374">
        <f t="shared" si="0"/>
        <v>0</v>
      </c>
      <c r="U103" s="374">
        <f t="shared" si="0"/>
        <v>0</v>
      </c>
      <c r="V103" s="363">
        <f>SUM(V3:V102)</f>
        <v>0</v>
      </c>
      <c r="W103" s="363">
        <f>SUM(W3:W102)</f>
        <v>0</v>
      </c>
      <c r="X103" s="363">
        <f>SUM(X3:X102)</f>
        <v>0</v>
      </c>
    </row>
    <row r="104" spans="1:24" ht="12.75">
      <c r="A104" s="364">
        <f aca="true" t="shared" si="1" ref="A104:U104">A103/100</f>
        <v>0</v>
      </c>
      <c r="B104" s="364">
        <f t="shared" si="1"/>
        <v>0</v>
      </c>
      <c r="C104" s="364">
        <f t="shared" si="1"/>
        <v>0</v>
      </c>
      <c r="D104" s="365">
        <f t="shared" si="1"/>
        <v>0</v>
      </c>
      <c r="E104" s="365">
        <f t="shared" si="1"/>
        <v>0</v>
      </c>
      <c r="F104" s="365">
        <f t="shared" si="1"/>
        <v>0</v>
      </c>
      <c r="G104" s="369">
        <f t="shared" si="1"/>
        <v>0</v>
      </c>
      <c r="H104" s="369">
        <f t="shared" si="1"/>
        <v>0</v>
      </c>
      <c r="I104" s="369">
        <f t="shared" si="1"/>
        <v>0</v>
      </c>
      <c r="J104" s="361">
        <f t="shared" si="1"/>
        <v>0</v>
      </c>
      <c r="K104" s="361">
        <f t="shared" si="1"/>
        <v>0</v>
      </c>
      <c r="L104" s="361">
        <f t="shared" si="1"/>
        <v>0</v>
      </c>
      <c r="M104" s="362">
        <f t="shared" si="1"/>
        <v>0</v>
      </c>
      <c r="N104" s="362">
        <f t="shared" si="1"/>
        <v>0</v>
      </c>
      <c r="O104" s="362">
        <f t="shared" si="1"/>
        <v>0</v>
      </c>
      <c r="P104" s="378">
        <f t="shared" si="1"/>
        <v>0</v>
      </c>
      <c r="Q104" s="378">
        <f t="shared" si="1"/>
        <v>0</v>
      </c>
      <c r="R104" s="378">
        <f t="shared" si="1"/>
        <v>0</v>
      </c>
      <c r="S104" s="374">
        <f t="shared" si="1"/>
        <v>0</v>
      </c>
      <c r="T104" s="374">
        <f t="shared" si="1"/>
        <v>0</v>
      </c>
      <c r="U104" s="374">
        <f t="shared" si="1"/>
        <v>0</v>
      </c>
      <c r="V104" s="363">
        <f>V103/100</f>
        <v>0</v>
      </c>
      <c r="W104" s="363">
        <f>W103/100</f>
        <v>0</v>
      </c>
      <c r="X104" s="363">
        <f>X103/100</f>
        <v>0</v>
      </c>
    </row>
    <row r="105" spans="1:24" ht="20.25">
      <c r="A105" s="367" t="s">
        <v>16</v>
      </c>
      <c r="B105" s="367" t="s">
        <v>17</v>
      </c>
      <c r="C105" s="367" t="s">
        <v>18</v>
      </c>
      <c r="D105" s="368" t="s">
        <v>16</v>
      </c>
      <c r="E105" s="368" t="s">
        <v>17</v>
      </c>
      <c r="F105" s="368" t="s">
        <v>18</v>
      </c>
      <c r="G105" s="370" t="s">
        <v>16</v>
      </c>
      <c r="H105" s="370" t="s">
        <v>17</v>
      </c>
      <c r="I105" s="370" t="s">
        <v>18</v>
      </c>
      <c r="J105" s="371" t="s">
        <v>16</v>
      </c>
      <c r="K105" s="371" t="s">
        <v>17</v>
      </c>
      <c r="L105" s="371" t="s">
        <v>18</v>
      </c>
      <c r="M105" s="372" t="s">
        <v>16</v>
      </c>
      <c r="N105" s="372" t="s">
        <v>17</v>
      </c>
      <c r="O105" s="372" t="s">
        <v>18</v>
      </c>
      <c r="P105" s="379" t="s">
        <v>16</v>
      </c>
      <c r="Q105" s="379" t="s">
        <v>17</v>
      </c>
      <c r="R105" s="379" t="s">
        <v>18</v>
      </c>
      <c r="S105" s="375" t="s">
        <v>16</v>
      </c>
      <c r="T105" s="375" t="s">
        <v>17</v>
      </c>
      <c r="U105" s="375" t="s">
        <v>18</v>
      </c>
      <c r="V105" s="380" t="s">
        <v>16</v>
      </c>
      <c r="W105" s="380" t="s">
        <v>17</v>
      </c>
      <c r="X105" s="380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08" t="s">
        <v>54</v>
      </c>
      <c r="B1" s="409"/>
      <c r="C1" s="409"/>
      <c r="D1" s="410"/>
      <c r="E1" s="376" t="s">
        <v>55</v>
      </c>
      <c r="F1" s="376" t="s">
        <v>55</v>
      </c>
      <c r="G1" s="376" t="s">
        <v>55</v>
      </c>
      <c r="H1" s="416" t="s">
        <v>74</v>
      </c>
      <c r="I1" s="417"/>
      <c r="J1" s="418"/>
      <c r="K1" s="366" t="s">
        <v>76</v>
      </c>
      <c r="L1" s="366" t="s">
        <v>59</v>
      </c>
      <c r="M1" s="376" t="s">
        <v>75</v>
      </c>
      <c r="N1" s="376"/>
    </row>
    <row r="2" spans="1:14" ht="12.75">
      <c r="A2" s="411"/>
      <c r="B2" s="412" t="s">
        <v>16</v>
      </c>
      <c r="C2" s="412" t="s">
        <v>17</v>
      </c>
      <c r="D2" s="413" t="s">
        <v>18</v>
      </c>
      <c r="E2" s="376" t="s">
        <v>56</v>
      </c>
      <c r="F2" s="376" t="s">
        <v>57</v>
      </c>
      <c r="G2" s="376" t="s">
        <v>58</v>
      </c>
      <c r="H2" s="419" t="s">
        <v>16</v>
      </c>
      <c r="I2" s="420" t="s">
        <v>17</v>
      </c>
      <c r="J2" s="421" t="s">
        <v>18</v>
      </c>
      <c r="K2" s="366" t="s">
        <v>77</v>
      </c>
      <c r="L2" s="366" t="s">
        <v>56</v>
      </c>
      <c r="M2" s="376" t="s">
        <v>60</v>
      </c>
      <c r="N2" s="376" t="s">
        <v>61</v>
      </c>
    </row>
    <row r="3" spans="1:14" ht="12.75">
      <c r="A3" s="414">
        <v>1</v>
      </c>
      <c r="B3" s="491">
        <f>'Super Point Data'!A$104</f>
        <v>0</v>
      </c>
      <c r="C3" s="491">
        <f>'Super Point Data'!B$104</f>
        <v>0</v>
      </c>
      <c r="D3" s="491">
        <f>'Super Point Data'!C$104</f>
        <v>0</v>
      </c>
      <c r="E3" s="388">
        <f>SQRT((B3)^2+(C3)^2+(D3)^2)</f>
        <v>0</v>
      </c>
      <c r="F3" s="388">
        <f>E3/12</f>
        <v>0</v>
      </c>
      <c r="G3" s="388">
        <f>F3*0.3048</f>
        <v>0</v>
      </c>
      <c r="H3" s="422"/>
      <c r="I3" s="423"/>
      <c r="J3" s="424"/>
      <c r="K3" s="428">
        <f>IF(AND(ISBLANK(H3),ISBLANK(I3),ISBLANK(J3)),"",SQRT((B3-H3)^2+(C3-I3)^2+(D3-J3)^2))</f>
      </c>
      <c r="L3" s="428">
        <f>IF(AND(ISBLANK(H3),ISBLANK(I3),ISBLANK(J3)),"",0.00002+(G3*0.0000008)+0.000036+(G3*0.000006)*39.3701)</f>
      </c>
      <c r="M3" s="428">
        <f>IF(AND(ISBLANK(H3),ISBLANK(I3),ISBLANK(J3)),"",ABS(K3-L3))</f>
      </c>
      <c r="N3" s="387">
        <f>IF(AND(ISBLANK(H3),ISBLANK(I3),ISBLANK(J3)),"",IF(K3&gt;L3*2,"FAIL","PASS"))</f>
      </c>
    </row>
    <row r="4" spans="1:14" ht="12.75">
      <c r="A4" s="414">
        <v>2</v>
      </c>
      <c r="B4" s="491">
        <f>'Super Point Data'!D$104</f>
        <v>0</v>
      </c>
      <c r="C4" s="491">
        <f>'Super Point Data'!E$104</f>
        <v>0</v>
      </c>
      <c r="D4" s="491">
        <f>'Super Point Data'!F$104</f>
        <v>0</v>
      </c>
      <c r="E4" s="388">
        <f aca="true" t="shared" si="0" ref="E4:E10">SQRT((B4)^2+(C4)^2+(D4)^2)</f>
        <v>0</v>
      </c>
      <c r="F4" s="388">
        <f aca="true" t="shared" si="1" ref="F4:F10">E4/12</f>
        <v>0</v>
      </c>
      <c r="G4" s="388">
        <f aca="true" t="shared" si="2" ref="G4:G10">F4*0.3048</f>
        <v>0</v>
      </c>
      <c r="H4" s="422"/>
      <c r="I4" s="423"/>
      <c r="J4" s="424"/>
      <c r="K4" s="428">
        <f>IF(AND(ISBLANK(H4),ISBLANK(I4),ISBLANK(J4)),"",SQRT((B4-H4)^2+(C4-I4)^2+(D4-J4)^2))</f>
      </c>
      <c r="L4" s="428">
        <f>IF(AND(ISBLANK(H4),ISBLANK(I4),ISBLANK(J4)),"",0.00002+(G4*0.0000008)+0.000036+(G4*0.000006)*39.3701)</f>
      </c>
      <c r="M4" s="428">
        <f>IF(AND(ISBLANK(H4),ISBLANK(I4),ISBLANK(J4)),"",ABS(K4-L4))</f>
      </c>
      <c r="N4" s="387">
        <f>IF(AND(ISBLANK(H4),ISBLANK(I4),ISBLANK(J4)),"",IF(K4&gt;L4*2,"FAIL","PASS"))</f>
      </c>
    </row>
    <row r="5" spans="1:14" ht="12.75">
      <c r="A5" s="414">
        <v>3</v>
      </c>
      <c r="B5" s="491">
        <f>'Super Point Data'!G$104</f>
        <v>0</v>
      </c>
      <c r="C5" s="491">
        <f>'Super Point Data'!H$104</f>
        <v>0</v>
      </c>
      <c r="D5" s="491">
        <f>'Super Point Data'!I$104</f>
        <v>0</v>
      </c>
      <c r="E5" s="388">
        <f t="shared" si="0"/>
        <v>0</v>
      </c>
      <c r="F5" s="388">
        <f t="shared" si="1"/>
        <v>0</v>
      </c>
      <c r="G5" s="388">
        <f t="shared" si="2"/>
        <v>0</v>
      </c>
      <c r="H5" s="422"/>
      <c r="I5" s="423"/>
      <c r="J5" s="424"/>
      <c r="K5" s="428">
        <f aca="true" t="shared" si="3" ref="K5:K10">IF(AND(ISBLANK(H5),ISBLANK(I5),ISBLANK(J5)),"",SQRT((B5-H5)^2+(C5-I5)^2+(D5-J5)^2))</f>
      </c>
      <c r="L5" s="428">
        <f aca="true" t="shared" si="4" ref="L5:L10">IF(AND(ISBLANK(H5),ISBLANK(I5),ISBLANK(J5)),"",0.00002+(G5*0.0000008)+0.000036+(G5*0.000006)*39.3701)</f>
      </c>
      <c r="M5" s="428">
        <f aca="true" t="shared" si="5" ref="M5:M10">IF(AND(ISBLANK(H5),ISBLANK(I5),ISBLANK(J5)),"",ABS(K5-L5))</f>
      </c>
      <c r="N5" s="387">
        <f aca="true" t="shared" si="6" ref="N5:N10">IF(AND(ISBLANK(H5),ISBLANK(I5),ISBLANK(J5)),"",IF(K5&gt;L5*2,"FAIL","PASS"))</f>
      </c>
    </row>
    <row r="6" spans="1:14" ht="12.75">
      <c r="A6" s="414">
        <v>4</v>
      </c>
      <c r="B6" s="491">
        <f>'Super Point Data'!J$104</f>
        <v>0</v>
      </c>
      <c r="C6" s="491">
        <f>'Super Point Data'!K$104</f>
        <v>0</v>
      </c>
      <c r="D6" s="491">
        <f>'Super Point Data'!L$104</f>
        <v>0</v>
      </c>
      <c r="E6" s="388">
        <f t="shared" si="0"/>
        <v>0</v>
      </c>
      <c r="F6" s="388">
        <f t="shared" si="1"/>
        <v>0</v>
      </c>
      <c r="G6" s="388">
        <f t="shared" si="2"/>
        <v>0</v>
      </c>
      <c r="H6" s="422"/>
      <c r="I6" s="423"/>
      <c r="J6" s="424"/>
      <c r="K6" s="428">
        <f t="shared" si="3"/>
      </c>
      <c r="L6" s="428">
        <f t="shared" si="4"/>
      </c>
      <c r="M6" s="428">
        <f t="shared" si="5"/>
      </c>
      <c r="N6" s="387">
        <f t="shared" si="6"/>
      </c>
    </row>
    <row r="7" spans="1:14" ht="12.75">
      <c r="A7" s="414">
        <v>5</v>
      </c>
      <c r="B7" s="491">
        <f>'Super Point Data'!M$104</f>
        <v>0</v>
      </c>
      <c r="C7" s="491">
        <f>'Super Point Data'!N$104</f>
        <v>0</v>
      </c>
      <c r="D7" s="491">
        <f>'Super Point Data'!C$104</f>
        <v>0</v>
      </c>
      <c r="E7" s="388">
        <f t="shared" si="0"/>
        <v>0</v>
      </c>
      <c r="F7" s="388">
        <f t="shared" si="1"/>
        <v>0</v>
      </c>
      <c r="G7" s="388">
        <f t="shared" si="2"/>
        <v>0</v>
      </c>
      <c r="H7" s="422"/>
      <c r="I7" s="423"/>
      <c r="J7" s="424"/>
      <c r="K7" s="428">
        <f t="shared" si="3"/>
      </c>
      <c r="L7" s="428">
        <f t="shared" si="4"/>
      </c>
      <c r="M7" s="428">
        <f t="shared" si="5"/>
      </c>
      <c r="N7" s="387">
        <f t="shared" si="6"/>
      </c>
    </row>
    <row r="8" spans="1:14" ht="12.75">
      <c r="A8" s="414">
        <v>6</v>
      </c>
      <c r="B8" s="491">
        <f>'Super Point Data'!P$104</f>
        <v>0</v>
      </c>
      <c r="C8" s="491">
        <f>'Super Point Data'!Q$104</f>
        <v>0</v>
      </c>
      <c r="D8" s="491">
        <f>'Super Point Data'!R$104</f>
        <v>0</v>
      </c>
      <c r="E8" s="388">
        <f t="shared" si="0"/>
        <v>0</v>
      </c>
      <c r="F8" s="388">
        <f t="shared" si="1"/>
        <v>0</v>
      </c>
      <c r="G8" s="388">
        <f t="shared" si="2"/>
        <v>0</v>
      </c>
      <c r="H8" s="422"/>
      <c r="I8" s="423"/>
      <c r="J8" s="424"/>
      <c r="K8" s="428">
        <f t="shared" si="3"/>
      </c>
      <c r="L8" s="428">
        <f t="shared" si="4"/>
      </c>
      <c r="M8" s="428">
        <f t="shared" si="5"/>
      </c>
      <c r="N8" s="387">
        <f t="shared" si="6"/>
      </c>
    </row>
    <row r="9" spans="1:14" ht="12.75">
      <c r="A9" s="414">
        <v>7</v>
      </c>
      <c r="B9" s="491">
        <f>'Super Point Data'!S$104</f>
        <v>0</v>
      </c>
      <c r="C9" s="491">
        <f>'Super Point Data'!T$104</f>
        <v>0</v>
      </c>
      <c r="D9" s="491">
        <f>'Super Point Data'!U$104</f>
        <v>0</v>
      </c>
      <c r="E9" s="388">
        <f t="shared" si="0"/>
        <v>0</v>
      </c>
      <c r="F9" s="388">
        <f t="shared" si="1"/>
        <v>0</v>
      </c>
      <c r="G9" s="388">
        <f t="shared" si="2"/>
        <v>0</v>
      </c>
      <c r="H9" s="422"/>
      <c r="I9" s="423"/>
      <c r="J9" s="424"/>
      <c r="K9" s="428">
        <f t="shared" si="3"/>
      </c>
      <c r="L9" s="428">
        <f t="shared" si="4"/>
      </c>
      <c r="M9" s="428">
        <f t="shared" si="5"/>
      </c>
      <c r="N9" s="387">
        <f t="shared" si="6"/>
      </c>
    </row>
    <row r="10" spans="1:14" ht="13.5" thickBot="1">
      <c r="A10" s="415">
        <v>8</v>
      </c>
      <c r="B10" s="491">
        <f>'Super Point Data'!V$104</f>
        <v>0</v>
      </c>
      <c r="C10" s="491">
        <f>'Super Point Data'!W$104</f>
        <v>0</v>
      </c>
      <c r="D10" s="491">
        <f>'Super Point Data'!X$104</f>
        <v>0</v>
      </c>
      <c r="E10" s="388">
        <f t="shared" si="0"/>
        <v>0</v>
      </c>
      <c r="F10" s="388">
        <f t="shared" si="1"/>
        <v>0</v>
      </c>
      <c r="G10" s="388">
        <f t="shared" si="2"/>
        <v>0</v>
      </c>
      <c r="H10" s="425"/>
      <c r="I10" s="426"/>
      <c r="J10" s="427"/>
      <c r="K10" s="428">
        <f t="shared" si="3"/>
      </c>
      <c r="L10" s="428">
        <f t="shared" si="4"/>
      </c>
      <c r="M10" s="428">
        <f t="shared" si="5"/>
      </c>
      <c r="N10" s="387">
        <f t="shared" si="6"/>
      </c>
    </row>
    <row r="11" ht="13.5" thickBot="1"/>
    <row r="12" spans="7:10" ht="12.75">
      <c r="G12" s="454"/>
      <c r="H12" s="443" t="s">
        <v>82</v>
      </c>
      <c r="I12" s="444" t="s">
        <v>83</v>
      </c>
      <c r="J12" s="445" t="s">
        <v>84</v>
      </c>
    </row>
    <row r="13" spans="7:11" ht="12.75">
      <c r="G13" s="446">
        <v>1</v>
      </c>
      <c r="H13" s="447">
        <f>B3-H3</f>
        <v>0</v>
      </c>
      <c r="I13" s="448">
        <f>C3-I3</f>
        <v>0</v>
      </c>
      <c r="J13" s="449">
        <f>D3-J3</f>
        <v>0</v>
      </c>
      <c r="K13" s="387"/>
    </row>
    <row r="14" spans="7:11" ht="12.75">
      <c r="G14" s="446">
        <v>2</v>
      </c>
      <c r="H14" s="447">
        <f aca="true" t="shared" si="7" ref="H14:H20">B4-H4</f>
        <v>0</v>
      </c>
      <c r="I14" s="448">
        <f aca="true" t="shared" si="8" ref="I14:I20">C4-I4</f>
        <v>0</v>
      </c>
      <c r="J14" s="449">
        <f aca="true" t="shared" si="9" ref="J14:J20">D4-J4</f>
        <v>0</v>
      </c>
      <c r="K14" s="387"/>
    </row>
    <row r="15" spans="7:11" ht="12.75">
      <c r="G15" s="446">
        <v>3</v>
      </c>
      <c r="H15" s="447">
        <f t="shared" si="7"/>
        <v>0</v>
      </c>
      <c r="I15" s="448">
        <f t="shared" si="8"/>
        <v>0</v>
      </c>
      <c r="J15" s="449">
        <f t="shared" si="9"/>
        <v>0</v>
      </c>
      <c r="K15" s="387"/>
    </row>
    <row r="16" spans="7:11" ht="12.75">
      <c r="G16" s="446">
        <v>4</v>
      </c>
      <c r="H16" s="447">
        <f t="shared" si="7"/>
        <v>0</v>
      </c>
      <c r="I16" s="448">
        <f t="shared" si="8"/>
        <v>0</v>
      </c>
      <c r="J16" s="449">
        <f t="shared" si="9"/>
        <v>0</v>
      </c>
      <c r="K16" s="387"/>
    </row>
    <row r="17" spans="7:11" ht="12.75">
      <c r="G17" s="446">
        <v>5</v>
      </c>
      <c r="H17" s="447">
        <f t="shared" si="7"/>
        <v>0</v>
      </c>
      <c r="I17" s="448">
        <f t="shared" si="8"/>
        <v>0</v>
      </c>
      <c r="J17" s="449">
        <f t="shared" si="9"/>
        <v>0</v>
      </c>
      <c r="K17" s="387"/>
    </row>
    <row r="18" spans="7:11" ht="12.75">
      <c r="G18" s="446">
        <v>6</v>
      </c>
      <c r="H18" s="447">
        <f t="shared" si="7"/>
        <v>0</v>
      </c>
      <c r="I18" s="448">
        <f t="shared" si="8"/>
        <v>0</v>
      </c>
      <c r="J18" s="449">
        <f t="shared" si="9"/>
        <v>0</v>
      </c>
      <c r="K18" s="387"/>
    </row>
    <row r="19" spans="7:11" ht="12.75">
      <c r="G19" s="446">
        <v>7</v>
      </c>
      <c r="H19" s="447">
        <f t="shared" si="7"/>
        <v>0</v>
      </c>
      <c r="I19" s="448">
        <f t="shared" si="8"/>
        <v>0</v>
      </c>
      <c r="J19" s="449">
        <f t="shared" si="9"/>
        <v>0</v>
      </c>
      <c r="K19" s="387"/>
    </row>
    <row r="20" spans="7:11" ht="13.5" thickBot="1">
      <c r="G20" s="450">
        <v>8</v>
      </c>
      <c r="H20" s="451">
        <f t="shared" si="7"/>
        <v>0</v>
      </c>
      <c r="I20" s="452">
        <f t="shared" si="8"/>
        <v>0</v>
      </c>
      <c r="J20" s="453">
        <f t="shared" si="9"/>
        <v>0</v>
      </c>
      <c r="K20" s="387"/>
    </row>
    <row r="24" ht="13.5" thickBot="1"/>
    <row r="25" spans="1:11" ht="18.75" thickBot="1">
      <c r="A25" s="386" t="s">
        <v>62</v>
      </c>
      <c r="B25" s="382"/>
      <c r="C25" s="382"/>
      <c r="D25" s="382"/>
      <c r="E25" s="381"/>
      <c r="F25" s="382" t="s">
        <v>63</v>
      </c>
      <c r="G25" s="382"/>
      <c r="H25" s="383"/>
      <c r="I25" s="382" t="s">
        <v>64</v>
      </c>
      <c r="J25" s="382"/>
      <c r="K25" s="383"/>
    </row>
    <row r="26" spans="1:11" ht="12.75">
      <c r="A26" s="390" t="s">
        <v>65</v>
      </c>
      <c r="B26" s="390" t="s">
        <v>65</v>
      </c>
      <c r="C26" s="390" t="s">
        <v>66</v>
      </c>
      <c r="D26" s="390" t="s">
        <v>67</v>
      </c>
      <c r="E26" s="384"/>
      <c r="F26" s="1" t="s">
        <v>59</v>
      </c>
      <c r="G26" s="1"/>
      <c r="H26" s="385"/>
      <c r="I26" s="1" t="s">
        <v>68</v>
      </c>
      <c r="J26" s="2"/>
      <c r="K26" s="389" t="s">
        <v>65</v>
      </c>
    </row>
    <row r="27" spans="1:11" ht="13.5" thickBot="1">
      <c r="A27" s="391" t="s">
        <v>57</v>
      </c>
      <c r="B27" s="391" t="s">
        <v>69</v>
      </c>
      <c r="C27" s="391" t="s">
        <v>69</v>
      </c>
      <c r="D27" s="391" t="s">
        <v>69</v>
      </c>
      <c r="E27" s="384"/>
      <c r="F27" s="2" t="s">
        <v>69</v>
      </c>
      <c r="G27" s="1"/>
      <c r="H27" s="389" t="s">
        <v>70</v>
      </c>
      <c r="I27" s="1"/>
      <c r="J27" s="2" t="s">
        <v>70</v>
      </c>
      <c r="K27" s="389" t="s">
        <v>71</v>
      </c>
    </row>
    <row r="28" spans="1:11" ht="12.75">
      <c r="A28" s="392">
        <v>0</v>
      </c>
      <c r="B28" s="392">
        <f>A28*0.3048</f>
        <v>0</v>
      </c>
      <c r="C28" s="393">
        <f>0.00002+(B28*0.0000008)</f>
        <v>2E-05</v>
      </c>
      <c r="D28" s="393">
        <f>0.000036+(B28*0.000006)</f>
        <v>3.6E-05</v>
      </c>
      <c r="E28" s="396" t="s">
        <v>72</v>
      </c>
      <c r="F28" s="397">
        <f aca="true" t="shared" si="10" ref="F28:F36">C28+D28</f>
        <v>5.6000000000000006E-05</v>
      </c>
      <c r="G28" s="398" t="s">
        <v>72</v>
      </c>
      <c r="H28" s="399">
        <f aca="true" t="shared" si="11" ref="H28:H36">F28*39.3701</f>
        <v>0.0022047256000000005</v>
      </c>
      <c r="I28" s="398" t="s">
        <v>72</v>
      </c>
      <c r="J28" s="397">
        <f aca="true" t="shared" si="12" ref="J28:J36">H28/2</f>
        <v>0.0011023628000000002</v>
      </c>
      <c r="K28" s="399">
        <v>0</v>
      </c>
    </row>
    <row r="29" spans="1:11" ht="12.75">
      <c r="A29" s="392">
        <v>5</v>
      </c>
      <c r="B29" s="392">
        <f aca="true" t="shared" si="13" ref="B29:B36">A29*0.3048</f>
        <v>1.524</v>
      </c>
      <c r="C29" s="393">
        <f aca="true" t="shared" si="14" ref="C29:C36">0.00002+(B29*0.0000008)</f>
        <v>2.1219200000000002E-05</v>
      </c>
      <c r="D29" s="393">
        <f aca="true" t="shared" si="15" ref="D29:D36">0.000036+(B29*0.000006)</f>
        <v>4.5144E-05</v>
      </c>
      <c r="E29" s="400" t="s">
        <v>72</v>
      </c>
      <c r="F29" s="401">
        <f t="shared" si="10"/>
        <v>6.63632E-05</v>
      </c>
      <c r="G29" s="402" t="s">
        <v>72</v>
      </c>
      <c r="H29" s="403">
        <f t="shared" si="11"/>
        <v>0.00261272582032</v>
      </c>
      <c r="I29" s="402" t="s">
        <v>72</v>
      </c>
      <c r="J29" s="401">
        <f t="shared" si="12"/>
        <v>0.00130636291016</v>
      </c>
      <c r="K29" s="403">
        <v>5</v>
      </c>
    </row>
    <row r="30" spans="1:11" ht="12.75">
      <c r="A30" s="392">
        <v>10</v>
      </c>
      <c r="B30" s="392">
        <f t="shared" si="13"/>
        <v>3.048</v>
      </c>
      <c r="C30" s="393">
        <f t="shared" si="14"/>
        <v>2.2438400000000002E-05</v>
      </c>
      <c r="D30" s="393">
        <f t="shared" si="15"/>
        <v>5.4288000000000006E-05</v>
      </c>
      <c r="E30" s="400" t="s">
        <v>72</v>
      </c>
      <c r="F30" s="401">
        <f t="shared" si="10"/>
        <v>7.672640000000001E-05</v>
      </c>
      <c r="G30" s="402" t="s">
        <v>72</v>
      </c>
      <c r="H30" s="403">
        <f t="shared" si="11"/>
        <v>0.0030207260406400005</v>
      </c>
      <c r="I30" s="402" t="s">
        <v>72</v>
      </c>
      <c r="J30" s="401">
        <f t="shared" si="12"/>
        <v>0.0015103630203200003</v>
      </c>
      <c r="K30" s="403">
        <v>10</v>
      </c>
    </row>
    <row r="31" spans="1:11" ht="12.75">
      <c r="A31" s="392">
        <v>15</v>
      </c>
      <c r="B31" s="392">
        <f t="shared" si="13"/>
        <v>4.572</v>
      </c>
      <c r="C31" s="393">
        <f t="shared" si="14"/>
        <v>2.3657600000000002E-05</v>
      </c>
      <c r="D31" s="393">
        <f t="shared" si="15"/>
        <v>6.3432E-05</v>
      </c>
      <c r="E31" s="400" t="s">
        <v>72</v>
      </c>
      <c r="F31" s="401">
        <f t="shared" si="10"/>
        <v>8.708960000000001E-05</v>
      </c>
      <c r="G31" s="402" t="s">
        <v>72</v>
      </c>
      <c r="H31" s="403">
        <f t="shared" si="11"/>
        <v>0.0034287262609600006</v>
      </c>
      <c r="I31" s="402" t="s">
        <v>72</v>
      </c>
      <c r="J31" s="401">
        <f t="shared" si="12"/>
        <v>0.0017143631304800003</v>
      </c>
      <c r="K31" s="403">
        <v>15</v>
      </c>
    </row>
    <row r="32" spans="1:11" ht="12.75">
      <c r="A32" s="392">
        <v>20</v>
      </c>
      <c r="B32" s="392">
        <f t="shared" si="13"/>
        <v>6.096</v>
      </c>
      <c r="C32" s="393">
        <f t="shared" si="14"/>
        <v>2.4876800000000002E-05</v>
      </c>
      <c r="D32" s="393">
        <f t="shared" si="15"/>
        <v>7.2576E-05</v>
      </c>
      <c r="E32" s="400" t="s">
        <v>72</v>
      </c>
      <c r="F32" s="401">
        <f t="shared" si="10"/>
        <v>9.74528E-05</v>
      </c>
      <c r="G32" s="402" t="s">
        <v>72</v>
      </c>
      <c r="H32" s="403">
        <f t="shared" si="11"/>
        <v>0.00383672648128</v>
      </c>
      <c r="I32" s="402" t="s">
        <v>72</v>
      </c>
      <c r="J32" s="401">
        <f t="shared" si="12"/>
        <v>0.00191836324064</v>
      </c>
      <c r="K32" s="403">
        <v>20</v>
      </c>
    </row>
    <row r="33" spans="1:11" ht="12.75">
      <c r="A33" s="392">
        <v>25</v>
      </c>
      <c r="B33" s="392">
        <f t="shared" si="13"/>
        <v>7.62</v>
      </c>
      <c r="C33" s="393">
        <f t="shared" si="14"/>
        <v>2.6096000000000002E-05</v>
      </c>
      <c r="D33" s="393">
        <f t="shared" si="15"/>
        <v>8.172E-05</v>
      </c>
      <c r="E33" s="400" t="s">
        <v>72</v>
      </c>
      <c r="F33" s="401">
        <f t="shared" si="10"/>
        <v>0.000107816</v>
      </c>
      <c r="G33" s="402" t="s">
        <v>72</v>
      </c>
      <c r="H33" s="403">
        <f t="shared" si="11"/>
        <v>0.0042447267016</v>
      </c>
      <c r="I33" s="402" t="s">
        <v>72</v>
      </c>
      <c r="J33" s="401">
        <f t="shared" si="12"/>
        <v>0.0021223633508</v>
      </c>
      <c r="K33" s="403">
        <v>25</v>
      </c>
    </row>
    <row r="34" spans="1:11" ht="12.75">
      <c r="A34" s="392">
        <v>30</v>
      </c>
      <c r="B34" s="392">
        <f t="shared" si="13"/>
        <v>9.144</v>
      </c>
      <c r="C34" s="393">
        <f t="shared" si="14"/>
        <v>2.7315200000000002E-05</v>
      </c>
      <c r="D34" s="393">
        <f t="shared" si="15"/>
        <v>9.0864E-05</v>
      </c>
      <c r="E34" s="400" t="s">
        <v>72</v>
      </c>
      <c r="F34" s="401">
        <f t="shared" si="10"/>
        <v>0.00011817920000000001</v>
      </c>
      <c r="G34" s="402" t="s">
        <v>72</v>
      </c>
      <c r="H34" s="403">
        <f t="shared" si="11"/>
        <v>0.004652726921920001</v>
      </c>
      <c r="I34" s="402" t="s">
        <v>72</v>
      </c>
      <c r="J34" s="401">
        <f t="shared" si="12"/>
        <v>0.0023263634609600003</v>
      </c>
      <c r="K34" s="403">
        <v>30</v>
      </c>
    </row>
    <row r="35" spans="1:11" ht="12.75">
      <c r="A35" s="392">
        <v>35</v>
      </c>
      <c r="B35" s="392">
        <f t="shared" si="13"/>
        <v>10.668000000000001</v>
      </c>
      <c r="C35" s="393">
        <f t="shared" si="14"/>
        <v>2.8534400000000002E-05</v>
      </c>
      <c r="D35" s="393">
        <f t="shared" si="15"/>
        <v>0.00010000800000000001</v>
      </c>
      <c r="E35" s="400" t="s">
        <v>72</v>
      </c>
      <c r="F35" s="401">
        <f t="shared" si="10"/>
        <v>0.00012854240000000002</v>
      </c>
      <c r="G35" s="402" t="s">
        <v>72</v>
      </c>
      <c r="H35" s="403">
        <f t="shared" si="11"/>
        <v>0.005060727142240001</v>
      </c>
      <c r="I35" s="402" t="s">
        <v>72</v>
      </c>
      <c r="J35" s="401">
        <f t="shared" si="12"/>
        <v>0.0025303635711200006</v>
      </c>
      <c r="K35" s="403">
        <v>35</v>
      </c>
    </row>
    <row r="36" spans="1:11" ht="13.5" thickBot="1">
      <c r="A36" s="394">
        <v>40</v>
      </c>
      <c r="B36" s="394">
        <f t="shared" si="13"/>
        <v>12.192</v>
      </c>
      <c r="C36" s="395">
        <f t="shared" si="14"/>
        <v>2.97536E-05</v>
      </c>
      <c r="D36" s="395">
        <f t="shared" si="15"/>
        <v>0.000109152</v>
      </c>
      <c r="E36" s="404" t="s">
        <v>72</v>
      </c>
      <c r="F36" s="405">
        <f t="shared" si="10"/>
        <v>0.0001389056</v>
      </c>
      <c r="G36" s="406" t="s">
        <v>72</v>
      </c>
      <c r="H36" s="407">
        <f t="shared" si="11"/>
        <v>0.00546872736256</v>
      </c>
      <c r="I36" s="406" t="s">
        <v>72</v>
      </c>
      <c r="J36" s="405">
        <f t="shared" si="12"/>
        <v>0.00273436368128</v>
      </c>
      <c r="K36" s="407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2008-01-02T19:49:37Z</dcterms:modified>
  <cp:category/>
  <cp:version/>
  <cp:contentType/>
  <cp:contentStatus/>
</cp:coreProperties>
</file>