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" yWindow="132" windowWidth="14388" windowHeight="8856" activeTab="0"/>
  </bookViews>
  <sheets>
    <sheet name="Invoice Report" sheetId="1" r:id="rId1"/>
    <sheet name="Invoice Report History" sheetId="2" r:id="rId2"/>
    <sheet name="Data Map" sheetId="3" r:id="rId3"/>
  </sheets>
  <definedNames>
    <definedName name="_xlnm.Print_Area" localSheetId="0">'Invoice Report'!$A$1:$P$23</definedName>
    <definedName name="_xlnm.Print_Area" localSheetId="1">'Invoice Report History'!$A$1:$AC$23</definedName>
    <definedName name="_xlnm.Print_Titles" localSheetId="0">'Invoice Report'!$1:$3</definedName>
    <definedName name="_xlnm.Print_Titles" localSheetId="1">'Invoice Report History'!$1:$3</definedName>
  </definedNames>
  <calcPr fullCalcOnLoad="1"/>
</workbook>
</file>

<file path=xl/comments2.xml><?xml version="1.0" encoding="utf-8"?>
<comments xmlns="http://schemas.openxmlformats.org/spreadsheetml/2006/main">
  <authors>
    <author>Mike Manuel</author>
  </authors>
  <commentList>
    <comment ref="R10" authorId="0">
      <text>
        <r>
          <rPr>
            <b/>
            <sz val="10"/>
            <rFont val="Tahoma"/>
            <family val="0"/>
          </rPr>
          <t>Mike Manuel:</t>
        </r>
        <r>
          <rPr>
            <sz val="10"/>
            <rFont val="Tahoma"/>
            <family val="0"/>
          </rPr>
          <t xml:space="preserve">
Lot 1 SubID 0 Seq 10</t>
        </r>
      </text>
    </comment>
    <comment ref="R11" authorId="0">
      <text>
        <r>
          <rPr>
            <b/>
            <sz val="10"/>
            <rFont val="Tahoma"/>
            <family val="0"/>
          </rPr>
          <t>Mike Manuel:</t>
        </r>
        <r>
          <rPr>
            <sz val="10"/>
            <rFont val="Tahoma"/>
            <family val="0"/>
          </rPr>
          <t xml:space="preserve">
Lot 1 SubID 0 Seq 11</t>
        </r>
      </text>
    </comment>
    <comment ref="R17" authorId="0">
      <text>
        <r>
          <rPr>
            <b/>
            <sz val="10"/>
            <rFont val="Tahoma"/>
            <family val="0"/>
          </rPr>
          <t>Mike Manuel:</t>
        </r>
        <r>
          <rPr>
            <sz val="10"/>
            <rFont val="Tahoma"/>
            <family val="0"/>
          </rPr>
          <t xml:space="preserve">
Lot 1 SubID 0 Seq 12</t>
        </r>
      </text>
    </comment>
    <comment ref="R18" authorId="0">
      <text>
        <r>
          <rPr>
            <b/>
            <sz val="10"/>
            <rFont val="Tahoma"/>
            <family val="0"/>
          </rPr>
          <t>Mike Manuel:</t>
        </r>
        <r>
          <rPr>
            <sz val="10"/>
            <rFont val="Tahoma"/>
            <family val="0"/>
          </rPr>
          <t xml:space="preserve">
Lot 1 SubID 0 Seq 13</t>
        </r>
      </text>
    </comment>
    <comment ref="R16" authorId="0">
      <text>
        <r>
          <rPr>
            <b/>
            <sz val="10"/>
            <rFont val="Tahoma"/>
            <family val="0"/>
          </rPr>
          <t>Mike Manuel:</t>
        </r>
        <r>
          <rPr>
            <sz val="10"/>
            <rFont val="Tahoma"/>
            <family val="0"/>
          </rPr>
          <t xml:space="preserve">
Lot 2 SubID 0 Seq 10 &amp; 15</t>
        </r>
      </text>
    </comment>
    <comment ref="R13" authorId="0">
      <text>
        <r>
          <rPr>
            <b/>
            <sz val="10"/>
            <rFont val="Tahoma"/>
            <family val="0"/>
          </rPr>
          <t>Mike Manuel:</t>
        </r>
        <r>
          <rPr>
            <sz val="10"/>
            <rFont val="Tahoma"/>
            <family val="0"/>
          </rPr>
          <t xml:space="preserve">
Lot 1 SubID 0 Seq 14</t>
        </r>
      </text>
    </comment>
    <comment ref="AB7" authorId="0">
      <text>
        <r>
          <rPr>
            <b/>
            <sz val="10"/>
            <rFont val="Tahoma"/>
            <family val="0"/>
          </rPr>
          <t>Mike Manuel:</t>
        </r>
        <r>
          <rPr>
            <sz val="10"/>
            <rFont val="Tahoma"/>
            <family val="0"/>
          </rPr>
          <t xml:space="preserve">
Formula
subtract all past invoices from Invoice Total </t>
        </r>
      </text>
    </comment>
    <comment ref="AA7" authorId="0">
      <text>
        <r>
          <rPr>
            <b/>
            <sz val="10"/>
            <rFont val="Tahoma"/>
            <family val="0"/>
          </rPr>
          <t>Mike Manuel: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<sst xmlns="http://schemas.openxmlformats.org/spreadsheetml/2006/main" count="251" uniqueCount="105">
  <si>
    <t>Baseline</t>
  </si>
  <si>
    <t>Start</t>
  </si>
  <si>
    <t>Finish</t>
  </si>
  <si>
    <t>Forecast or Actual</t>
  </si>
  <si>
    <t>BCWP</t>
  </si>
  <si>
    <t>Total</t>
  </si>
  <si>
    <t>Task 1</t>
  </si>
  <si>
    <t>Task 2</t>
  </si>
  <si>
    <t>Task 4</t>
  </si>
  <si>
    <t>Task 5</t>
  </si>
  <si>
    <t>Task 6</t>
  </si>
  <si>
    <t>%</t>
  </si>
  <si>
    <t>Prerequisites (list task numbers)</t>
  </si>
  <si>
    <t xml:space="preserve">(budget x %) 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</si>
  <si>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</si>
  <si>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</si>
  <si>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</si>
  <si>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</si>
  <si>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</si>
  <si>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</si>
  <si>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</si>
  <si>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</si>
  <si>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</si>
  <si>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W</t>
  </si>
  <si>
    <t>A</t>
  </si>
  <si>
    <t>Task 3</t>
  </si>
  <si>
    <t xml:space="preserve">                           </t>
  </si>
  <si>
    <t>SOW 3.2.1</t>
  </si>
  <si>
    <t>SOW 5.0</t>
  </si>
  <si>
    <t>VVSA Manufacturing Methods.  Plus related technical reports.</t>
  </si>
  <si>
    <t>MIT and Quality Plans for the PVVS</t>
  </si>
  <si>
    <t>Manufacture Dies</t>
  </si>
  <si>
    <t>Manufacture the PVVS</t>
  </si>
  <si>
    <t>SOW 3.2.2</t>
  </si>
  <si>
    <t>Description</t>
  </si>
  <si>
    <t>SOW 3.3.1 &amp;.2</t>
  </si>
  <si>
    <t>Final MIT and QA Plans for the VVSA/Firm Fixed Cost Proposal</t>
  </si>
  <si>
    <t>Task 8</t>
  </si>
  <si>
    <t>Manufacture the Fixtures</t>
  </si>
  <si>
    <t>Engineering &amp; Project Management</t>
  </si>
  <si>
    <t>Procure PVVS Materials</t>
  </si>
  <si>
    <t>April 10 '03</t>
  </si>
  <si>
    <t>May 30 '03</t>
  </si>
  <si>
    <t>May 23 '03</t>
  </si>
  <si>
    <t>Nov 15 '03</t>
  </si>
  <si>
    <t>SOW 3.1</t>
  </si>
  <si>
    <t>Procure Material Dies</t>
  </si>
  <si>
    <t>July 7 '03</t>
  </si>
  <si>
    <t>Aug 8 '03</t>
  </si>
  <si>
    <t>June 27 '03</t>
  </si>
  <si>
    <t>Oct 13 '03</t>
  </si>
  <si>
    <t>Sept 12 '03</t>
  </si>
  <si>
    <t>July 31 '03</t>
  </si>
  <si>
    <t>June 16 '03</t>
  </si>
  <si>
    <t>64880 Lot 2 - less labor</t>
  </si>
  <si>
    <t>64880 Lot 2 - less Mat'l</t>
  </si>
  <si>
    <t>64880 Lot 3</t>
  </si>
  <si>
    <t>June 20 '03</t>
  </si>
  <si>
    <t>June 30 '03</t>
  </si>
  <si>
    <t>June 6 '03</t>
  </si>
  <si>
    <t>Task 7</t>
  </si>
  <si>
    <t>Task 9</t>
  </si>
  <si>
    <t>64880 Lot 1 - Task 1,2,3,8&amp;9</t>
  </si>
  <si>
    <t>64880 Lot 1 - Task 1,2,4,8&amp;9</t>
  </si>
  <si>
    <t>64880 Lot 1 - Task 1,2,3, 4,&amp;9</t>
  </si>
  <si>
    <t>64880 Lot 1 - Task 1,2,3, 4,&amp;8</t>
  </si>
  <si>
    <t>64880 Lot 1 - Task 2,3, 4,8&amp;9</t>
  </si>
  <si>
    <t>64880 Lot 1 - Task 1,3, 4,8&amp;9</t>
  </si>
  <si>
    <t>Contract: Subcontract S-04344-F</t>
  </si>
  <si>
    <t>Budget on 11/03
Ref Q03-00639</t>
  </si>
  <si>
    <t>Nov 25 '03</t>
  </si>
  <si>
    <t>Dec 08 '03</t>
  </si>
  <si>
    <t>Sept 18 '03</t>
  </si>
  <si>
    <t>Nov 21  '03</t>
  </si>
  <si>
    <t>Feb 26' 04</t>
  </si>
  <si>
    <t>Feb 19 ' 04</t>
  </si>
  <si>
    <t>Dec 22 '03</t>
  </si>
  <si>
    <t>Orig
Budget</t>
  </si>
  <si>
    <t>Actual
Eng  Hrs to Date</t>
  </si>
  <si>
    <t>Eng to date with FEE</t>
  </si>
  <si>
    <t>4 INVOICING</t>
  </si>
  <si>
    <t>COST TO DATE
12/12/2003</t>
  </si>
  <si>
    <t>Formula</t>
  </si>
  <si>
    <t>Over Budget Less all Fees</t>
  </si>
  <si>
    <t>Values</t>
  </si>
  <si>
    <t>Difference From Previous Invoices</t>
  </si>
  <si>
    <t>Invoice
NONE</t>
  </si>
  <si>
    <t>Pasted</t>
  </si>
  <si>
    <t>update each inv</t>
  </si>
  <si>
    <t>Date:  December 15, 2003</t>
  </si>
  <si>
    <t>Completed Effort</t>
  </si>
  <si>
    <t>Q639 Budget
Eng
Hours</t>
  </si>
  <si>
    <t>NCSX Contract Plan and Reporting (Invoicing)</t>
  </si>
  <si>
    <t>From Work Summary Plus 7.5%</t>
  </si>
  <si>
    <t>From Work Summary
 NO FEE</t>
  </si>
  <si>
    <t>Estimated at Completion</t>
  </si>
  <si>
    <t>90 % --------&gt;</t>
  </si>
  <si>
    <t>Invoice 90 % of Budgeted--------&gt;</t>
  </si>
  <si>
    <t>Est to complete</t>
  </si>
  <si>
    <t>Cost to Date Before Adjustment</t>
  </si>
  <si>
    <t xml:space="preserve">Cost to Date Total </t>
  </si>
  <si>
    <t>Invoice Total
12/23/2003</t>
  </si>
  <si>
    <t>$ to Date
This Month's
Invoice 12/23/2003</t>
  </si>
  <si>
    <t>This Month's
Invoice 12/23/2003</t>
  </si>
  <si>
    <t>Q03-00639 Adjusted 1/5/04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</si>
</sst>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&quot;$&quot;* #,##0.000_);_(&quot;$&quot;* \(#,##0.000\);_(&quot;$&quot;* &quot;-&quot;???_);_(@_)"/>
  </numFmts>
  <fonts count="14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44" fontId="0" fillId="0" borderId="3" xfId="17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9" fontId="0" fillId="0" borderId="3" xfId="19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Continuous" wrapText="1"/>
    </xf>
    <xf numFmtId="0" fontId="0" fillId="0" borderId="4" xfId="0" applyBorder="1" applyAlignment="1">
      <alignment horizontal="center" wrapText="1"/>
    </xf>
    <xf numFmtId="44" fontId="0" fillId="0" borderId="5" xfId="17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44" fontId="0" fillId="0" borderId="3" xfId="17" applyFont="1" applyBorder="1" applyAlignment="1">
      <alignment vertical="center"/>
    </xf>
    <xf numFmtId="44" fontId="0" fillId="0" borderId="5" xfId="17" applyFont="1" applyBorder="1" applyAlignment="1">
      <alignment vertic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wrapText="1"/>
    </xf>
    <xf numFmtId="2" fontId="7" fillId="0" borderId="0" xfId="0" applyNumberFormat="1" applyFont="1" applyAlignment="1">
      <alignment horizontal="left"/>
    </xf>
    <xf numFmtId="44" fontId="0" fillId="2" borderId="0" xfId="17" applyFill="1" applyBorder="1" applyAlignment="1">
      <alignment/>
    </xf>
    <xf numFmtId="44" fontId="0" fillId="0" borderId="11" xfId="17" applyBorder="1" applyAlignment="1">
      <alignment vertical="center"/>
    </xf>
    <xf numFmtId="44" fontId="0" fillId="3" borderId="3" xfId="17" applyFill="1" applyBorder="1" applyAlignment="1">
      <alignment vertical="center"/>
    </xf>
    <xf numFmtId="44" fontId="0" fillId="3" borderId="3" xfId="17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165" fontId="0" fillId="3" borderId="3" xfId="17" applyNumberFormat="1" applyFill="1" applyBorder="1" applyAlignment="1">
      <alignment horizontal="center" vertical="center"/>
    </xf>
    <xf numFmtId="165" fontId="0" fillId="3" borderId="5" xfId="17" applyNumberFormat="1" applyFill="1" applyBorder="1" applyAlignment="1">
      <alignment horizontal="center" vertical="center"/>
    </xf>
    <xf numFmtId="44" fontId="0" fillId="3" borderId="5" xfId="17" applyFill="1" applyBorder="1" applyAlignment="1">
      <alignment vertical="center"/>
    </xf>
    <xf numFmtId="44" fontId="0" fillId="3" borderId="5" xfId="17" applyFont="1" applyFill="1" applyBorder="1" applyAlignment="1">
      <alignment vertical="center"/>
    </xf>
    <xf numFmtId="165" fontId="0" fillId="3" borderId="11" xfId="17" applyNumberFormat="1" applyFill="1" applyBorder="1" applyAlignment="1">
      <alignment horizontal="center" vertical="center"/>
    </xf>
    <xf numFmtId="44" fontId="0" fillId="3" borderId="11" xfId="17" applyFill="1" applyBorder="1" applyAlignment="1">
      <alignment vertical="center"/>
    </xf>
    <xf numFmtId="44" fontId="0" fillId="3" borderId="10" xfId="17" applyFill="1" applyBorder="1" applyAlignment="1">
      <alignment vertical="center"/>
    </xf>
    <xf numFmtId="44" fontId="0" fillId="3" borderId="12" xfId="17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44" fontId="0" fillId="3" borderId="16" xfId="17" applyFont="1" applyFill="1" applyBorder="1" applyAlignment="1">
      <alignment vertical="center"/>
    </xf>
    <xf numFmtId="44" fontId="0" fillId="3" borderId="11" xfId="17" applyFont="1" applyFill="1" applyBorder="1" applyAlignment="1">
      <alignment vertical="center"/>
    </xf>
    <xf numFmtId="44" fontId="0" fillId="3" borderId="17" xfId="17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44" fontId="0" fillId="0" borderId="11" xfId="17" applyFont="1" applyBorder="1" applyAlignment="1">
      <alignment vertical="center"/>
    </xf>
    <xf numFmtId="44" fontId="0" fillId="2" borderId="0" xfId="0" applyNumberFormat="1" applyFill="1" applyBorder="1" applyAlignment="1">
      <alignment/>
    </xf>
    <xf numFmtId="44" fontId="0" fillId="0" borderId="12" xfId="17" applyFont="1" applyFill="1" applyBorder="1" applyAlignment="1">
      <alignment vertical="center"/>
    </xf>
    <xf numFmtId="44" fontId="0" fillId="0" borderId="16" xfId="17" applyFont="1" applyFill="1" applyBorder="1" applyAlignment="1">
      <alignment vertical="center"/>
    </xf>
    <xf numFmtId="44" fontId="0" fillId="0" borderId="11" xfId="17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9" fontId="0" fillId="0" borderId="5" xfId="19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7" xfId="0" applyFill="1" applyBorder="1" applyAlignment="1">
      <alignment/>
    </xf>
    <xf numFmtId="0" fontId="0" fillId="2" borderId="2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4" fontId="0" fillId="3" borderId="21" xfId="17" applyFont="1" applyFill="1" applyBorder="1" applyAlignment="1">
      <alignment vertical="center"/>
    </xf>
    <xf numFmtId="44" fontId="0" fillId="3" borderId="22" xfId="17" applyFont="1" applyFill="1" applyBorder="1" applyAlignment="1">
      <alignment vertical="center"/>
    </xf>
    <xf numFmtId="44" fontId="0" fillId="3" borderId="23" xfId="17" applyFont="1" applyFill="1" applyBorder="1" applyAlignment="1">
      <alignment vertical="center"/>
    </xf>
    <xf numFmtId="44" fontId="12" fillId="0" borderId="2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9" fontId="0" fillId="0" borderId="28" xfId="19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u val="none"/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../../../Local%20Settings/Temporary%20Internet%20Files/Contract%20Stuff/Q03-00639%20rev1.pdf" TargetMode="External" /><Relationship Id="rId2" Type="http://schemas.openxmlformats.org/officeDocument/2006/relationships/hyperlink" Target="../../../Local%20Settings/Temporary%20Internet%20Files/Submitted%20Docs/MIT%20and%20QA%20Plans/Submitt/Major%20Tool%20&amp;%20Machine%208th%20MIT.msg" TargetMode="External" /><Relationship Id="rId3" Type="http://schemas.openxmlformats.org/officeDocument/2006/relationships/hyperlink" Target="../../../Local%20Settings/Temporary%20Internet%20Files/OLKF9/PVVS%20Cost%20Spread%2020031015.pdf" TargetMode="External" /><Relationship Id="rId4" Type="http://schemas.openxmlformats.org/officeDocument/2006/relationships/image" Target="../media/image1.emf" /><Relationship Id="rId5" Type="http://schemas.openxmlformats.org/officeDocument/2006/relationships/hyperlink" Target="\\CHARLIE\GUPTA\mtmapps\Standard%20Engineer\Cost%20Summary.lnk" TargetMode="External" /><Relationship Id="rId6" Type="http://schemas.openxmlformats.org/officeDocument/2006/relationships/hyperlink" Target="\\CHARLIE\GUPTA\mtmapps\Standard%20Engineer\Workorder%20Status.ln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28575</xdr:rowOff>
    </xdr:from>
    <xdr:to>
      <xdr:col>14</xdr:col>
      <xdr:colOff>457200</xdr:colOff>
      <xdr:row>3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7239000" y="314325"/>
          <a:ext cx="2105025" cy="628650"/>
        </a:xfrm>
        <a:prstGeom prst="borderCallout2">
          <a:avLst>
            <a:gd name="adj1" fmla="val -115611"/>
            <a:gd name="adj2" fmla="val 192648"/>
            <a:gd name="adj3" fmla="val -88462"/>
            <a:gd name="adj4" fmla="val -32351"/>
            <a:gd name="adj5" fmla="val -53620"/>
            <a:gd name="adj6" fmla="val -32351"/>
            <a:gd name="adj7" fmla="val -163574"/>
            <a:gd name="adj8" fmla="val 186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Adjusted to match our actual processed that relates directly to our MIT as processed 12/15/03</a:t>
          </a:r>
        </a:p>
      </xdr:txBody>
    </xdr:sp>
    <xdr:clientData/>
  </xdr:twoCellAnchor>
  <xdr:twoCellAnchor>
    <xdr:from>
      <xdr:col>8</xdr:col>
      <xdr:colOff>676275</xdr:colOff>
      <xdr:row>23</xdr:row>
      <xdr:rowOff>28575</xdr:rowOff>
    </xdr:from>
    <xdr:to>
      <xdr:col>12</xdr:col>
      <xdr:colOff>257175</xdr:colOff>
      <xdr:row>29</xdr:row>
      <xdr:rowOff>123825</xdr:rowOff>
    </xdr:to>
    <xdr:sp>
      <xdr:nvSpPr>
        <xdr:cNvPr id="2" name="AutoShape 10"/>
        <xdr:cNvSpPr>
          <a:spLocks/>
        </xdr:cNvSpPr>
      </xdr:nvSpPr>
      <xdr:spPr>
        <a:xfrm>
          <a:off x="3876675" y="6467475"/>
          <a:ext cx="3438525" cy="1066800"/>
        </a:xfrm>
        <a:prstGeom prst="borderCallout2">
          <a:avLst>
            <a:gd name="adj1" fmla="val 77425"/>
            <a:gd name="adj2" fmla="val -127680"/>
            <a:gd name="adj3" fmla="val 67175"/>
            <a:gd name="adj4" fmla="val -39287"/>
            <a:gd name="adj5" fmla="val 52217"/>
            <a:gd name="adj6" fmla="val -39287"/>
            <a:gd name="adj7" fmla="val 77699"/>
            <a:gd name="adj8" fmla="val -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Increases;
Task 4 - following process to greater detail
Task 5 - more time inspecting than planned
Task 6 - quote was estimated based on ratio actual was higher
Task 7 - took longer to machine than planned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95250</xdr:rowOff>
    </xdr:from>
    <xdr:to>
      <xdr:col>6</xdr:col>
      <xdr:colOff>381000</xdr:colOff>
      <xdr:row>10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609850" y="257175"/>
          <a:ext cx="1428750" cy="1390650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MTM Quote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Submitted as pdf
Source:
Visual Manufacturing</a:t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9</xdr:col>
      <xdr:colOff>390525</xdr:colOff>
      <xdr:row>19</xdr:row>
      <xdr:rowOff>85725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448175" y="1771650"/>
          <a:ext cx="1428750" cy="1390650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Submitted as pdf
Source:
Visual Manufacturing</a:t>
          </a:r>
        </a:p>
      </xdr:txBody>
    </xdr:sp>
    <xdr:clientData/>
  </xdr:twoCellAnchor>
  <xdr:twoCellAnchor>
    <xdr:from>
      <xdr:col>0</xdr:col>
      <xdr:colOff>228600</xdr:colOff>
      <xdr:row>12</xdr:row>
      <xdr:rowOff>95250</xdr:rowOff>
    </xdr:from>
    <xdr:to>
      <xdr:col>4</xdr:col>
      <xdr:colOff>190500</xdr:colOff>
      <xdr:row>23</xdr:row>
      <xdr:rowOff>114300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228600" y="2038350"/>
          <a:ext cx="2400300" cy="180022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Cost and Price Detail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Submitted as pdf
Source:
Excel file with data imported from VM</a:t>
          </a:r>
        </a:p>
      </xdr:txBody>
    </xdr:sp>
    <xdr:clientData/>
  </xdr:twoCellAnchor>
  <xdr:twoCellAnchor>
    <xdr:from>
      <xdr:col>3</xdr:col>
      <xdr:colOff>361950</xdr:colOff>
      <xdr:row>23</xdr:row>
      <xdr:rowOff>76200</xdr:rowOff>
    </xdr:from>
    <xdr:to>
      <xdr:col>7</xdr:col>
      <xdr:colOff>209550</xdr:colOff>
      <xdr:row>34</xdr:row>
      <xdr:rowOff>38100</xdr:rowOff>
    </xdr:to>
    <xdr:grpSp>
      <xdr:nvGrpSpPr>
        <xdr:cNvPr id="4" name="Group 20"/>
        <xdr:cNvGrpSpPr>
          <a:grpSpLocks/>
        </xdr:cNvGrpSpPr>
      </xdr:nvGrpSpPr>
      <xdr:grpSpPr>
        <a:xfrm>
          <a:off x="2190750" y="3800475"/>
          <a:ext cx="2286000" cy="1743075"/>
          <a:chOff x="230" y="399"/>
          <a:chExt cx="240" cy="183"/>
        </a:xfrm>
        <a:solidFill>
          <a:srgbClr val="FFFFFF"/>
        </a:solidFill>
      </xdr:grpSpPr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0" y="399"/>
            <a:ext cx="240" cy="1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279" y="411"/>
            <a:ext cx="142" cy="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Labor Input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Source:
Terminals and Scanners</a:t>
            </a:r>
          </a:p>
        </xdr:txBody>
      </xdr:sp>
    </xdr:grpSp>
    <xdr:clientData/>
  </xdr:twoCellAnchor>
  <xdr:twoCellAnchor>
    <xdr:from>
      <xdr:col>6</xdr:col>
      <xdr:colOff>266700</xdr:colOff>
      <xdr:row>39</xdr:row>
      <xdr:rowOff>95250</xdr:rowOff>
    </xdr:from>
    <xdr:to>
      <xdr:col>9</xdr:col>
      <xdr:colOff>266700</xdr:colOff>
      <xdr:row>47</xdr:row>
      <xdr:rowOff>28575</xdr:rowOff>
    </xdr:to>
    <xdr:sp>
      <xdr:nvSpPr>
        <xdr:cNvPr id="7" name="AutoShape 9">
          <a:hlinkClick r:id="rId5"/>
        </xdr:cNvPr>
        <xdr:cNvSpPr>
          <a:spLocks/>
        </xdr:cNvSpPr>
      </xdr:nvSpPr>
      <xdr:spPr>
        <a:xfrm>
          <a:off x="3924300" y="6410325"/>
          <a:ext cx="1828800" cy="1228725"/>
        </a:xfrm>
        <a:prstGeom prst="foldedCorner">
          <a:avLst>
            <a:gd name="adj" fmla="val 22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Cost Summary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Source:
VM Report</a:t>
          </a:r>
        </a:p>
      </xdr:txBody>
    </xdr:sp>
    <xdr:clientData/>
  </xdr:twoCellAnchor>
  <xdr:twoCellAnchor>
    <xdr:from>
      <xdr:col>1</xdr:col>
      <xdr:colOff>304800</xdr:colOff>
      <xdr:row>39</xdr:row>
      <xdr:rowOff>76200</xdr:rowOff>
    </xdr:from>
    <xdr:to>
      <xdr:col>4</xdr:col>
      <xdr:colOff>304800</xdr:colOff>
      <xdr:row>47</xdr:row>
      <xdr:rowOff>9525</xdr:rowOff>
    </xdr:to>
    <xdr:sp>
      <xdr:nvSpPr>
        <xdr:cNvPr id="8" name="AutoShape 10">
          <a:hlinkClick r:id="rId6"/>
        </xdr:cNvPr>
        <xdr:cNvSpPr>
          <a:spLocks/>
        </xdr:cNvSpPr>
      </xdr:nvSpPr>
      <xdr:spPr>
        <a:xfrm>
          <a:off x="914400" y="6391275"/>
          <a:ext cx="1828800" cy="1228725"/>
        </a:xfrm>
        <a:prstGeom prst="foldedCorner">
          <a:avLst>
            <a:gd name="adj" fmla="val 22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Order Status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Source:
VM Report</a:t>
          </a:r>
        </a:p>
      </xdr:txBody>
    </xdr:sp>
    <xdr:clientData/>
  </xdr:twoCellAnchor>
  <xdr:twoCellAnchor>
    <xdr:from>
      <xdr:col>2</xdr:col>
      <xdr:colOff>552450</xdr:colOff>
      <xdr:row>51</xdr:row>
      <xdr:rowOff>95250</xdr:rowOff>
    </xdr:from>
    <xdr:to>
      <xdr:col>7</xdr:col>
      <xdr:colOff>495300</xdr:colOff>
      <xdr:row>60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1771650" y="8353425"/>
          <a:ext cx="2990850" cy="14859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Invoice Report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Submitted as pdf
Source:
Excel file with data imported from VM</a:t>
          </a:r>
        </a:p>
      </xdr:txBody>
    </xdr:sp>
    <xdr:clientData/>
  </xdr:twoCellAnchor>
  <xdr:twoCellAnchor>
    <xdr:from>
      <xdr:col>6</xdr:col>
      <xdr:colOff>381000</xdr:colOff>
      <xdr:row>5</xdr:row>
      <xdr:rowOff>142875</xdr:rowOff>
    </xdr:from>
    <xdr:to>
      <xdr:col>8</xdr:col>
      <xdr:colOff>285750</xdr:colOff>
      <xdr:row>10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4038600" y="952500"/>
          <a:ext cx="1123950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</xdr:row>
      <xdr:rowOff>142875</xdr:rowOff>
    </xdr:from>
    <xdr:to>
      <xdr:col>4</xdr:col>
      <xdr:colOff>171450</xdr:colOff>
      <xdr:row>12</xdr:row>
      <xdr:rowOff>95250</xdr:rowOff>
    </xdr:to>
    <xdr:sp>
      <xdr:nvSpPr>
        <xdr:cNvPr id="11" name="AutoShape 13"/>
        <xdr:cNvSpPr>
          <a:spLocks/>
        </xdr:cNvSpPr>
      </xdr:nvSpPr>
      <xdr:spPr>
        <a:xfrm flipH="1">
          <a:off x="1428750" y="952500"/>
          <a:ext cx="11811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19</xdr:row>
      <xdr:rowOff>85725</xdr:rowOff>
    </xdr:from>
    <xdr:to>
      <xdr:col>8</xdr:col>
      <xdr:colOff>285750</xdr:colOff>
      <xdr:row>23</xdr:row>
      <xdr:rowOff>76200</xdr:rowOff>
    </xdr:to>
    <xdr:sp>
      <xdr:nvSpPr>
        <xdr:cNvPr id="12" name="AutoShape 14"/>
        <xdr:cNvSpPr>
          <a:spLocks/>
        </xdr:cNvSpPr>
      </xdr:nvSpPr>
      <xdr:spPr>
        <a:xfrm flipH="1">
          <a:off x="3333750" y="3162300"/>
          <a:ext cx="1828800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34</xdr:row>
      <xdr:rowOff>38100</xdr:rowOff>
    </xdr:from>
    <xdr:to>
      <xdr:col>7</xdr:col>
      <xdr:colOff>571500</xdr:colOff>
      <xdr:row>39</xdr:row>
      <xdr:rowOff>95250</xdr:rowOff>
    </xdr:to>
    <xdr:sp>
      <xdr:nvSpPr>
        <xdr:cNvPr id="13" name="AutoShape 15"/>
        <xdr:cNvSpPr>
          <a:spLocks/>
        </xdr:cNvSpPr>
      </xdr:nvSpPr>
      <xdr:spPr>
        <a:xfrm>
          <a:off x="3333750" y="5543550"/>
          <a:ext cx="150495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5</xdr:col>
      <xdr:colOff>285750</xdr:colOff>
      <xdr:row>39</xdr:row>
      <xdr:rowOff>76200</xdr:rowOff>
    </xdr:to>
    <xdr:sp>
      <xdr:nvSpPr>
        <xdr:cNvPr id="14" name="AutoShape 16"/>
        <xdr:cNvSpPr>
          <a:spLocks/>
        </xdr:cNvSpPr>
      </xdr:nvSpPr>
      <xdr:spPr>
        <a:xfrm flipH="1">
          <a:off x="1828800" y="5543550"/>
          <a:ext cx="1504950" cy="847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5</xdr:col>
      <xdr:colOff>219075</xdr:colOff>
      <xdr:row>51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1828800" y="7620000"/>
          <a:ext cx="1438275" cy="733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28575</xdr:rowOff>
    </xdr:from>
    <xdr:to>
      <xdr:col>7</xdr:col>
      <xdr:colOff>571500</xdr:colOff>
      <xdr:row>51</xdr:row>
      <xdr:rowOff>95250</xdr:rowOff>
    </xdr:to>
    <xdr:sp>
      <xdr:nvSpPr>
        <xdr:cNvPr id="16" name="AutoShape 19"/>
        <xdr:cNvSpPr>
          <a:spLocks/>
        </xdr:cNvSpPr>
      </xdr:nvSpPr>
      <xdr:spPr>
        <a:xfrm flipH="1">
          <a:off x="3267075" y="7639050"/>
          <a:ext cx="1571625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zoomScaleNormal="75" zoomScaleSheetLayoutView="100" workbookViewId="0" topLeftCell="A1">
      <selection activeCell="N24" sqref="N24"/>
    </sheetView>
  </sheetViews>
  <sheetFormatPr defaultColWidth="9.140625" defaultRowHeight="12.75"/>
  <cols>
    <col min="1" max="1" width="7.7109375" style="0" customWidth="1"/>
    <col min="2" max="2" width="28.7109375" style="0" customWidth="1"/>
    <col min="3" max="3" width="23.421875" style="0" hidden="1" customWidth="1"/>
    <col min="4" max="4" width="11.57421875" style="0" customWidth="1"/>
    <col min="5" max="8" width="10.57421875" style="0" hidden="1" customWidth="1"/>
    <col min="9" max="9" width="12.57421875" style="0" customWidth="1"/>
    <col min="10" max="11" width="14.8515625" style="0" customWidth="1"/>
    <col min="12" max="12" width="15.57421875" style="0" bestFit="1" customWidth="1"/>
    <col min="13" max="14" width="13.7109375" style="0" customWidth="1"/>
    <col min="15" max="15" width="10.28125" style="4" customWidth="1"/>
    <col min="16" max="16" width="13.00390625" style="0" customWidth="1"/>
  </cols>
  <sheetData>
    <row r="1" spans="1:16" ht="22.5">
      <c r="A1" s="83" t="s">
        <v>92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18"/>
      <c r="P1" s="6"/>
    </row>
    <row r="2" spans="1:16" ht="23.25" thickBot="1">
      <c r="A2" s="33" t="s">
        <v>68</v>
      </c>
      <c r="B2" s="12"/>
      <c r="C2" s="12"/>
      <c r="D2" s="11"/>
      <c r="E2" s="6"/>
      <c r="F2" s="6"/>
      <c r="G2" s="6"/>
      <c r="H2" s="6"/>
      <c r="I2" s="6"/>
      <c r="J2" s="5"/>
      <c r="K2" s="5"/>
      <c r="L2" s="5"/>
      <c r="M2" s="5"/>
      <c r="N2" s="5"/>
      <c r="O2" s="18"/>
      <c r="P2" s="6"/>
    </row>
    <row r="3" spans="1:16" ht="23.25" thickBot="1">
      <c r="A3" s="33" t="s">
        <v>89</v>
      </c>
      <c r="B3" s="7"/>
      <c r="C3" s="7"/>
      <c r="D3" s="11"/>
      <c r="E3" s="6"/>
      <c r="F3" s="6"/>
      <c r="G3" s="6"/>
      <c r="H3" s="6"/>
      <c r="I3" s="6"/>
      <c r="J3" s="5"/>
      <c r="K3" s="5"/>
      <c r="L3" s="5"/>
      <c r="M3" s="5"/>
      <c r="N3" s="5"/>
      <c r="O3" s="18"/>
      <c r="P3" s="6"/>
    </row>
    <row r="4" spans="1:16" ht="22.5">
      <c r="A4" s="32"/>
      <c r="B4" s="86"/>
      <c r="C4" s="86"/>
      <c r="D4" s="86"/>
      <c r="E4" s="86"/>
      <c r="F4" s="86" t="s">
        <v>26</v>
      </c>
      <c r="G4" s="86"/>
      <c r="H4" s="86"/>
      <c r="I4" s="86"/>
      <c r="J4" s="87"/>
      <c r="K4" s="87"/>
      <c r="L4" s="88"/>
      <c r="M4" s="88"/>
      <c r="N4" s="88"/>
      <c r="O4" s="89"/>
      <c r="P4" s="86"/>
    </row>
    <row r="5" spans="1:16" ht="21">
      <c r="A5" s="9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8"/>
      <c r="P5" s="3"/>
    </row>
    <row r="6" spans="1:16" ht="6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8"/>
      <c r="P6" s="3"/>
    </row>
    <row r="7" spans="1:16" s="4" customFormat="1" ht="12.75">
      <c r="A7" s="59" t="s">
        <v>24</v>
      </c>
      <c r="B7" s="60" t="s">
        <v>14</v>
      </c>
      <c r="C7" s="60"/>
      <c r="D7" s="60" t="s">
        <v>15</v>
      </c>
      <c r="E7" s="60" t="s">
        <v>16</v>
      </c>
      <c r="F7" s="60" t="s">
        <v>17</v>
      </c>
      <c r="G7" s="60" t="s">
        <v>18</v>
      </c>
      <c r="H7" s="60" t="s">
        <v>19</v>
      </c>
      <c r="I7" s="60" t="s">
        <v>20</v>
      </c>
      <c r="J7" s="60" t="s">
        <v>23</v>
      </c>
      <c r="K7" s="60" t="s">
        <v>23</v>
      </c>
      <c r="L7" s="60"/>
      <c r="M7" s="60"/>
      <c r="N7" s="60"/>
      <c r="O7" s="60" t="s">
        <v>21</v>
      </c>
      <c r="P7" s="60" t="s">
        <v>22</v>
      </c>
    </row>
    <row r="8" spans="1:16" s="2" customFormat="1" ht="15.75" customHeight="1">
      <c r="A8" s="38"/>
      <c r="B8" s="28"/>
      <c r="C8" s="28"/>
      <c r="D8" s="28"/>
      <c r="E8" s="29" t="s">
        <v>0</v>
      </c>
      <c r="F8" s="29"/>
      <c r="G8" s="29" t="s">
        <v>3</v>
      </c>
      <c r="H8" s="29"/>
      <c r="I8" s="30" t="s">
        <v>5</v>
      </c>
      <c r="J8" s="84" t="s">
        <v>5</v>
      </c>
      <c r="K8" s="84" t="s">
        <v>5</v>
      </c>
      <c r="L8" s="84"/>
      <c r="M8" s="85"/>
      <c r="N8" s="84"/>
      <c r="O8" s="41" t="s">
        <v>11</v>
      </c>
      <c r="P8" s="30" t="s">
        <v>4</v>
      </c>
    </row>
    <row r="9" spans="1:16" s="13" customFormat="1" ht="39">
      <c r="A9" s="39"/>
      <c r="B9" s="22" t="s">
        <v>34</v>
      </c>
      <c r="C9" s="22"/>
      <c r="D9" s="22" t="s">
        <v>12</v>
      </c>
      <c r="E9" s="17" t="s">
        <v>1</v>
      </c>
      <c r="F9" s="17" t="s">
        <v>2</v>
      </c>
      <c r="G9" s="17" t="s">
        <v>1</v>
      </c>
      <c r="H9" s="17" t="s">
        <v>2</v>
      </c>
      <c r="I9" s="17" t="s">
        <v>77</v>
      </c>
      <c r="J9" s="23" t="s">
        <v>69</v>
      </c>
      <c r="K9" s="23" t="s">
        <v>104</v>
      </c>
      <c r="L9" s="17" t="s">
        <v>103</v>
      </c>
      <c r="M9" s="17" t="s">
        <v>98</v>
      </c>
      <c r="N9" s="67" t="s">
        <v>95</v>
      </c>
      <c r="O9" s="17" t="s">
        <v>90</v>
      </c>
      <c r="P9" s="17" t="s">
        <v>13</v>
      </c>
    </row>
    <row r="10" spans="1:16" s="14" customFormat="1" ht="26.25" customHeight="1">
      <c r="A10" s="40" t="s">
        <v>6</v>
      </c>
      <c r="B10" s="22" t="s">
        <v>29</v>
      </c>
      <c r="C10" s="24" t="s">
        <v>66</v>
      </c>
      <c r="D10" s="24" t="s">
        <v>45</v>
      </c>
      <c r="E10" s="24" t="s">
        <v>41</v>
      </c>
      <c r="F10" s="24" t="s">
        <v>43</v>
      </c>
      <c r="G10" s="24" t="s">
        <v>41</v>
      </c>
      <c r="H10" s="25" t="s">
        <v>57</v>
      </c>
      <c r="I10" s="16">
        <v>14222</v>
      </c>
      <c r="J10" s="34">
        <v>15708</v>
      </c>
      <c r="K10" s="34">
        <v>35150</v>
      </c>
      <c r="L10" s="70">
        <v>38980.65625</v>
      </c>
      <c r="M10" s="34">
        <v>351.5</v>
      </c>
      <c r="N10" s="34">
        <v>39332.15625</v>
      </c>
      <c r="O10" s="26">
        <v>0.99</v>
      </c>
      <c r="P10" s="16">
        <v>34798.5</v>
      </c>
    </row>
    <row r="11" spans="1:16" s="14" customFormat="1" ht="26.25" customHeight="1">
      <c r="A11" s="40" t="s">
        <v>7</v>
      </c>
      <c r="B11" s="22" t="s">
        <v>30</v>
      </c>
      <c r="C11" s="24" t="s">
        <v>67</v>
      </c>
      <c r="D11" s="24" t="s">
        <v>27</v>
      </c>
      <c r="E11" s="24" t="s">
        <v>41</v>
      </c>
      <c r="F11" s="24" t="s">
        <v>43</v>
      </c>
      <c r="G11" s="24" t="s">
        <v>41</v>
      </c>
      <c r="H11" s="24" t="s">
        <v>70</v>
      </c>
      <c r="I11" s="16">
        <v>8321</v>
      </c>
      <c r="J11" s="34">
        <v>19448</v>
      </c>
      <c r="K11" s="34">
        <v>17415</v>
      </c>
      <c r="L11" s="70">
        <v>9460</v>
      </c>
      <c r="M11" s="34">
        <v>8707.5</v>
      </c>
      <c r="N11" s="34">
        <v>18167.5</v>
      </c>
      <c r="O11" s="26">
        <v>0.5</v>
      </c>
      <c r="P11" s="16">
        <v>8707.5</v>
      </c>
    </row>
    <row r="12" spans="1:16" s="14" customFormat="1" ht="26.25" customHeight="1">
      <c r="A12" s="40" t="s">
        <v>25</v>
      </c>
      <c r="B12" s="22" t="s">
        <v>40</v>
      </c>
      <c r="C12" s="24" t="s">
        <v>63</v>
      </c>
      <c r="D12" s="24" t="s">
        <v>33</v>
      </c>
      <c r="E12" s="24" t="s">
        <v>42</v>
      </c>
      <c r="F12" s="24" t="s">
        <v>47</v>
      </c>
      <c r="G12" s="25" t="s">
        <v>58</v>
      </c>
      <c r="H12" s="24" t="s">
        <v>76</v>
      </c>
      <c r="I12" s="16">
        <v>51600</v>
      </c>
      <c r="J12" s="34">
        <v>17200</v>
      </c>
      <c r="K12" s="34">
        <v>21150</v>
      </c>
      <c r="L12" s="70">
        <v>23189.08665</v>
      </c>
      <c r="M12" s="34">
        <v>423</v>
      </c>
      <c r="N12" s="34">
        <v>23612.08665</v>
      </c>
      <c r="O12" s="26">
        <v>0.98</v>
      </c>
      <c r="P12" s="16">
        <v>20727</v>
      </c>
    </row>
    <row r="13" spans="1:16" s="14" customFormat="1" ht="26.25" customHeight="1">
      <c r="A13" s="40" t="s">
        <v>8</v>
      </c>
      <c r="B13" s="22" t="s">
        <v>32</v>
      </c>
      <c r="C13" s="24" t="s">
        <v>62</v>
      </c>
      <c r="D13" s="24" t="s">
        <v>33</v>
      </c>
      <c r="E13" s="24" t="s">
        <v>52</v>
      </c>
      <c r="F13" s="24" t="s">
        <v>44</v>
      </c>
      <c r="G13" s="24" t="s">
        <v>52</v>
      </c>
      <c r="H13" s="24" t="s">
        <v>75</v>
      </c>
      <c r="I13" s="16">
        <v>79775</v>
      </c>
      <c r="J13" s="34">
        <v>87601</v>
      </c>
      <c r="K13" s="34">
        <v>40022</v>
      </c>
      <c r="L13" s="70">
        <v>29069.150250000006</v>
      </c>
      <c r="M13" s="34">
        <v>25213.86</v>
      </c>
      <c r="N13" s="34">
        <v>54283.01025000001</v>
      </c>
      <c r="O13" s="26">
        <v>0.37</v>
      </c>
      <c r="P13" s="16">
        <v>14808.14</v>
      </c>
    </row>
    <row r="14" spans="1:16" s="14" customFormat="1" ht="26.25" customHeight="1">
      <c r="A14" s="40" t="s">
        <v>9</v>
      </c>
      <c r="B14" s="22" t="s">
        <v>38</v>
      </c>
      <c r="C14" s="24" t="s">
        <v>56</v>
      </c>
      <c r="D14" s="24" t="s">
        <v>33</v>
      </c>
      <c r="E14" s="24" t="s">
        <v>42</v>
      </c>
      <c r="F14" s="24" t="s">
        <v>48</v>
      </c>
      <c r="G14" s="24" t="s">
        <v>57</v>
      </c>
      <c r="H14" s="24" t="s">
        <v>71</v>
      </c>
      <c r="I14" s="16">
        <v>48237</v>
      </c>
      <c r="J14" s="34">
        <v>61431</v>
      </c>
      <c r="K14" s="34">
        <v>30500</v>
      </c>
      <c r="L14" s="70">
        <v>33616.159425</v>
      </c>
      <c r="M14" s="34">
        <v>610.0000000000006</v>
      </c>
      <c r="N14" s="34">
        <v>34226.159425</v>
      </c>
      <c r="O14" s="26">
        <v>0.98</v>
      </c>
      <c r="P14" s="16">
        <v>29890</v>
      </c>
    </row>
    <row r="15" spans="1:16" s="14" customFormat="1" ht="26.25" customHeight="1">
      <c r="A15" s="40" t="s">
        <v>10</v>
      </c>
      <c r="B15" s="22" t="s">
        <v>46</v>
      </c>
      <c r="C15" s="24" t="s">
        <v>54</v>
      </c>
      <c r="D15" s="24" t="s">
        <v>33</v>
      </c>
      <c r="E15" s="24" t="s">
        <v>43</v>
      </c>
      <c r="F15" s="24" t="s">
        <v>49</v>
      </c>
      <c r="G15" s="24" t="s">
        <v>53</v>
      </c>
      <c r="H15" s="24" t="s">
        <v>72</v>
      </c>
      <c r="I15" s="16">
        <v>103943</v>
      </c>
      <c r="J15" s="34">
        <v>130000</v>
      </c>
      <c r="K15" s="34">
        <v>166300</v>
      </c>
      <c r="L15" s="70">
        <v>176022.39773125</v>
      </c>
      <c r="M15" s="34">
        <v>1663</v>
      </c>
      <c r="N15" s="34">
        <v>177685.39773125</v>
      </c>
      <c r="O15" s="26">
        <v>0.99</v>
      </c>
      <c r="P15" s="16">
        <v>164637</v>
      </c>
    </row>
    <row r="16" spans="1:16" s="14" customFormat="1" ht="26.25" customHeight="1">
      <c r="A16" s="40" t="s">
        <v>60</v>
      </c>
      <c r="B16" s="22" t="s">
        <v>31</v>
      </c>
      <c r="C16" s="24" t="s">
        <v>55</v>
      </c>
      <c r="D16" s="24" t="s">
        <v>33</v>
      </c>
      <c r="E16" s="24" t="s">
        <v>59</v>
      </c>
      <c r="F16" s="24" t="s">
        <v>51</v>
      </c>
      <c r="G16" s="24" t="s">
        <v>47</v>
      </c>
      <c r="H16" s="24" t="s">
        <v>73</v>
      </c>
      <c r="I16" s="16">
        <v>85731</v>
      </c>
      <c r="J16" s="34">
        <v>129396</v>
      </c>
      <c r="K16" s="34">
        <v>148893</v>
      </c>
      <c r="L16" s="70">
        <v>173472.30303749998</v>
      </c>
      <c r="M16" s="34">
        <v>1488.93</v>
      </c>
      <c r="N16" s="34">
        <v>174961.23303749997</v>
      </c>
      <c r="O16" s="26">
        <v>0.99</v>
      </c>
      <c r="P16" s="16">
        <v>147404.07</v>
      </c>
    </row>
    <row r="17" spans="1:16" s="14" customFormat="1" ht="26.25" customHeight="1">
      <c r="A17" s="40" t="s">
        <v>37</v>
      </c>
      <c r="B17" s="22" t="s">
        <v>36</v>
      </c>
      <c r="C17" s="24" t="s">
        <v>64</v>
      </c>
      <c r="D17" s="24" t="s">
        <v>35</v>
      </c>
      <c r="E17" s="24" t="s">
        <v>50</v>
      </c>
      <c r="F17" s="24" t="s">
        <v>44</v>
      </c>
      <c r="G17" s="24" t="s">
        <v>50</v>
      </c>
      <c r="H17" s="24" t="s">
        <v>74</v>
      </c>
      <c r="I17" s="16">
        <v>3870</v>
      </c>
      <c r="J17" s="34">
        <v>7480</v>
      </c>
      <c r="K17" s="34">
        <v>8270</v>
      </c>
      <c r="L17" s="70">
        <v>0</v>
      </c>
      <c r="M17" s="34">
        <v>8270</v>
      </c>
      <c r="N17" s="34">
        <v>8270</v>
      </c>
      <c r="O17" s="26">
        <v>0</v>
      </c>
      <c r="P17" s="16">
        <v>0</v>
      </c>
    </row>
    <row r="18" spans="1:16" s="14" customFormat="1" ht="26.25" customHeight="1" thickBot="1">
      <c r="A18" s="40" t="s">
        <v>61</v>
      </c>
      <c r="B18" s="27" t="s">
        <v>39</v>
      </c>
      <c r="C18" s="24" t="s">
        <v>65</v>
      </c>
      <c r="D18" s="24" t="s">
        <v>28</v>
      </c>
      <c r="E18" s="24" t="s">
        <v>41</v>
      </c>
      <c r="F18" s="24" t="s">
        <v>44</v>
      </c>
      <c r="G18" s="24" t="s">
        <v>41</v>
      </c>
      <c r="H18" s="24" t="s">
        <v>74</v>
      </c>
      <c r="I18" s="31">
        <v>4644</v>
      </c>
      <c r="J18" s="35">
        <v>5236</v>
      </c>
      <c r="K18" s="35">
        <v>5800</v>
      </c>
      <c r="L18" s="71">
        <v>4300</v>
      </c>
      <c r="M18" s="34">
        <v>1450</v>
      </c>
      <c r="N18" s="35">
        <v>5750</v>
      </c>
      <c r="O18" s="78">
        <v>0.75</v>
      </c>
      <c r="P18" s="31">
        <v>4350</v>
      </c>
    </row>
    <row r="19" spans="1:16" s="14" customFormat="1" ht="21" customHeight="1" thickTop="1">
      <c r="A19" s="80"/>
      <c r="B19" s="15"/>
      <c r="C19" s="15"/>
      <c r="D19" s="15"/>
      <c r="E19" s="15"/>
      <c r="F19" s="15"/>
      <c r="G19" s="15"/>
      <c r="H19" s="15"/>
      <c r="I19" s="44">
        <v>400343</v>
      </c>
      <c r="J19" s="68">
        <v>473500</v>
      </c>
      <c r="K19" s="68">
        <v>473500</v>
      </c>
      <c r="L19" s="72">
        <v>488109.75334375</v>
      </c>
      <c r="M19" s="68">
        <v>48177.79</v>
      </c>
      <c r="N19" s="68">
        <v>536287.54334375</v>
      </c>
      <c r="O19" s="79"/>
      <c r="P19" s="44">
        <v>425322.21</v>
      </c>
    </row>
    <row r="20" spans="1:16" ht="22.5" customHeight="1">
      <c r="A20" s="81"/>
      <c r="B20" s="9"/>
      <c r="C20" s="9"/>
      <c r="D20" s="9"/>
      <c r="E20" s="9"/>
      <c r="F20" s="9"/>
      <c r="G20" s="9"/>
      <c r="H20" s="9"/>
      <c r="I20" s="9"/>
      <c r="J20" s="9"/>
      <c r="K20" s="73" t="s">
        <v>96</v>
      </c>
      <c r="L20" s="74">
        <v>425000</v>
      </c>
      <c r="M20" s="9"/>
      <c r="N20" s="69"/>
      <c r="O20" s="20"/>
      <c r="P20" s="9"/>
    </row>
    <row r="21" spans="1:16" ht="13.5" thickBot="1">
      <c r="A21" s="8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1"/>
      <c r="P21" s="10"/>
    </row>
    <row r="22" ht="12.75">
      <c r="A22" s="3"/>
    </row>
    <row r="23" spans="1:14" ht="15" customHeight="1">
      <c r="A23" s="3"/>
      <c r="N23" s="103">
        <f>N19-J19</f>
        <v>62787.543343749945</v>
      </c>
    </row>
    <row r="27" ht="12.75">
      <c r="O27"/>
    </row>
    <row r="28" ht="12.75">
      <c r="O28"/>
    </row>
  </sheetData>
  <printOptions/>
  <pageMargins left="0.45" right="0.31" top="1" bottom="0.82" header="0.5" footer="0.5"/>
  <pageSetup fitToHeight="1" fitToWidth="1" horizontalDpi="600" verticalDpi="600" orientation="landscape" paperSize="17" scale="85" r:id="rId2"/>
  <headerFooter alignWithMargins="0">
    <oddFooter xml:space="preserve">&amp;LPrepared By: Mike Manuel
 &amp;D &amp;R&amp;F      &amp;A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SheetLayoutView="100" workbookViewId="0" topLeftCell="A3">
      <selection activeCell="P20" sqref="A8:P20"/>
    </sheetView>
  </sheetViews>
  <sheetFormatPr defaultColWidth="9.140625" defaultRowHeight="12.75"/>
  <cols>
    <col min="1" max="1" width="7.7109375" style="0" customWidth="1"/>
    <col min="2" max="2" width="28.7109375" style="0" customWidth="1"/>
    <col min="3" max="3" width="23.421875" style="0" hidden="1" customWidth="1"/>
    <col min="4" max="4" width="11.57421875" style="0" customWidth="1"/>
    <col min="5" max="8" width="10.57421875" style="0" hidden="1" customWidth="1"/>
    <col min="9" max="9" width="12.57421875" style="0" customWidth="1"/>
    <col min="10" max="11" width="14.8515625" style="0" customWidth="1"/>
    <col min="12" max="12" width="15.57421875" style="0" bestFit="1" customWidth="1"/>
    <col min="13" max="14" width="13.7109375" style="0" customWidth="1"/>
    <col min="15" max="15" width="10.28125" style="4" customWidth="1"/>
    <col min="16" max="16" width="13.00390625" style="0" customWidth="1"/>
    <col min="19" max="26" width="13.00390625" style="0" customWidth="1"/>
    <col min="27" max="27" width="15.00390625" style="0" bestFit="1" customWidth="1"/>
    <col min="28" max="28" width="13.421875" style="0" customWidth="1"/>
    <col min="29" max="29" width="14.57421875" style="0" customWidth="1"/>
  </cols>
  <sheetData>
    <row r="1" spans="1:29" ht="23.25">
      <c r="A1" s="83" t="s">
        <v>92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18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24" thickBot="1">
      <c r="A2" s="33" t="s">
        <v>68</v>
      </c>
      <c r="B2" s="12"/>
      <c r="C2" s="12"/>
      <c r="D2" s="11"/>
      <c r="E2" s="6"/>
      <c r="F2" s="6"/>
      <c r="G2" s="6"/>
      <c r="H2" s="6"/>
      <c r="I2" s="6"/>
      <c r="J2" s="5"/>
      <c r="K2" s="5"/>
      <c r="L2" s="5"/>
      <c r="M2" s="5"/>
      <c r="N2" s="5"/>
      <c r="O2" s="1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4" thickBot="1">
      <c r="A3" s="33" t="s">
        <v>89</v>
      </c>
      <c r="B3" s="7"/>
      <c r="C3" s="7"/>
      <c r="D3" s="11"/>
      <c r="E3" s="6"/>
      <c r="F3" s="6"/>
      <c r="G3" s="6"/>
      <c r="H3" s="6"/>
      <c r="I3" s="6"/>
      <c r="J3" s="5"/>
      <c r="K3" s="5"/>
      <c r="L3" s="5"/>
      <c r="M3" s="5"/>
      <c r="N3" s="5"/>
      <c r="O3" s="1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4" thickBot="1">
      <c r="A4" s="32"/>
      <c r="B4" s="6"/>
      <c r="C4" s="6"/>
      <c r="D4" s="6"/>
      <c r="E4" s="6"/>
      <c r="F4" s="6" t="s">
        <v>26</v>
      </c>
      <c r="G4" s="6"/>
      <c r="H4" s="6"/>
      <c r="I4" s="6"/>
      <c r="J4" s="5"/>
      <c r="K4" s="5"/>
      <c r="L4" s="77"/>
      <c r="M4" s="77"/>
      <c r="N4" s="77"/>
      <c r="O4" s="18"/>
      <c r="P4" s="6"/>
      <c r="Q4" s="6"/>
      <c r="R4" s="6"/>
      <c r="S4" s="6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20.25">
      <c r="A5" s="3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5"/>
    </row>
    <row r="6" spans="1:29" ht="6" customHeight="1" thickBot="1">
      <c r="A6" s="3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8"/>
      <c r="P6" s="3"/>
      <c r="Q6" s="3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96"/>
    </row>
    <row r="7" spans="1:29" s="4" customFormat="1" ht="12.75">
      <c r="A7" s="59" t="s">
        <v>24</v>
      </c>
      <c r="B7" s="60" t="s">
        <v>14</v>
      </c>
      <c r="C7" s="60"/>
      <c r="D7" s="60" t="s">
        <v>15</v>
      </c>
      <c r="E7" s="60" t="s">
        <v>16</v>
      </c>
      <c r="F7" s="60" t="s">
        <v>17</v>
      </c>
      <c r="G7" s="60" t="s">
        <v>18</v>
      </c>
      <c r="H7" s="60" t="s">
        <v>19</v>
      </c>
      <c r="I7" s="60" t="s">
        <v>20</v>
      </c>
      <c r="J7" s="60" t="s">
        <v>23</v>
      </c>
      <c r="K7" s="60" t="s">
        <v>23</v>
      </c>
      <c r="L7" s="60"/>
      <c r="M7" s="60"/>
      <c r="N7" s="60"/>
      <c r="O7" s="60" t="s">
        <v>21</v>
      </c>
      <c r="P7" s="60" t="s">
        <v>22</v>
      </c>
      <c r="Q7" s="61" t="s">
        <v>84</v>
      </c>
      <c r="R7" s="61" t="s">
        <v>84</v>
      </c>
      <c r="S7" s="61" t="s">
        <v>82</v>
      </c>
      <c r="T7" s="61" t="s">
        <v>84</v>
      </c>
      <c r="U7" s="62" t="s">
        <v>82</v>
      </c>
      <c r="V7" s="62" t="s">
        <v>82</v>
      </c>
      <c r="W7" s="62" t="s">
        <v>87</v>
      </c>
      <c r="X7" s="62" t="s">
        <v>82</v>
      </c>
      <c r="Y7" s="62" t="s">
        <v>82</v>
      </c>
      <c r="Z7" s="62" t="s">
        <v>87</v>
      </c>
      <c r="AA7" s="62" t="s">
        <v>87</v>
      </c>
      <c r="AB7" s="62" t="s">
        <v>82</v>
      </c>
      <c r="AC7" s="97" t="s">
        <v>87</v>
      </c>
    </row>
    <row r="8" spans="1:29" s="2" customFormat="1" ht="15.75" customHeight="1">
      <c r="A8" s="38"/>
      <c r="B8" s="28"/>
      <c r="C8" s="28"/>
      <c r="D8" s="28"/>
      <c r="E8" s="29" t="s">
        <v>0</v>
      </c>
      <c r="F8" s="29"/>
      <c r="G8" s="29" t="s">
        <v>3</v>
      </c>
      <c r="H8" s="29"/>
      <c r="I8" s="30" t="s">
        <v>5</v>
      </c>
      <c r="J8" s="84" t="s">
        <v>5</v>
      </c>
      <c r="K8" s="84" t="s">
        <v>5</v>
      </c>
      <c r="L8" s="84"/>
      <c r="M8" s="85"/>
      <c r="N8" s="84"/>
      <c r="O8" s="41" t="s">
        <v>11</v>
      </c>
      <c r="P8" s="30" t="s">
        <v>4</v>
      </c>
      <c r="Q8" s="47" t="s">
        <v>80</v>
      </c>
      <c r="R8" s="47" t="s">
        <v>80</v>
      </c>
      <c r="S8" s="47" t="s">
        <v>80</v>
      </c>
      <c r="T8" s="48"/>
      <c r="U8" s="48"/>
      <c r="V8" s="48"/>
      <c r="W8" s="48"/>
      <c r="X8" s="48"/>
      <c r="Y8" s="48"/>
      <c r="Z8" s="48"/>
      <c r="AA8" s="48"/>
      <c r="AB8" s="48" t="s">
        <v>88</v>
      </c>
      <c r="AC8" s="98"/>
    </row>
    <row r="9" spans="1:29" s="13" customFormat="1" ht="51">
      <c r="A9" s="39"/>
      <c r="B9" s="22" t="s">
        <v>34</v>
      </c>
      <c r="C9" s="22"/>
      <c r="D9" s="22" t="s">
        <v>12</v>
      </c>
      <c r="E9" s="17" t="s">
        <v>1</v>
      </c>
      <c r="F9" s="17" t="s">
        <v>2</v>
      </c>
      <c r="G9" s="17" t="s">
        <v>1</v>
      </c>
      <c r="H9" s="17" t="s">
        <v>2</v>
      </c>
      <c r="I9" s="17" t="s">
        <v>77</v>
      </c>
      <c r="J9" s="23" t="s">
        <v>69</v>
      </c>
      <c r="K9" s="23" t="s">
        <v>104</v>
      </c>
      <c r="L9" s="17" t="s">
        <v>103</v>
      </c>
      <c r="M9" s="17" t="s">
        <v>98</v>
      </c>
      <c r="N9" s="67" t="s">
        <v>95</v>
      </c>
      <c r="O9" s="17" t="s">
        <v>90</v>
      </c>
      <c r="P9" s="17" t="s">
        <v>13</v>
      </c>
      <c r="Q9" s="49" t="s">
        <v>91</v>
      </c>
      <c r="R9" s="49" t="s">
        <v>78</v>
      </c>
      <c r="S9" s="49" t="s">
        <v>79</v>
      </c>
      <c r="T9" s="49" t="s">
        <v>94</v>
      </c>
      <c r="U9" s="49" t="s">
        <v>93</v>
      </c>
      <c r="V9" s="49" t="s">
        <v>81</v>
      </c>
      <c r="W9" s="49" t="s">
        <v>99</v>
      </c>
      <c r="X9" s="49" t="s">
        <v>83</v>
      </c>
      <c r="Y9" s="49" t="s">
        <v>100</v>
      </c>
      <c r="Z9" s="49" t="s">
        <v>86</v>
      </c>
      <c r="AA9" s="49" t="s">
        <v>101</v>
      </c>
      <c r="AB9" s="49" t="s">
        <v>85</v>
      </c>
      <c r="AC9" s="99" t="s">
        <v>102</v>
      </c>
    </row>
    <row r="10" spans="1:29" s="14" customFormat="1" ht="26.25" customHeight="1">
      <c r="A10" s="40" t="s">
        <v>6</v>
      </c>
      <c r="B10" s="22" t="s">
        <v>29</v>
      </c>
      <c r="C10" s="24" t="s">
        <v>66</v>
      </c>
      <c r="D10" s="24" t="s">
        <v>45</v>
      </c>
      <c r="E10" s="24" t="s">
        <v>41</v>
      </c>
      <c r="F10" s="24" t="s">
        <v>43</v>
      </c>
      <c r="G10" s="24" t="s">
        <v>41</v>
      </c>
      <c r="H10" s="25" t="s">
        <v>57</v>
      </c>
      <c r="I10" s="16">
        <v>14222</v>
      </c>
      <c r="J10" s="34">
        <v>15708</v>
      </c>
      <c r="K10" s="34">
        <v>35150</v>
      </c>
      <c r="L10" s="70">
        <f>SUM(AC10)</f>
        <v>38980.65625</v>
      </c>
      <c r="M10" s="34">
        <f>SUM(100%-O10)*K10</f>
        <v>351.5000000000003</v>
      </c>
      <c r="N10" s="34">
        <f>L10+M10</f>
        <v>39332.15625</v>
      </c>
      <c r="O10" s="26">
        <v>0.99</v>
      </c>
      <c r="P10" s="16">
        <f>+O10*K10</f>
        <v>34798.5</v>
      </c>
      <c r="Q10" s="50">
        <v>327</v>
      </c>
      <c r="R10" s="50">
        <v>365.5</v>
      </c>
      <c r="S10" s="45">
        <f aca="true" t="shared" si="0" ref="S10:S18">SUM(R10)*100*1.075</f>
        <v>39291.25</v>
      </c>
      <c r="T10" s="45"/>
      <c r="U10" s="45"/>
      <c r="V10" s="46">
        <f>SUM(S10)</f>
        <v>39291.25</v>
      </c>
      <c r="W10" s="46">
        <v>39291.25</v>
      </c>
      <c r="X10" s="46">
        <f aca="true" t="shared" si="1" ref="X10:X18">SUM(W10-K10)*0.925</f>
        <v>3830.65625</v>
      </c>
      <c r="Y10" s="46">
        <f aca="true" t="shared" si="2" ref="Y10:Y18">IF(W10&gt;K10,SUM(X10+K10),W10)</f>
        <v>38980.65625</v>
      </c>
      <c r="Z10" s="46">
        <v>0</v>
      </c>
      <c r="AA10" s="46">
        <v>38980.65625</v>
      </c>
      <c r="AB10" s="57">
        <f>SUM(AA10-Z10)</f>
        <v>38980.65625</v>
      </c>
      <c r="AC10" s="91">
        <v>38980.65625</v>
      </c>
    </row>
    <row r="11" spans="1:29" s="14" customFormat="1" ht="26.25" customHeight="1">
      <c r="A11" s="40" t="s">
        <v>7</v>
      </c>
      <c r="B11" s="22" t="s">
        <v>30</v>
      </c>
      <c r="C11" s="24" t="s">
        <v>67</v>
      </c>
      <c r="D11" s="24" t="s">
        <v>27</v>
      </c>
      <c r="E11" s="24" t="s">
        <v>41</v>
      </c>
      <c r="F11" s="24" t="s">
        <v>43</v>
      </c>
      <c r="G11" s="24" t="s">
        <v>41</v>
      </c>
      <c r="H11" s="24" t="s">
        <v>70</v>
      </c>
      <c r="I11" s="16">
        <v>8321</v>
      </c>
      <c r="J11" s="34">
        <v>19448</v>
      </c>
      <c r="K11" s="34">
        <v>17415</v>
      </c>
      <c r="L11" s="70">
        <f aca="true" t="shared" si="3" ref="L11:L18">SUM(AC11)</f>
        <v>9460</v>
      </c>
      <c r="M11" s="34">
        <f aca="true" t="shared" si="4" ref="M11:M18">SUM(100%-O11)*K11</f>
        <v>8707.5</v>
      </c>
      <c r="N11" s="34">
        <f aca="true" t="shared" si="5" ref="N11:N18">L11+M11</f>
        <v>18167.5</v>
      </c>
      <c r="O11" s="26">
        <v>0.5</v>
      </c>
      <c r="P11" s="16">
        <f aca="true" t="shared" si="6" ref="P11:P18">+O11*K11</f>
        <v>8707.5</v>
      </c>
      <c r="Q11" s="50">
        <v>162</v>
      </c>
      <c r="R11" s="50">
        <v>88</v>
      </c>
      <c r="S11" s="45">
        <f t="shared" si="0"/>
        <v>9460</v>
      </c>
      <c r="T11" s="45"/>
      <c r="U11" s="45"/>
      <c r="V11" s="46">
        <f>SUM(S11)</f>
        <v>9460</v>
      </c>
      <c r="W11" s="46">
        <v>9460</v>
      </c>
      <c r="X11" s="46">
        <f t="shared" si="1"/>
        <v>-7358.375</v>
      </c>
      <c r="Y11" s="46">
        <f t="shared" si="2"/>
        <v>9460</v>
      </c>
      <c r="Z11" s="46">
        <v>0</v>
      </c>
      <c r="AA11" s="46">
        <v>9460</v>
      </c>
      <c r="AB11" s="57">
        <f aca="true" t="shared" si="7" ref="AB11:AB19">SUM(AA11-Z11)</f>
        <v>9460</v>
      </c>
      <c r="AC11" s="91">
        <v>9460</v>
      </c>
    </row>
    <row r="12" spans="1:29" s="14" customFormat="1" ht="26.25" customHeight="1">
      <c r="A12" s="40" t="s">
        <v>25</v>
      </c>
      <c r="B12" s="22" t="s">
        <v>40</v>
      </c>
      <c r="C12" s="24" t="s">
        <v>63</v>
      </c>
      <c r="D12" s="24" t="s">
        <v>33</v>
      </c>
      <c r="E12" s="24" t="s">
        <v>42</v>
      </c>
      <c r="F12" s="24" t="s">
        <v>47</v>
      </c>
      <c r="G12" s="25" t="s">
        <v>58</v>
      </c>
      <c r="H12" s="24" t="s">
        <v>76</v>
      </c>
      <c r="I12" s="16">
        <v>51600</v>
      </c>
      <c r="J12" s="34">
        <v>17200</v>
      </c>
      <c r="K12" s="34">
        <v>21150</v>
      </c>
      <c r="L12" s="70">
        <f t="shared" si="3"/>
        <v>23189.08665</v>
      </c>
      <c r="M12" s="34">
        <f t="shared" si="4"/>
        <v>423.0000000000004</v>
      </c>
      <c r="N12" s="34">
        <f t="shared" si="5"/>
        <v>23612.08665</v>
      </c>
      <c r="O12" s="26">
        <v>0.98</v>
      </c>
      <c r="P12" s="16">
        <f t="shared" si="6"/>
        <v>20727</v>
      </c>
      <c r="Q12" s="50"/>
      <c r="R12" s="50"/>
      <c r="S12" s="45">
        <f t="shared" si="0"/>
        <v>0</v>
      </c>
      <c r="T12" s="45">
        <v>21725.04</v>
      </c>
      <c r="U12" s="45">
        <f>SUM(T12)*1.075</f>
        <v>23354.418</v>
      </c>
      <c r="V12" s="45">
        <f>SUM(U12)</f>
        <v>23354.418</v>
      </c>
      <c r="W12" s="45">
        <v>23354.418</v>
      </c>
      <c r="X12" s="46">
        <f t="shared" si="1"/>
        <v>2039.0866500000016</v>
      </c>
      <c r="Y12" s="46">
        <f t="shared" si="2"/>
        <v>23189.08665</v>
      </c>
      <c r="Z12" s="46">
        <v>0</v>
      </c>
      <c r="AA12" s="45">
        <v>23189.08665</v>
      </c>
      <c r="AB12" s="57">
        <f t="shared" si="7"/>
        <v>23189.08665</v>
      </c>
      <c r="AC12" s="91">
        <v>23189.08665</v>
      </c>
    </row>
    <row r="13" spans="1:29" s="14" customFormat="1" ht="26.25" customHeight="1">
      <c r="A13" s="40" t="s">
        <v>8</v>
      </c>
      <c r="B13" s="22" t="s">
        <v>32</v>
      </c>
      <c r="C13" s="24" t="s">
        <v>62</v>
      </c>
      <c r="D13" s="24" t="s">
        <v>33</v>
      </c>
      <c r="E13" s="24" t="s">
        <v>52</v>
      </c>
      <c r="F13" s="24" t="s">
        <v>44</v>
      </c>
      <c r="G13" s="24" t="s">
        <v>52</v>
      </c>
      <c r="H13" s="24" t="s">
        <v>75</v>
      </c>
      <c r="I13" s="16">
        <v>79775</v>
      </c>
      <c r="J13" s="34">
        <v>87601</v>
      </c>
      <c r="K13" s="34">
        <v>40022</v>
      </c>
      <c r="L13" s="70">
        <f t="shared" si="3"/>
        <v>29069.150250000006</v>
      </c>
      <c r="M13" s="34">
        <f t="shared" si="4"/>
        <v>25213.86</v>
      </c>
      <c r="N13" s="34">
        <f t="shared" si="5"/>
        <v>54283.01025000001</v>
      </c>
      <c r="O13" s="26">
        <v>0.37</v>
      </c>
      <c r="P13" s="16">
        <f t="shared" si="6"/>
        <v>14808.14</v>
      </c>
      <c r="Q13" s="50">
        <v>120</v>
      </c>
      <c r="R13" s="50"/>
      <c r="S13" s="45">
        <f t="shared" si="0"/>
        <v>0</v>
      </c>
      <c r="T13" s="45">
        <v>76391.07</v>
      </c>
      <c r="U13" s="45">
        <f>SUM(T13)*1.075</f>
        <v>82120.40025</v>
      </c>
      <c r="V13" s="45">
        <f>SUM(U13)-S10-S11-S18</f>
        <v>29069.150250000006</v>
      </c>
      <c r="W13" s="45">
        <v>29069.150250000006</v>
      </c>
      <c r="X13" s="46">
        <f t="shared" si="1"/>
        <v>-10131.386018749994</v>
      </c>
      <c r="Y13" s="46">
        <f t="shared" si="2"/>
        <v>29069.150250000006</v>
      </c>
      <c r="Z13" s="46">
        <v>0</v>
      </c>
      <c r="AA13" s="45">
        <v>29069.150250000006</v>
      </c>
      <c r="AB13" s="57">
        <f t="shared" si="7"/>
        <v>29069.150250000006</v>
      </c>
      <c r="AC13" s="91">
        <v>29069.150250000006</v>
      </c>
    </row>
    <row r="14" spans="1:29" s="14" customFormat="1" ht="26.25" customHeight="1">
      <c r="A14" s="40" t="s">
        <v>9</v>
      </c>
      <c r="B14" s="22" t="s">
        <v>38</v>
      </c>
      <c r="C14" s="24" t="s">
        <v>56</v>
      </c>
      <c r="D14" s="24" t="s">
        <v>33</v>
      </c>
      <c r="E14" s="24" t="s">
        <v>42</v>
      </c>
      <c r="F14" s="24" t="s">
        <v>48</v>
      </c>
      <c r="G14" s="24" t="s">
        <v>57</v>
      </c>
      <c r="H14" s="24" t="s">
        <v>71</v>
      </c>
      <c r="I14" s="16">
        <v>48237</v>
      </c>
      <c r="J14" s="34">
        <v>61431</v>
      </c>
      <c r="K14" s="34">
        <v>30500</v>
      </c>
      <c r="L14" s="70">
        <f t="shared" si="3"/>
        <v>33616.159425</v>
      </c>
      <c r="M14" s="34">
        <f t="shared" si="4"/>
        <v>610.0000000000006</v>
      </c>
      <c r="N14" s="34">
        <f t="shared" si="5"/>
        <v>34226.159425</v>
      </c>
      <c r="O14" s="26">
        <v>0.98</v>
      </c>
      <c r="P14" s="16">
        <f t="shared" si="6"/>
        <v>29890</v>
      </c>
      <c r="Q14" s="50"/>
      <c r="R14" s="50"/>
      <c r="S14" s="45">
        <f t="shared" si="0"/>
        <v>0</v>
      </c>
      <c r="T14" s="45">
        <v>31505.88</v>
      </c>
      <c r="U14" s="45">
        <f>SUM(T14)*1.075</f>
        <v>33868.820999999996</v>
      </c>
      <c r="V14" s="45">
        <f>SUM(U14)</f>
        <v>33868.820999999996</v>
      </c>
      <c r="W14" s="45">
        <v>33868.820999999996</v>
      </c>
      <c r="X14" s="46">
        <f t="shared" si="1"/>
        <v>3116.1594249999966</v>
      </c>
      <c r="Y14" s="46">
        <f t="shared" si="2"/>
        <v>33616.159425</v>
      </c>
      <c r="Z14" s="46">
        <v>0</v>
      </c>
      <c r="AA14" s="45">
        <v>33616.159425</v>
      </c>
      <c r="AB14" s="57">
        <f t="shared" si="7"/>
        <v>33616.159425</v>
      </c>
      <c r="AC14" s="91">
        <v>33616.159425</v>
      </c>
    </row>
    <row r="15" spans="1:29" s="14" customFormat="1" ht="26.25" customHeight="1">
      <c r="A15" s="40" t="s">
        <v>10</v>
      </c>
      <c r="B15" s="22" t="s">
        <v>46</v>
      </c>
      <c r="C15" s="24" t="s">
        <v>54</v>
      </c>
      <c r="D15" s="24" t="s">
        <v>33</v>
      </c>
      <c r="E15" s="24" t="s">
        <v>43</v>
      </c>
      <c r="F15" s="24" t="s">
        <v>49</v>
      </c>
      <c r="G15" s="24" t="s">
        <v>53</v>
      </c>
      <c r="H15" s="24" t="s">
        <v>72</v>
      </c>
      <c r="I15" s="16">
        <v>103943</v>
      </c>
      <c r="J15" s="34">
        <v>130000</v>
      </c>
      <c r="K15" s="34">
        <v>166300</v>
      </c>
      <c r="L15" s="70">
        <f t="shared" si="3"/>
        <v>176022.39773125</v>
      </c>
      <c r="M15" s="34">
        <f t="shared" si="4"/>
        <v>1663.0000000000014</v>
      </c>
      <c r="N15" s="34">
        <f t="shared" si="5"/>
        <v>177685.39773125</v>
      </c>
      <c r="O15" s="26">
        <v>0.99</v>
      </c>
      <c r="P15" s="16">
        <f t="shared" si="6"/>
        <v>164637</v>
      </c>
      <c r="Q15" s="50"/>
      <c r="R15" s="50"/>
      <c r="S15" s="45">
        <f t="shared" si="0"/>
        <v>0</v>
      </c>
      <c r="T15" s="45">
        <v>164475.07</v>
      </c>
      <c r="U15" s="45">
        <f>SUM(T15)*1.075</f>
        <v>176810.70025</v>
      </c>
      <c r="V15" s="45">
        <f>SUM(U15)</f>
        <v>176810.70025</v>
      </c>
      <c r="W15" s="45">
        <v>176810.70025</v>
      </c>
      <c r="X15" s="46">
        <f t="shared" si="1"/>
        <v>9722.397731249996</v>
      </c>
      <c r="Y15" s="46">
        <f t="shared" si="2"/>
        <v>176022.39773125</v>
      </c>
      <c r="Z15" s="46">
        <v>0</v>
      </c>
      <c r="AA15" s="45">
        <v>176022.39773125</v>
      </c>
      <c r="AB15" s="57">
        <f t="shared" si="7"/>
        <v>176022.39773125</v>
      </c>
      <c r="AC15" s="91">
        <v>176022.39773125</v>
      </c>
    </row>
    <row r="16" spans="1:29" s="14" customFormat="1" ht="26.25" customHeight="1">
      <c r="A16" s="40" t="s">
        <v>60</v>
      </c>
      <c r="B16" s="22" t="s">
        <v>31</v>
      </c>
      <c r="C16" s="24" t="s">
        <v>55</v>
      </c>
      <c r="D16" s="24" t="s">
        <v>33</v>
      </c>
      <c r="E16" s="24" t="s">
        <v>59</v>
      </c>
      <c r="F16" s="24" t="s">
        <v>51</v>
      </c>
      <c r="G16" s="24" t="s">
        <v>47</v>
      </c>
      <c r="H16" s="24" t="s">
        <v>73</v>
      </c>
      <c r="I16" s="16">
        <v>85731</v>
      </c>
      <c r="J16" s="34">
        <v>129396</v>
      </c>
      <c r="K16" s="34">
        <v>148893</v>
      </c>
      <c r="L16" s="70">
        <f t="shared" si="3"/>
        <v>173472.30303749998</v>
      </c>
      <c r="M16" s="34">
        <f t="shared" si="4"/>
        <v>1488.9300000000014</v>
      </c>
      <c r="N16" s="34">
        <f t="shared" si="5"/>
        <v>174961.23303749997</v>
      </c>
      <c r="O16" s="26">
        <v>0.99</v>
      </c>
      <c r="P16" s="16">
        <f t="shared" si="6"/>
        <v>147404.07</v>
      </c>
      <c r="Q16" s="50">
        <v>255</v>
      </c>
      <c r="R16" s="50">
        <v>316</v>
      </c>
      <c r="S16" s="45">
        <f t="shared" si="0"/>
        <v>33970</v>
      </c>
      <c r="T16" s="45">
        <v>163223.46</v>
      </c>
      <c r="U16" s="45">
        <f>SUM(T16)*1.075</f>
        <v>175465.21949999998</v>
      </c>
      <c r="V16" s="46">
        <f>SUM(U16)</f>
        <v>175465.21949999998</v>
      </c>
      <c r="W16" s="46">
        <v>175465.21949999998</v>
      </c>
      <c r="X16" s="46">
        <f t="shared" si="1"/>
        <v>24579.30303749998</v>
      </c>
      <c r="Y16" s="46">
        <f t="shared" si="2"/>
        <v>173472.30303749998</v>
      </c>
      <c r="Z16" s="46">
        <v>0</v>
      </c>
      <c r="AA16" s="46">
        <v>173472.30303749998</v>
      </c>
      <c r="AB16" s="57">
        <f t="shared" si="7"/>
        <v>173472.30303749998</v>
      </c>
      <c r="AC16" s="91">
        <v>173472.30303749998</v>
      </c>
    </row>
    <row r="17" spans="1:29" s="14" customFormat="1" ht="26.25" customHeight="1">
      <c r="A17" s="40" t="s">
        <v>37</v>
      </c>
      <c r="B17" s="22" t="s">
        <v>36</v>
      </c>
      <c r="C17" s="24" t="s">
        <v>64</v>
      </c>
      <c r="D17" s="24" t="s">
        <v>35</v>
      </c>
      <c r="E17" s="24" t="s">
        <v>50</v>
      </c>
      <c r="F17" s="24" t="s">
        <v>44</v>
      </c>
      <c r="G17" s="24" t="s">
        <v>50</v>
      </c>
      <c r="H17" s="24" t="s">
        <v>74</v>
      </c>
      <c r="I17" s="16">
        <v>3870</v>
      </c>
      <c r="J17" s="34">
        <v>7480</v>
      </c>
      <c r="K17" s="34">
        <v>8270</v>
      </c>
      <c r="L17" s="70">
        <f t="shared" si="3"/>
        <v>0</v>
      </c>
      <c r="M17" s="34">
        <f t="shared" si="4"/>
        <v>8270</v>
      </c>
      <c r="N17" s="34">
        <f t="shared" si="5"/>
        <v>8270</v>
      </c>
      <c r="O17" s="26">
        <v>0</v>
      </c>
      <c r="P17" s="16">
        <f t="shared" si="6"/>
        <v>0</v>
      </c>
      <c r="Q17" s="50">
        <v>77</v>
      </c>
      <c r="R17" s="50">
        <v>0</v>
      </c>
      <c r="S17" s="45">
        <f t="shared" si="0"/>
        <v>0</v>
      </c>
      <c r="T17" s="45"/>
      <c r="U17" s="45"/>
      <c r="V17" s="45">
        <f>SUM(U17)</f>
        <v>0</v>
      </c>
      <c r="W17" s="45">
        <v>0</v>
      </c>
      <c r="X17" s="46">
        <f t="shared" si="1"/>
        <v>-7649.75</v>
      </c>
      <c r="Y17" s="46">
        <f t="shared" si="2"/>
        <v>0</v>
      </c>
      <c r="Z17" s="46">
        <v>0</v>
      </c>
      <c r="AA17" s="45">
        <v>0</v>
      </c>
      <c r="AB17" s="57">
        <f t="shared" si="7"/>
        <v>0</v>
      </c>
      <c r="AC17" s="91">
        <v>0</v>
      </c>
    </row>
    <row r="18" spans="1:29" s="14" customFormat="1" ht="26.25" customHeight="1" thickBot="1">
      <c r="A18" s="40" t="s">
        <v>61</v>
      </c>
      <c r="B18" s="27" t="s">
        <v>39</v>
      </c>
      <c r="C18" s="24" t="s">
        <v>65</v>
      </c>
      <c r="D18" s="24" t="s">
        <v>28</v>
      </c>
      <c r="E18" s="24" t="s">
        <v>41</v>
      </c>
      <c r="F18" s="24" t="s">
        <v>44</v>
      </c>
      <c r="G18" s="24" t="s">
        <v>41</v>
      </c>
      <c r="H18" s="24" t="s">
        <v>74</v>
      </c>
      <c r="I18" s="31">
        <v>4644</v>
      </c>
      <c r="J18" s="35">
        <v>5236</v>
      </c>
      <c r="K18" s="35">
        <v>5800</v>
      </c>
      <c r="L18" s="71">
        <f t="shared" si="3"/>
        <v>4300</v>
      </c>
      <c r="M18" s="34">
        <f t="shared" si="4"/>
        <v>1450</v>
      </c>
      <c r="N18" s="35">
        <f t="shared" si="5"/>
        <v>5750</v>
      </c>
      <c r="O18" s="101">
        <v>0.75</v>
      </c>
      <c r="P18" s="31">
        <f t="shared" si="6"/>
        <v>4350</v>
      </c>
      <c r="Q18" s="51">
        <v>54</v>
      </c>
      <c r="R18" s="50">
        <v>40</v>
      </c>
      <c r="S18" s="45">
        <f t="shared" si="0"/>
        <v>4300</v>
      </c>
      <c r="T18" s="52"/>
      <c r="U18" s="52"/>
      <c r="V18" s="53">
        <f>SUM(S18)</f>
        <v>4300</v>
      </c>
      <c r="W18" s="53">
        <v>4300</v>
      </c>
      <c r="X18" s="53">
        <f t="shared" si="1"/>
        <v>-1387.5</v>
      </c>
      <c r="Y18" s="53">
        <f t="shared" si="2"/>
        <v>4300</v>
      </c>
      <c r="Z18" s="53">
        <v>0</v>
      </c>
      <c r="AA18" s="53">
        <v>4300</v>
      </c>
      <c r="AB18" s="64">
        <f t="shared" si="7"/>
        <v>4300</v>
      </c>
      <c r="AC18" s="92">
        <v>4300</v>
      </c>
    </row>
    <row r="19" spans="1:29" s="14" customFormat="1" ht="21" customHeight="1" thickBot="1" thickTop="1">
      <c r="A19" s="80"/>
      <c r="B19" s="15"/>
      <c r="C19" s="15"/>
      <c r="D19" s="15"/>
      <c r="E19" s="15"/>
      <c r="F19" s="15"/>
      <c r="G19" s="15"/>
      <c r="H19" s="15"/>
      <c r="I19" s="44">
        <f aca="true" t="shared" si="8" ref="I19:N19">SUM(I10:I18)</f>
        <v>400343</v>
      </c>
      <c r="J19" s="68">
        <f t="shared" si="8"/>
        <v>473500</v>
      </c>
      <c r="K19" s="68">
        <f t="shared" si="8"/>
        <v>473500</v>
      </c>
      <c r="L19" s="72">
        <f t="shared" si="8"/>
        <v>488109.75334375</v>
      </c>
      <c r="M19" s="68">
        <f t="shared" si="8"/>
        <v>48177.79</v>
      </c>
      <c r="N19" s="68">
        <f t="shared" si="8"/>
        <v>536287.54334375</v>
      </c>
      <c r="O19" s="102"/>
      <c r="P19" s="44">
        <f aca="true" t="shared" si="9" ref="P19:Y19">SUM(P10:P18)</f>
        <v>425322.21</v>
      </c>
      <c r="Q19" s="54">
        <f t="shared" si="9"/>
        <v>995</v>
      </c>
      <c r="R19" s="54">
        <f t="shared" si="9"/>
        <v>809.5</v>
      </c>
      <c r="S19" s="55">
        <f t="shared" si="9"/>
        <v>87021.25</v>
      </c>
      <c r="T19" s="55">
        <f t="shared" si="9"/>
        <v>457320.52</v>
      </c>
      <c r="U19" s="55">
        <f t="shared" si="9"/>
        <v>491619.559</v>
      </c>
      <c r="V19" s="55">
        <f t="shared" si="9"/>
        <v>491619.559</v>
      </c>
      <c r="W19" s="56">
        <v>491619.559</v>
      </c>
      <c r="X19" s="55">
        <f t="shared" si="9"/>
        <v>16760.59207499998</v>
      </c>
      <c r="Y19" s="55">
        <f t="shared" si="9"/>
        <v>488109.75334375</v>
      </c>
      <c r="Z19" s="65">
        <v>0</v>
      </c>
      <c r="AA19" s="55">
        <v>488109.75334375</v>
      </c>
      <c r="AB19" s="66">
        <f t="shared" si="7"/>
        <v>488109.75334375</v>
      </c>
      <c r="AC19" s="93">
        <v>488109.75334375</v>
      </c>
    </row>
    <row r="20" spans="1:29" ht="22.5" customHeight="1" thickTop="1">
      <c r="A20" s="81"/>
      <c r="B20" s="9"/>
      <c r="C20" s="9"/>
      <c r="D20" s="9"/>
      <c r="E20" s="9"/>
      <c r="F20" s="9"/>
      <c r="G20" s="9"/>
      <c r="H20" s="9"/>
      <c r="I20" s="9"/>
      <c r="J20" s="9"/>
      <c r="K20" s="73" t="s">
        <v>96</v>
      </c>
      <c r="L20" s="74">
        <v>425000</v>
      </c>
      <c r="M20" s="9"/>
      <c r="N20" s="69"/>
      <c r="O20" s="20"/>
      <c r="P20" s="9"/>
      <c r="Q20" s="9"/>
      <c r="R20" s="100"/>
      <c r="S20" s="9"/>
      <c r="T20" s="43"/>
      <c r="U20" s="43"/>
      <c r="V20" s="9"/>
      <c r="W20" s="9"/>
      <c r="X20" s="76"/>
      <c r="Y20" s="76"/>
      <c r="Z20" s="75" t="s">
        <v>97</v>
      </c>
      <c r="AA20" s="74">
        <v>425000</v>
      </c>
      <c r="AB20" s="66">
        <f>SUM(AA20)</f>
        <v>425000</v>
      </c>
      <c r="AC20" s="94">
        <v>425000</v>
      </c>
    </row>
    <row r="21" spans="1:29" ht="13.5" thickBot="1">
      <c r="A21" s="8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63"/>
    </row>
    <row r="22" ht="12.75">
      <c r="A22" s="3"/>
    </row>
    <row r="23" ht="15" customHeight="1">
      <c r="A23" s="3"/>
    </row>
  </sheetData>
  <conditionalFormatting sqref="X10:X19">
    <cfRule type="cellIs" priority="1" dxfId="0" operator="lessThan" stopIfTrue="1">
      <formula>1</formula>
    </cfRule>
  </conditionalFormatting>
  <printOptions/>
  <pageMargins left="0.45" right="0.31" top="1" bottom="0.82" header="0.5" footer="0.5"/>
  <pageSetup fitToHeight="1" fitToWidth="1" horizontalDpi="600" verticalDpi="600" orientation="landscape" paperSize="17" scale="68" r:id="rId3"/>
  <headerFooter alignWithMargins="0">
    <oddFooter xml:space="preserve">&amp;LPrepared By: Mike Manuel
 &amp;D &amp;R&amp;F      &amp;A  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C27" sqref="C27"/>
    </sheetView>
  </sheetViews>
  <sheetFormatPr defaultColWidth="9.140625" defaultRowHeight="12.75"/>
  <sheetData/>
  <printOptions/>
  <pageMargins left="0.62" right="0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mviola</cp:lastModifiedBy>
  <cp:lastPrinted>2004-01-05T15:52:03Z</cp:lastPrinted>
  <dcterms:created xsi:type="dcterms:W3CDTF">2002-03-21T16:35:03Z</dcterms:created>
  <dcterms:modified xsi:type="dcterms:W3CDTF">2004-01-29T19:34:10Z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314506911</vt:i4>
  </property>
  <property fmtid="{D5CDD505-2E9C-101B-9397-08002B2CF9AE}" pid="3" name="_EmailSubject">
    <vt:lpwstr>Dec Cost Spread Sheet</vt:lpwstr>
  </property>
  <property fmtid="{D5CDD505-2E9C-101B-9397-08002B2CF9AE}" pid="4" name="_AuthorEmail">
    <vt:lpwstr>manuel@majortool.com</vt:lpwstr>
  </property>
  <property fmtid="{D5CDD505-2E9C-101B-9397-08002B2CF9AE}" pid="5" name="_AuthorEmailDisplayName">
    <vt:lpwstr>Manuel, Mike</vt:lpwstr>
  </property>
  <property fmtid="{D5CDD505-2E9C-101B-9397-08002B2CF9AE}" pid="6" name="_PreviousAdHocReviewCycleID">
    <vt:i4>787928301</vt:i4>
  </property>
  <property fmtid="{D5CDD505-2E9C-101B-9397-08002B2CF9AE}" pid="7" name="_ReviewingToolsShownOnce">
    <vt:lpwstr/>
  </property>
</Properties>
</file>