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ummary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<sst xmlns="http://schemas.openxmlformats.org/spreadsheetml/2006/main" count="57" uniqueCount="47">
  <si>
    <t xml:space="preserve">Rohwedder Inc Detailed Cost Summary for RFP 04-015F </t>
  </si>
  <si>
    <t>Non-Recurring</t>
  </si>
  <si>
    <t>Recurring</t>
  </si>
  <si>
    <t>Total</t>
  </si>
  <si>
    <t>Rohwedder</t>
  </si>
  <si>
    <t>Precision</t>
  </si>
  <si>
    <t>Hours</t>
  </si>
  <si>
    <t>Rates</t>
  </si>
  <si>
    <t>Rate</t>
  </si>
  <si>
    <t>Dollars</t>
  </si>
  <si>
    <t>1st VVSA</t>
  </si>
  <si>
    <t>2nd VVSA</t>
  </si>
  <si>
    <t>3rd VVSA</t>
  </si>
  <si>
    <t>Labor</t>
  </si>
  <si>
    <t>Project Engineer</t>
  </si>
  <si>
    <t>Engineering</t>
  </si>
  <si>
    <t>Quality Assurance</t>
  </si>
  <si>
    <t>Site Project Engineer</t>
  </si>
  <si>
    <t>Contract Admin</t>
  </si>
  <si>
    <t>Manufacturing Labor</t>
  </si>
  <si>
    <t>Dies</t>
  </si>
  <si>
    <t>VVSA Vessel</t>
  </si>
  <si>
    <t>VVSA Attachments</t>
  </si>
  <si>
    <t>VVSA Spacers</t>
  </si>
  <si>
    <t>Material</t>
  </si>
  <si>
    <t>Weight</t>
  </si>
  <si>
    <t>Cost/Pound</t>
  </si>
  <si>
    <t>Cost</t>
  </si>
  <si>
    <t>Welding Fixtures</t>
  </si>
  <si>
    <t>Tooling</t>
  </si>
  <si>
    <t>Consumables</t>
  </si>
  <si>
    <t>Miscellaneous</t>
  </si>
  <si>
    <t>Subcontractor</t>
  </si>
  <si>
    <t>Leased Equipment</t>
  </si>
  <si>
    <t>FARO Arms (2)</t>
  </si>
  <si>
    <t>FARO Scanner</t>
  </si>
  <si>
    <t>Fork Lift</t>
  </si>
  <si>
    <t>Press</t>
  </si>
  <si>
    <t>Furance</t>
  </si>
  <si>
    <t>Waterjet (2)</t>
  </si>
  <si>
    <t>5-axis Machine</t>
  </si>
  <si>
    <t>Leak Detection Equipment</t>
  </si>
  <si>
    <t>Expenses</t>
  </si>
  <si>
    <t>Travel</t>
  </si>
  <si>
    <t>On-site Lodging</t>
  </si>
  <si>
    <t>Insurance</t>
  </si>
  <si>
    <t>Shipping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</si>
</sst>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17" applyNumberFormat="1" applyFont="1" applyAlignment="1">
      <alignment/>
    </xf>
    <xf numFmtId="44" fontId="5" fillId="0" borderId="1" xfId="17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44" fontId="5" fillId="0" borderId="0" xfId="17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44" fontId="5" fillId="0" borderId="6" xfId="17" applyFont="1" applyBorder="1" applyAlignment="1">
      <alignment/>
    </xf>
    <xf numFmtId="44" fontId="5" fillId="0" borderId="5" xfId="17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17" applyNumberFormat="1" applyFont="1" applyBorder="1" applyAlignment="1">
      <alignment horizontal="center"/>
    </xf>
    <xf numFmtId="44" fontId="5" fillId="0" borderId="11" xfId="17" applyFont="1" applyBorder="1" applyAlignment="1">
      <alignment horizontal="center"/>
    </xf>
    <xf numFmtId="44" fontId="5" fillId="0" borderId="12" xfId="17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5" xfId="0" applyFont="1" applyBorder="1" applyAlignment="1">
      <alignment/>
    </xf>
    <xf numFmtId="3" fontId="5" fillId="0" borderId="7" xfId="17" applyNumberFormat="1" applyFont="1" applyBorder="1" applyAlignment="1">
      <alignment horizontal="center"/>
    </xf>
    <xf numFmtId="44" fontId="5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44" fontId="5" fillId="0" borderId="2" xfId="17" applyFont="1" applyBorder="1" applyAlignment="1">
      <alignment/>
    </xf>
    <xf numFmtId="0" fontId="5" fillId="0" borderId="2" xfId="17" applyNumberFormat="1" applyFont="1" applyBorder="1" applyAlignment="1">
      <alignment/>
    </xf>
    <xf numFmtId="3" fontId="5" fillId="0" borderId="4" xfId="17" applyNumberFormat="1" applyFont="1" applyBorder="1" applyAlignment="1">
      <alignment horizontal="center"/>
    </xf>
    <xf numFmtId="44" fontId="5" fillId="0" borderId="3" xfId="17" applyFont="1" applyBorder="1" applyAlignment="1">
      <alignment/>
    </xf>
    <xf numFmtId="44" fontId="5" fillId="0" borderId="1" xfId="17" applyFont="1" applyBorder="1" applyAlignment="1">
      <alignment/>
    </xf>
    <xf numFmtId="0" fontId="5" fillId="0" borderId="4" xfId="0" applyFont="1" applyBorder="1" applyAlignment="1">
      <alignment/>
    </xf>
    <xf numFmtId="44" fontId="5" fillId="0" borderId="0" xfId="17" applyFont="1" applyBorder="1" applyAlignment="1">
      <alignment/>
    </xf>
    <xf numFmtId="1" fontId="5" fillId="0" borderId="0" xfId="17" applyNumberFormat="1" applyFont="1" applyAlignment="1">
      <alignment/>
    </xf>
    <xf numFmtId="44" fontId="5" fillId="0" borderId="0" xfId="0" applyNumberFormat="1" applyFont="1" applyBorder="1" applyAlignment="1">
      <alignment/>
    </xf>
    <xf numFmtId="44" fontId="5" fillId="0" borderId="4" xfId="0" applyNumberFormat="1" applyFont="1" applyBorder="1" applyAlignment="1">
      <alignment/>
    </xf>
    <xf numFmtId="44" fontId="5" fillId="0" borderId="7" xfId="17" applyFont="1" applyBorder="1" applyAlignment="1">
      <alignment/>
    </xf>
    <xf numFmtId="44" fontId="5" fillId="0" borderId="4" xfId="17" applyFont="1" applyBorder="1" applyAlignment="1">
      <alignment/>
    </xf>
    <xf numFmtId="0" fontId="6" fillId="0" borderId="8" xfId="0" applyFont="1" applyBorder="1" applyAlignment="1">
      <alignment/>
    </xf>
    <xf numFmtId="0" fontId="5" fillId="0" borderId="15" xfId="0" applyFont="1" applyBorder="1" applyAlignment="1">
      <alignment/>
    </xf>
    <xf numFmtId="44" fontId="5" fillId="0" borderId="9" xfId="17" applyFont="1" applyBorder="1" applyAlignment="1">
      <alignment/>
    </xf>
    <xf numFmtId="0" fontId="5" fillId="0" borderId="9" xfId="17" applyNumberFormat="1" applyFont="1" applyBorder="1" applyAlignment="1">
      <alignment/>
    </xf>
    <xf numFmtId="3" fontId="5" fillId="0" borderId="14" xfId="17" applyNumberFormat="1" applyFont="1" applyBorder="1" applyAlignment="1">
      <alignment horizontal="center"/>
    </xf>
    <xf numFmtId="44" fontId="5" fillId="0" borderId="15" xfId="17" applyFont="1" applyBorder="1" applyAlignment="1">
      <alignment/>
    </xf>
    <xf numFmtId="44" fontId="5" fillId="0" borderId="8" xfId="17" applyFont="1" applyBorder="1" applyAlignment="1">
      <alignment/>
    </xf>
    <xf numFmtId="44" fontId="5" fillId="0" borderId="14" xfId="17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44" fontId="6" fillId="0" borderId="2" xfId="17" applyFont="1" applyBorder="1" applyAlignment="1">
      <alignment/>
    </xf>
    <xf numFmtId="0" fontId="6" fillId="0" borderId="2" xfId="17" applyNumberFormat="1" applyFont="1" applyBorder="1" applyAlignment="1">
      <alignment/>
    </xf>
    <xf numFmtId="3" fontId="6" fillId="0" borderId="10" xfId="17" applyNumberFormat="1" applyFont="1" applyBorder="1" applyAlignment="1">
      <alignment horizontal="center"/>
    </xf>
    <xf numFmtId="44" fontId="6" fillId="0" borderId="11" xfId="17" applyFont="1" applyBorder="1" applyAlignment="1">
      <alignment/>
    </xf>
    <xf numFmtId="44" fontId="6" fillId="0" borderId="12" xfId="17" applyFont="1" applyBorder="1" applyAlignment="1">
      <alignment/>
    </xf>
    <xf numFmtId="44" fontId="6" fillId="0" borderId="13" xfId="17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4" fontId="0" fillId="0" borderId="0" xfId="17" applyAlignment="1">
      <alignment/>
    </xf>
    <xf numFmtId="0" fontId="0" fillId="0" borderId="0" xfId="17" applyNumberFormat="1" applyAlignment="1">
      <alignment/>
    </xf>
    <xf numFmtId="3" fontId="0" fillId="0" borderId="0" xfId="17" applyNumberFormat="1" applyAlignment="1">
      <alignment horizontal="center"/>
    </xf>
    <xf numFmtId="0" fontId="4" fillId="0" borderId="0" xfId="0" applyFont="1" applyAlignment="1">
      <alignment horizontal="center"/>
    </xf>
    <xf numFmtId="44" fontId="5" fillId="0" borderId="1" xfId="17" applyFont="1" applyBorder="1" applyAlignment="1">
      <alignment horizontal="center"/>
    </xf>
    <xf numFmtId="44" fontId="5" fillId="0" borderId="3" xfId="17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m.adams\Local%20Settings\Temporary%20Internet%20Files\OLK6\VVSA%20Cost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Summary"/>
      <sheetName val="Rates"/>
      <sheetName val="Travel"/>
    </sheetNames>
    <sheetDataSet>
      <sheetData sheetId="2">
        <row r="4">
          <cell r="F4">
            <v>119.02499999999998</v>
          </cell>
        </row>
        <row r="5">
          <cell r="F5">
            <v>87.28499999999998</v>
          </cell>
          <cell r="M5">
            <v>75.9759</v>
          </cell>
        </row>
        <row r="6">
          <cell r="F6">
            <v>87.28499999999998</v>
          </cell>
        </row>
        <row r="7">
          <cell r="F7">
            <v>55.544999999999995</v>
          </cell>
        </row>
        <row r="9">
          <cell r="M9">
            <v>75.9759</v>
          </cell>
        </row>
        <row r="10">
          <cell r="M10">
            <v>64.2873</v>
          </cell>
        </row>
        <row r="16">
          <cell r="M16">
            <v>1.0519740000000002</v>
          </cell>
        </row>
        <row r="17">
          <cell r="M17">
            <v>23.377200000000002</v>
          </cell>
        </row>
        <row r="22">
          <cell r="O22">
            <v>133818.80113948497</v>
          </cell>
        </row>
        <row r="23">
          <cell r="O23">
            <v>115813.61916547501</v>
          </cell>
        </row>
        <row r="24">
          <cell r="O24">
            <v>17458.823497499998</v>
          </cell>
        </row>
        <row r="25">
          <cell r="O25">
            <v>129674.55570299999</v>
          </cell>
        </row>
        <row r="26">
          <cell r="O26">
            <v>42996.631986</v>
          </cell>
        </row>
        <row r="27">
          <cell r="O27">
            <v>513494.80874999997</v>
          </cell>
        </row>
        <row r="28">
          <cell r="O28">
            <v>1026989.6174999999</v>
          </cell>
        </row>
        <row r="29">
          <cell r="O29">
            <v>54361.983753</v>
          </cell>
        </row>
      </sheetData>
      <sheetData sheetId="3">
        <row r="4">
          <cell r="M4">
            <v>37403.520000000004</v>
          </cell>
        </row>
        <row r="18">
          <cell r="F18">
            <v>48816.11999999999</v>
          </cell>
        </row>
        <row r="20">
          <cell r="F20">
            <v>96489.59999999999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P49" sqref="A1:P49"/>
    </sheetView>
  </sheetViews>
  <sheetFormatPr defaultColWidth="9.140625" defaultRowHeight="12.75"/>
  <cols>
    <col min="2" max="2" width="18.7109375" style="0" customWidth="1"/>
    <col min="3" max="3" width="0" style="0" hidden="1" customWidth="1"/>
    <col min="4" max="4" width="10.8515625" style="63" hidden="1" customWidth="1"/>
    <col min="5" max="5" width="10.8515625" style="64" hidden="1" customWidth="1"/>
    <col min="6" max="6" width="10.8515625" style="63" hidden="1" customWidth="1"/>
    <col min="7" max="7" width="10.8515625" style="65" customWidth="1"/>
    <col min="8" max="8" width="17.00390625" style="63" customWidth="1"/>
    <col min="9" max="9" width="5.140625" style="63" customWidth="1"/>
    <col min="10" max="10" width="15.28125" style="0" customWidth="1"/>
    <col min="11" max="11" width="4.8515625" style="0" customWidth="1"/>
    <col min="12" max="12" width="15.28125" style="0" customWidth="1"/>
    <col min="13" max="13" width="4.8515625" style="0" customWidth="1"/>
    <col min="14" max="14" width="15.28125" style="0" customWidth="1"/>
    <col min="15" max="15" width="4.8515625" style="0" customWidth="1"/>
    <col min="16" max="16" width="17.00390625" style="0" customWidth="1"/>
  </cols>
  <sheetData>
    <row r="1" spans="1:16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3" spans="1:16" ht="15">
      <c r="A3" s="1"/>
      <c r="B3" s="2"/>
      <c r="C3" s="3"/>
      <c r="D3" s="4"/>
      <c r="E3" s="5"/>
      <c r="F3" s="4"/>
      <c r="G3" s="67" t="s">
        <v>1</v>
      </c>
      <c r="H3" s="68"/>
      <c r="I3" s="6"/>
      <c r="J3" s="69" t="s">
        <v>2</v>
      </c>
      <c r="K3" s="69"/>
      <c r="L3" s="69"/>
      <c r="M3" s="69"/>
      <c r="N3" s="69"/>
      <c r="O3" s="7"/>
      <c r="P3" s="8" t="s">
        <v>3</v>
      </c>
    </row>
    <row r="4" spans="1:16" ht="15" hidden="1">
      <c r="A4" s="9"/>
      <c r="B4" s="10"/>
      <c r="C4" s="70" t="s">
        <v>4</v>
      </c>
      <c r="D4" s="70"/>
      <c r="E4" s="11" t="s">
        <v>5</v>
      </c>
      <c r="F4" s="12"/>
      <c r="G4" s="13"/>
      <c r="H4" s="14"/>
      <c r="I4" s="15"/>
      <c r="J4" s="16"/>
      <c r="K4" s="16"/>
      <c r="L4" s="16"/>
      <c r="M4" s="16"/>
      <c r="N4" s="16"/>
      <c r="O4" s="17"/>
      <c r="P4" s="18"/>
    </row>
    <row r="5" spans="1:16" ht="15">
      <c r="A5" s="19"/>
      <c r="B5" s="20"/>
      <c r="C5" s="3" t="s">
        <v>6</v>
      </c>
      <c r="D5" s="4" t="s">
        <v>7</v>
      </c>
      <c r="E5" s="5" t="s">
        <v>6</v>
      </c>
      <c r="F5" s="4" t="s">
        <v>8</v>
      </c>
      <c r="G5" s="21" t="s">
        <v>6</v>
      </c>
      <c r="H5" s="22" t="s">
        <v>9</v>
      </c>
      <c r="I5" s="23"/>
      <c r="J5" s="24" t="s">
        <v>10</v>
      </c>
      <c r="K5" s="24"/>
      <c r="L5" s="24" t="s">
        <v>11</v>
      </c>
      <c r="M5" s="24"/>
      <c r="N5" s="24" t="s">
        <v>12</v>
      </c>
      <c r="O5" s="25"/>
      <c r="P5" s="26"/>
    </row>
    <row r="6" spans="1:16" ht="15.75">
      <c r="A6" s="27" t="s">
        <v>13</v>
      </c>
      <c r="B6" s="17"/>
      <c r="C6" s="3"/>
      <c r="D6" s="4"/>
      <c r="E6" s="5"/>
      <c r="F6" s="4"/>
      <c r="G6" s="28"/>
      <c r="H6" s="14"/>
      <c r="I6" s="15"/>
      <c r="J6" s="10"/>
      <c r="K6" s="10"/>
      <c r="L6" s="10"/>
      <c r="M6" s="10"/>
      <c r="N6" s="10"/>
      <c r="O6" s="17"/>
      <c r="P6" s="18"/>
    </row>
    <row r="7" spans="1:16" ht="15">
      <c r="A7" s="9" t="s">
        <v>14</v>
      </c>
      <c r="B7" s="17"/>
      <c r="C7" s="3">
        <v>1928</v>
      </c>
      <c r="D7" s="4">
        <f>'[1]Rates'!F4</f>
        <v>119.02499999999998</v>
      </c>
      <c r="E7" s="5"/>
      <c r="F7" s="4"/>
      <c r="G7" s="28">
        <f>C7+E7</f>
        <v>1928</v>
      </c>
      <c r="H7" s="14">
        <f>(C7*D7)+(E7*F7)</f>
        <v>229480.19999999995</v>
      </c>
      <c r="I7" s="15"/>
      <c r="J7" s="10"/>
      <c r="K7" s="10"/>
      <c r="L7" s="10"/>
      <c r="M7" s="10"/>
      <c r="N7" s="10"/>
      <c r="O7" s="17"/>
      <c r="P7" s="29">
        <f>SUM(H7:N7)</f>
        <v>229480.19999999995</v>
      </c>
    </row>
    <row r="8" spans="1:16" ht="15">
      <c r="A8" s="9" t="s">
        <v>15</v>
      </c>
      <c r="B8" s="17"/>
      <c r="C8" s="3">
        <f>2440+144+64</f>
        <v>2648</v>
      </c>
      <c r="D8" s="4">
        <f>'[1]Rates'!F5</f>
        <v>87.28499999999998</v>
      </c>
      <c r="E8" s="5">
        <v>3820</v>
      </c>
      <c r="F8" s="4">
        <f>'[1]Rates'!M5</f>
        <v>75.9759</v>
      </c>
      <c r="G8" s="28">
        <f>C8+E8</f>
        <v>6468</v>
      </c>
      <c r="H8" s="14">
        <f>(C8*D8)+(E8*F8)</f>
        <v>521358.6179999999</v>
      </c>
      <c r="I8" s="15"/>
      <c r="J8" s="10"/>
      <c r="K8" s="10"/>
      <c r="L8" s="10"/>
      <c r="M8" s="10"/>
      <c r="N8" s="10"/>
      <c r="O8" s="17"/>
      <c r="P8" s="29">
        <f>SUM(H8:N8)</f>
        <v>521358.6179999999</v>
      </c>
    </row>
    <row r="9" spans="1:16" ht="15">
      <c r="A9" s="9" t="s">
        <v>16</v>
      </c>
      <c r="B9" s="17"/>
      <c r="C9" s="3"/>
      <c r="D9" s="4"/>
      <c r="E9" s="5">
        <v>2040</v>
      </c>
      <c r="F9" s="4">
        <f>'[1]Rates'!M9</f>
        <v>75.9759</v>
      </c>
      <c r="G9" s="28">
        <f>C9+E9</f>
        <v>2040</v>
      </c>
      <c r="H9" s="14">
        <f>(C9*D9)+(E9*F9)</f>
        <v>154990.83599999998</v>
      </c>
      <c r="I9" s="15"/>
      <c r="J9" s="10"/>
      <c r="K9" s="10"/>
      <c r="L9" s="10"/>
      <c r="M9" s="10"/>
      <c r="N9" s="10"/>
      <c r="O9" s="17"/>
      <c r="P9" s="29">
        <f>SUM(H9:N9)</f>
        <v>154990.83599999998</v>
      </c>
    </row>
    <row r="10" spans="1:16" ht="15">
      <c r="A10" s="9" t="s">
        <v>17</v>
      </c>
      <c r="B10" s="17"/>
      <c r="C10" s="3">
        <v>1420</v>
      </c>
      <c r="D10" s="4">
        <f>'[1]Rates'!F6</f>
        <v>87.28499999999998</v>
      </c>
      <c r="E10" s="5"/>
      <c r="F10" s="4"/>
      <c r="G10" s="28">
        <f>C10+E10</f>
        <v>1420</v>
      </c>
      <c r="H10" s="14">
        <f>(C10*D10)+(E10*F10)</f>
        <v>123944.69999999997</v>
      </c>
      <c r="I10" s="15"/>
      <c r="J10" s="10"/>
      <c r="K10" s="10"/>
      <c r="L10" s="10"/>
      <c r="M10" s="10"/>
      <c r="N10" s="10"/>
      <c r="O10" s="17"/>
      <c r="P10" s="29">
        <f>SUM(H10:N10)</f>
        <v>123944.69999999997</v>
      </c>
    </row>
    <row r="11" spans="1:16" ht="15">
      <c r="A11" s="9" t="s">
        <v>18</v>
      </c>
      <c r="B11" s="17"/>
      <c r="C11" s="3">
        <v>1200</v>
      </c>
      <c r="D11" s="4">
        <f>'[1]Rates'!F7</f>
        <v>55.544999999999995</v>
      </c>
      <c r="E11" s="5"/>
      <c r="F11" s="4"/>
      <c r="G11" s="28">
        <f>C11+E11</f>
        <v>1200</v>
      </c>
      <c r="H11" s="14">
        <f>(C11*D11)+(E11*F11)</f>
        <v>66654</v>
      </c>
      <c r="I11" s="15"/>
      <c r="J11" s="10"/>
      <c r="K11" s="10"/>
      <c r="L11" s="10"/>
      <c r="M11" s="10"/>
      <c r="N11" s="10"/>
      <c r="O11" s="17"/>
      <c r="P11" s="29">
        <f>SUM(H11:N11)</f>
        <v>66654</v>
      </c>
    </row>
    <row r="12" spans="1:16" ht="15">
      <c r="A12" s="9"/>
      <c r="B12" s="17"/>
      <c r="C12" s="3"/>
      <c r="D12" s="4"/>
      <c r="E12" s="5"/>
      <c r="F12" s="4"/>
      <c r="G12" s="28"/>
      <c r="H12" s="14"/>
      <c r="I12" s="15"/>
      <c r="J12" s="10"/>
      <c r="K12" s="10"/>
      <c r="L12" s="10"/>
      <c r="M12" s="10"/>
      <c r="N12" s="10"/>
      <c r="O12" s="17"/>
      <c r="P12" s="18"/>
    </row>
    <row r="13" spans="1:16" ht="15.75">
      <c r="A13" s="30" t="s">
        <v>19</v>
      </c>
      <c r="B13" s="7"/>
      <c r="C13" s="2"/>
      <c r="D13" s="31"/>
      <c r="E13" s="32"/>
      <c r="F13" s="31"/>
      <c r="G13" s="33"/>
      <c r="H13" s="34"/>
      <c r="I13" s="35"/>
      <c r="J13" s="2"/>
      <c r="K13" s="2"/>
      <c r="L13" s="2"/>
      <c r="M13" s="2"/>
      <c r="N13" s="2"/>
      <c r="O13" s="7"/>
      <c r="P13" s="36"/>
    </row>
    <row r="14" spans="1:16" ht="15">
      <c r="A14" s="9" t="s">
        <v>20</v>
      </c>
      <c r="B14" s="17"/>
      <c r="C14" s="3"/>
      <c r="D14" s="4"/>
      <c r="E14" s="5">
        <v>4280</v>
      </c>
      <c r="F14" s="4">
        <f>'[1]Rates'!M10</f>
        <v>64.2873</v>
      </c>
      <c r="G14" s="28">
        <f>C14+E14</f>
        <v>4280</v>
      </c>
      <c r="H14" s="14">
        <f>(C14*D14)+(E14*F14)</f>
        <v>275149.64400000003</v>
      </c>
      <c r="I14" s="15"/>
      <c r="J14" s="10"/>
      <c r="K14" s="10"/>
      <c r="L14" s="10"/>
      <c r="M14" s="10"/>
      <c r="N14" s="10"/>
      <c r="O14" s="17"/>
      <c r="P14" s="29">
        <f>SUM(H14:N14)</f>
        <v>275149.64400000003</v>
      </c>
    </row>
    <row r="15" spans="1:16" ht="15">
      <c r="A15" s="9" t="s">
        <v>21</v>
      </c>
      <c r="B15" s="17"/>
      <c r="C15" s="3"/>
      <c r="D15" s="4"/>
      <c r="E15" s="5">
        <v>1530</v>
      </c>
      <c r="F15" s="4">
        <f>'[1]Rates'!M10</f>
        <v>64.2873</v>
      </c>
      <c r="G15" s="28">
        <f>C15+E15</f>
        <v>1530</v>
      </c>
      <c r="H15" s="14"/>
      <c r="I15" s="15"/>
      <c r="J15" s="37">
        <f>(E15*F15)/3</f>
        <v>32786.523</v>
      </c>
      <c r="K15" s="10"/>
      <c r="L15" s="37">
        <f>E15*F15/3</f>
        <v>32786.523</v>
      </c>
      <c r="M15" s="10"/>
      <c r="N15" s="37">
        <f>E15*F15/3</f>
        <v>32786.523</v>
      </c>
      <c r="O15" s="17"/>
      <c r="P15" s="29">
        <f>SUM(H15:N15)</f>
        <v>98359.569</v>
      </c>
    </row>
    <row r="16" spans="1:16" ht="15">
      <c r="A16" s="9" t="s">
        <v>22</v>
      </c>
      <c r="B16" s="17"/>
      <c r="C16" s="3"/>
      <c r="D16" s="4"/>
      <c r="E16" s="38">
        <v>8588.7</v>
      </c>
      <c r="F16" s="4">
        <f>'[1]Rates'!M10</f>
        <v>64.2873</v>
      </c>
      <c r="G16" s="28">
        <f>C16+E16</f>
        <v>8588.7</v>
      </c>
      <c r="H16" s="14"/>
      <c r="I16" s="15"/>
      <c r="J16" s="37">
        <f>E16*F16/3</f>
        <v>184048.11117000002</v>
      </c>
      <c r="K16" s="10"/>
      <c r="L16" s="37">
        <f>E16*F16/3</f>
        <v>184048.11117000002</v>
      </c>
      <c r="M16" s="10"/>
      <c r="N16" s="37">
        <f>E16*F16/3</f>
        <v>184048.11117000002</v>
      </c>
      <c r="O16" s="17"/>
      <c r="P16" s="29">
        <f>SUM(H16:N16)</f>
        <v>552144.33351</v>
      </c>
    </row>
    <row r="17" spans="1:16" ht="15">
      <c r="A17" s="9" t="s">
        <v>23</v>
      </c>
      <c r="B17" s="17"/>
      <c r="C17" s="3"/>
      <c r="D17" s="4"/>
      <c r="E17" s="38">
        <v>1978.92</v>
      </c>
      <c r="F17" s="4">
        <f>'[1]Rates'!M10</f>
        <v>64.2873</v>
      </c>
      <c r="G17" s="28">
        <f>C17+E17</f>
        <v>1978.92</v>
      </c>
      <c r="H17" s="14"/>
      <c r="I17" s="15"/>
      <c r="J17" s="37">
        <f>E17*F17/3</f>
        <v>42406.474572</v>
      </c>
      <c r="K17" s="10"/>
      <c r="L17" s="37">
        <f>E17*F17/3</f>
        <v>42406.474572</v>
      </c>
      <c r="M17" s="10"/>
      <c r="N17" s="37">
        <f>E17*F17/3</f>
        <v>42406.474572</v>
      </c>
      <c r="O17" s="17"/>
      <c r="P17" s="29">
        <f>SUM(H17:N17)</f>
        <v>127219.42371599999</v>
      </c>
    </row>
    <row r="18" spans="1:16" ht="15">
      <c r="A18" s="9"/>
      <c r="B18" s="17"/>
      <c r="C18" s="3"/>
      <c r="D18" s="4"/>
      <c r="E18" s="38"/>
      <c r="F18" s="4"/>
      <c r="G18" s="28"/>
      <c r="H18" s="14"/>
      <c r="I18" s="15"/>
      <c r="J18" s="37"/>
      <c r="K18" s="10"/>
      <c r="L18" s="37"/>
      <c r="M18" s="10"/>
      <c r="N18" s="37"/>
      <c r="O18" s="17"/>
      <c r="P18" s="29"/>
    </row>
    <row r="19" spans="1:16" ht="15.75">
      <c r="A19" s="30" t="s">
        <v>24</v>
      </c>
      <c r="B19" s="7"/>
      <c r="C19" s="2" t="s">
        <v>25</v>
      </c>
      <c r="D19" s="31" t="s">
        <v>26</v>
      </c>
      <c r="E19" s="32" t="s">
        <v>25</v>
      </c>
      <c r="F19" s="31" t="s">
        <v>27</v>
      </c>
      <c r="G19" s="21" t="s">
        <v>25</v>
      </c>
      <c r="H19" s="22" t="s">
        <v>9</v>
      </c>
      <c r="I19" s="35"/>
      <c r="J19" s="2"/>
      <c r="K19" s="2"/>
      <c r="L19" s="2"/>
      <c r="M19" s="2"/>
      <c r="N19" s="2"/>
      <c r="O19" s="7"/>
      <c r="P19" s="36"/>
    </row>
    <row r="20" spans="1:16" ht="15">
      <c r="A20" s="9" t="s">
        <v>20</v>
      </c>
      <c r="B20" s="17"/>
      <c r="C20" s="3">
        <v>825753.6</v>
      </c>
      <c r="D20" s="4">
        <f>'[1]Rates'!M16</f>
        <v>1.0519740000000002</v>
      </c>
      <c r="E20" s="5">
        <v>7072.2</v>
      </c>
      <c r="F20" s="4">
        <f>'[1]Rates'!M17</f>
        <v>23.377200000000002</v>
      </c>
      <c r="G20" s="28">
        <f>C20+E20</f>
        <v>832825.7999999999</v>
      </c>
      <c r="H20" s="14">
        <f>(C20*D20)+(E20*F20)</f>
        <v>1033999.5514464001</v>
      </c>
      <c r="I20" s="15"/>
      <c r="J20" s="10"/>
      <c r="K20" s="10"/>
      <c r="L20" s="10"/>
      <c r="M20" s="10"/>
      <c r="N20" s="10"/>
      <c r="O20" s="17"/>
      <c r="P20" s="29">
        <f aca="true" t="shared" si="0" ref="P20:P27">SUM(H20:N20)</f>
        <v>1033999.5514464001</v>
      </c>
    </row>
    <row r="21" spans="1:16" ht="15">
      <c r="A21" s="9" t="s">
        <v>21</v>
      </c>
      <c r="B21" s="17"/>
      <c r="C21" s="3"/>
      <c r="D21" s="4"/>
      <c r="E21" s="5">
        <v>12609.84</v>
      </c>
      <c r="F21" s="4">
        <f>'[1]Rates'!M17</f>
        <v>23.377200000000002</v>
      </c>
      <c r="G21" s="28">
        <f>C21+E21</f>
        <v>12609.84</v>
      </c>
      <c r="H21" s="14"/>
      <c r="I21" s="15"/>
      <c r="J21" s="39">
        <f>E21*F21/3</f>
        <v>98260.91721600002</v>
      </c>
      <c r="K21" s="10"/>
      <c r="L21" s="39">
        <f>E21*F21/3</f>
        <v>98260.91721600002</v>
      </c>
      <c r="M21" s="10"/>
      <c r="N21" s="39">
        <f>E21*F21/3</f>
        <v>98260.91721600002</v>
      </c>
      <c r="O21" s="17"/>
      <c r="P21" s="29">
        <f t="shared" si="0"/>
        <v>294782.75164800003</v>
      </c>
    </row>
    <row r="22" spans="1:16" ht="15">
      <c r="A22" s="9" t="s">
        <v>22</v>
      </c>
      <c r="B22" s="17"/>
      <c r="C22" s="3"/>
      <c r="D22" s="4"/>
      <c r="E22" s="5">
        <v>38331.15</v>
      </c>
      <c r="F22" s="4">
        <f>'[1]Rates'!M17</f>
        <v>23.377200000000002</v>
      </c>
      <c r="G22" s="28">
        <f>C22+E22</f>
        <v>38331.15</v>
      </c>
      <c r="H22" s="14"/>
      <c r="I22" s="15"/>
      <c r="J22" s="39">
        <f>E22*F22/3</f>
        <v>298691.65326000005</v>
      </c>
      <c r="K22" s="10"/>
      <c r="L22" s="39">
        <f>E22*F22/3</f>
        <v>298691.65326000005</v>
      </c>
      <c r="M22" s="10"/>
      <c r="N22" s="39">
        <f>E22*F22/3</f>
        <v>298691.65326000005</v>
      </c>
      <c r="O22" s="17"/>
      <c r="P22" s="29">
        <f t="shared" si="0"/>
        <v>896074.9597800002</v>
      </c>
    </row>
    <row r="23" spans="1:16" ht="15">
      <c r="A23" s="9" t="s">
        <v>23</v>
      </c>
      <c r="B23" s="17"/>
      <c r="C23" s="3"/>
      <c r="D23" s="4"/>
      <c r="E23" s="5">
        <v>4537.55</v>
      </c>
      <c r="F23" s="4">
        <f>'[1]Rates'!M17</f>
        <v>23.377200000000002</v>
      </c>
      <c r="G23" s="28">
        <f>C23+E23</f>
        <v>4537.55</v>
      </c>
      <c r="H23" s="14"/>
      <c r="I23" s="15"/>
      <c r="J23" s="39">
        <f>E23*F23/3</f>
        <v>35358.40462000001</v>
      </c>
      <c r="K23" s="10"/>
      <c r="L23" s="39">
        <f>E23*F23/3</f>
        <v>35358.40462000001</v>
      </c>
      <c r="M23" s="10"/>
      <c r="N23" s="39">
        <f>E23*F23/3</f>
        <v>35358.40462000001</v>
      </c>
      <c r="O23" s="17"/>
      <c r="P23" s="29">
        <f t="shared" si="0"/>
        <v>106075.21386000002</v>
      </c>
    </row>
    <row r="24" spans="1:16" ht="15">
      <c r="A24" s="9" t="s">
        <v>28</v>
      </c>
      <c r="B24" s="17"/>
      <c r="C24" s="3"/>
      <c r="D24" s="4"/>
      <c r="E24" s="5"/>
      <c r="F24" s="4"/>
      <c r="G24" s="28"/>
      <c r="H24" s="14">
        <f>49200*0.77*1.1*1.15</f>
        <v>47923.259999999995</v>
      </c>
      <c r="I24" s="15"/>
      <c r="J24" s="10"/>
      <c r="K24" s="10"/>
      <c r="L24" s="10"/>
      <c r="M24" s="10"/>
      <c r="N24" s="10"/>
      <c r="O24" s="17"/>
      <c r="P24" s="29">
        <f t="shared" si="0"/>
        <v>47923.259999999995</v>
      </c>
    </row>
    <row r="25" spans="1:16" ht="15">
      <c r="A25" s="9" t="s">
        <v>29</v>
      </c>
      <c r="B25" s="17"/>
      <c r="C25" s="3"/>
      <c r="D25" s="4"/>
      <c r="E25" s="5"/>
      <c r="F25" s="4"/>
      <c r="G25" s="28"/>
      <c r="H25" s="14"/>
      <c r="I25" s="15"/>
      <c r="J25" s="37">
        <f>14400*0.77*1.1*1.15</f>
        <v>14026.32</v>
      </c>
      <c r="K25" s="10"/>
      <c r="L25" s="37">
        <f>14400*0.77*1.1*1.15</f>
        <v>14026.32</v>
      </c>
      <c r="M25" s="10"/>
      <c r="N25" s="37">
        <f>14400*0.77*1.1*1.15</f>
        <v>14026.32</v>
      </c>
      <c r="O25" s="17"/>
      <c r="P25" s="29">
        <f t="shared" si="0"/>
        <v>42078.96</v>
      </c>
    </row>
    <row r="26" spans="1:16" ht="15">
      <c r="A26" s="9" t="s">
        <v>30</v>
      </c>
      <c r="B26" s="17"/>
      <c r="C26" s="3"/>
      <c r="D26" s="4"/>
      <c r="E26" s="5"/>
      <c r="F26" s="4"/>
      <c r="G26" s="28"/>
      <c r="H26" s="14"/>
      <c r="I26" s="15"/>
      <c r="J26" s="37">
        <f>22200*0.77*1.1*1.15</f>
        <v>21623.91</v>
      </c>
      <c r="K26" s="10"/>
      <c r="L26" s="37">
        <f>22200*0.77*1.1*1.15</f>
        <v>21623.91</v>
      </c>
      <c r="M26" s="10"/>
      <c r="N26" s="37">
        <f>22200*0.77*1.1*1.15</f>
        <v>21623.91</v>
      </c>
      <c r="O26" s="17"/>
      <c r="P26" s="29">
        <f t="shared" si="0"/>
        <v>64871.729999999996</v>
      </c>
    </row>
    <row r="27" spans="1:16" ht="15">
      <c r="A27" s="9" t="s">
        <v>31</v>
      </c>
      <c r="B27" s="17"/>
      <c r="C27" s="3">
        <f>5600*1.06*1.38*1.15</f>
        <v>9420.431999999999</v>
      </c>
      <c r="D27" s="4"/>
      <c r="E27" s="5"/>
      <c r="F27" s="4"/>
      <c r="G27" s="28"/>
      <c r="H27" s="14">
        <f>(C27)</f>
        <v>9420.431999999999</v>
      </c>
      <c r="I27" s="15"/>
      <c r="J27" s="37"/>
      <c r="K27" s="10"/>
      <c r="L27" s="37"/>
      <c r="M27" s="10"/>
      <c r="N27" s="37"/>
      <c r="O27" s="17"/>
      <c r="P27" s="29">
        <f t="shared" si="0"/>
        <v>9420.431999999999</v>
      </c>
    </row>
    <row r="28" spans="1:16" ht="15">
      <c r="A28" s="9"/>
      <c r="B28" s="17"/>
      <c r="C28" s="3"/>
      <c r="D28" s="4"/>
      <c r="E28" s="5"/>
      <c r="F28" s="4"/>
      <c r="G28" s="28"/>
      <c r="H28" s="14"/>
      <c r="I28" s="15"/>
      <c r="J28" s="37"/>
      <c r="K28" s="10"/>
      <c r="L28" s="37"/>
      <c r="M28" s="10"/>
      <c r="N28" s="37"/>
      <c r="O28" s="17"/>
      <c r="P28" s="29"/>
    </row>
    <row r="29" spans="1:16" ht="15.75">
      <c r="A29" s="30" t="s">
        <v>32</v>
      </c>
      <c r="B29" s="7"/>
      <c r="C29" s="2"/>
      <c r="D29" s="31"/>
      <c r="E29" s="32"/>
      <c r="F29" s="31"/>
      <c r="G29" s="33"/>
      <c r="H29" s="34"/>
      <c r="I29" s="35"/>
      <c r="J29" s="31">
        <f>(48000*0.77*1.1*1.15)+(8000*1.06*1.38*1.15)</f>
        <v>60212.15999999999</v>
      </c>
      <c r="K29" s="2"/>
      <c r="L29" s="31">
        <f>(48000*0.77*1.1*1.15)+(8000*1.06*1.38*1.15)</f>
        <v>60212.15999999999</v>
      </c>
      <c r="M29" s="2"/>
      <c r="N29" s="31">
        <f>(48000*0.77*1.1*1.15)+(8000*1.06*1.38*1.15)</f>
        <v>60212.15999999999</v>
      </c>
      <c r="O29" s="7"/>
      <c r="P29" s="40">
        <f>SUM(J29:N29)</f>
        <v>180636.47999999998</v>
      </c>
    </row>
    <row r="30" spans="1:16" ht="15.75">
      <c r="A30" s="27"/>
      <c r="B30" s="17"/>
      <c r="C30" s="3"/>
      <c r="D30" s="4"/>
      <c r="E30" s="5"/>
      <c r="F30" s="4"/>
      <c r="G30" s="28"/>
      <c r="H30" s="14"/>
      <c r="I30" s="15"/>
      <c r="J30" s="10"/>
      <c r="K30" s="10"/>
      <c r="L30" s="37"/>
      <c r="M30" s="10"/>
      <c r="N30" s="37"/>
      <c r="O30" s="17"/>
      <c r="P30" s="29"/>
    </row>
    <row r="31" spans="1:16" ht="15.75">
      <c r="A31" s="30" t="s">
        <v>33</v>
      </c>
      <c r="B31" s="7"/>
      <c r="C31" s="2"/>
      <c r="D31" s="31"/>
      <c r="E31" s="32"/>
      <c r="F31" s="31"/>
      <c r="G31" s="33"/>
      <c r="H31" s="34"/>
      <c r="I31" s="35"/>
      <c r="J31" s="2"/>
      <c r="K31" s="2"/>
      <c r="L31" s="2"/>
      <c r="M31" s="2"/>
      <c r="N31" s="2"/>
      <c r="O31" s="7"/>
      <c r="P31" s="36"/>
    </row>
    <row r="32" spans="1:16" ht="15">
      <c r="A32" s="9" t="s">
        <v>34</v>
      </c>
      <c r="B32" s="17"/>
      <c r="C32" s="3"/>
      <c r="D32" s="4"/>
      <c r="E32" s="5"/>
      <c r="F32" s="4"/>
      <c r="G32" s="28"/>
      <c r="H32" s="14">
        <f>'[1]Rates'!O22</f>
        <v>133818.80113948497</v>
      </c>
      <c r="I32" s="15"/>
      <c r="J32" s="10"/>
      <c r="K32" s="10"/>
      <c r="L32" s="10"/>
      <c r="M32" s="10"/>
      <c r="N32" s="10"/>
      <c r="O32" s="17"/>
      <c r="P32" s="29">
        <f aca="true" t="shared" si="1" ref="P32:P39">SUM(H32:N32)</f>
        <v>133818.80113948497</v>
      </c>
    </row>
    <row r="33" spans="1:16" ht="15">
      <c r="A33" s="9" t="s">
        <v>35</v>
      </c>
      <c r="B33" s="17"/>
      <c r="C33" s="3"/>
      <c r="D33" s="4"/>
      <c r="E33" s="5"/>
      <c r="F33" s="4"/>
      <c r="G33" s="28"/>
      <c r="H33" s="14">
        <f>'[1]Rates'!O23</f>
        <v>115813.61916547501</v>
      </c>
      <c r="I33" s="15"/>
      <c r="J33" s="10"/>
      <c r="K33" s="10"/>
      <c r="L33" s="10"/>
      <c r="M33" s="10"/>
      <c r="N33" s="10"/>
      <c r="O33" s="17"/>
      <c r="P33" s="29">
        <f t="shared" si="1"/>
        <v>115813.61916547501</v>
      </c>
    </row>
    <row r="34" spans="1:16" ht="15">
      <c r="A34" s="9" t="s">
        <v>36</v>
      </c>
      <c r="B34" s="17"/>
      <c r="C34" s="3"/>
      <c r="D34" s="4"/>
      <c r="E34" s="5"/>
      <c r="F34" s="4"/>
      <c r="G34" s="28"/>
      <c r="H34" s="14">
        <f>'[1]Rates'!O24</f>
        <v>17458.823497499998</v>
      </c>
      <c r="I34" s="15"/>
      <c r="J34" s="10"/>
      <c r="K34" s="10"/>
      <c r="L34" s="10"/>
      <c r="M34" s="10"/>
      <c r="N34" s="10"/>
      <c r="O34" s="17"/>
      <c r="P34" s="29">
        <f t="shared" si="1"/>
        <v>17458.823497499998</v>
      </c>
    </row>
    <row r="35" spans="1:16" ht="15">
      <c r="A35" s="9" t="s">
        <v>37</v>
      </c>
      <c r="B35" s="17"/>
      <c r="C35" s="3"/>
      <c r="D35" s="4"/>
      <c r="E35" s="5"/>
      <c r="F35" s="4"/>
      <c r="G35" s="28"/>
      <c r="H35" s="14">
        <f>'[1]Rates'!O25</f>
        <v>129674.55570299999</v>
      </c>
      <c r="I35" s="15"/>
      <c r="J35" s="10"/>
      <c r="K35" s="10"/>
      <c r="L35" s="10"/>
      <c r="M35" s="10"/>
      <c r="N35" s="10"/>
      <c r="O35" s="17"/>
      <c r="P35" s="29">
        <f t="shared" si="1"/>
        <v>129674.55570299999</v>
      </c>
    </row>
    <row r="36" spans="1:16" ht="15">
      <c r="A36" s="9" t="s">
        <v>38</v>
      </c>
      <c r="B36" s="17"/>
      <c r="C36" s="3"/>
      <c r="D36" s="4"/>
      <c r="E36" s="5"/>
      <c r="F36" s="4"/>
      <c r="G36" s="28"/>
      <c r="H36" s="14">
        <f>'[1]Rates'!O26</f>
        <v>42996.631986</v>
      </c>
      <c r="I36" s="15"/>
      <c r="J36" s="10"/>
      <c r="K36" s="10"/>
      <c r="L36" s="10"/>
      <c r="M36" s="10"/>
      <c r="N36" s="10"/>
      <c r="O36" s="17"/>
      <c r="P36" s="29">
        <f t="shared" si="1"/>
        <v>42996.631986</v>
      </c>
    </row>
    <row r="37" spans="1:16" ht="15">
      <c r="A37" s="9" t="s">
        <v>39</v>
      </c>
      <c r="B37" s="17"/>
      <c r="C37" s="3"/>
      <c r="D37" s="4"/>
      <c r="E37" s="5"/>
      <c r="F37" s="4"/>
      <c r="G37" s="28"/>
      <c r="H37" s="14">
        <f>'[1]Rates'!O27</f>
        <v>513494.80874999997</v>
      </c>
      <c r="I37" s="15"/>
      <c r="J37" s="10"/>
      <c r="K37" s="10"/>
      <c r="L37" s="10"/>
      <c r="M37" s="10"/>
      <c r="N37" s="10"/>
      <c r="O37" s="17"/>
      <c r="P37" s="29">
        <f t="shared" si="1"/>
        <v>513494.80874999997</v>
      </c>
    </row>
    <row r="38" spans="1:16" ht="15">
      <c r="A38" s="9" t="s">
        <v>40</v>
      </c>
      <c r="B38" s="17"/>
      <c r="C38" s="3"/>
      <c r="D38" s="4"/>
      <c r="E38" s="5"/>
      <c r="F38" s="4"/>
      <c r="G38" s="28"/>
      <c r="H38" s="14">
        <f>'[1]Rates'!O28</f>
        <v>1026989.6174999999</v>
      </c>
      <c r="I38" s="15"/>
      <c r="J38" s="10"/>
      <c r="K38" s="10"/>
      <c r="L38" s="10"/>
      <c r="M38" s="10"/>
      <c r="N38" s="10"/>
      <c r="O38" s="17"/>
      <c r="P38" s="29">
        <f t="shared" si="1"/>
        <v>1026989.6174999999</v>
      </c>
    </row>
    <row r="39" spans="1:16" ht="15">
      <c r="A39" s="9" t="s">
        <v>41</v>
      </c>
      <c r="B39" s="17"/>
      <c r="C39" s="3"/>
      <c r="D39" s="4"/>
      <c r="E39" s="5"/>
      <c r="F39" s="4"/>
      <c r="G39" s="28"/>
      <c r="H39" s="14">
        <f>'[1]Rates'!O29</f>
        <v>54361.983753</v>
      </c>
      <c r="I39" s="15"/>
      <c r="J39" s="10"/>
      <c r="K39" s="10"/>
      <c r="L39" s="10"/>
      <c r="M39" s="10"/>
      <c r="N39" s="10"/>
      <c r="O39" s="17"/>
      <c r="P39" s="29">
        <f t="shared" si="1"/>
        <v>54361.983753</v>
      </c>
    </row>
    <row r="40" spans="1:16" ht="15">
      <c r="A40" s="9"/>
      <c r="B40" s="17"/>
      <c r="C40" s="3"/>
      <c r="D40" s="4"/>
      <c r="E40" s="5"/>
      <c r="F40" s="4"/>
      <c r="G40" s="28"/>
      <c r="H40" s="14"/>
      <c r="I40" s="15"/>
      <c r="J40" s="10"/>
      <c r="K40" s="10"/>
      <c r="L40" s="10"/>
      <c r="M40" s="10"/>
      <c r="N40" s="10"/>
      <c r="O40" s="17"/>
      <c r="P40" s="18"/>
    </row>
    <row r="41" spans="1:16" ht="15.75">
      <c r="A41" s="30" t="s">
        <v>42</v>
      </c>
      <c r="B41" s="7"/>
      <c r="C41" s="2"/>
      <c r="D41" s="31"/>
      <c r="E41" s="32"/>
      <c r="F41" s="31"/>
      <c r="G41" s="33"/>
      <c r="H41" s="34"/>
      <c r="I41" s="35"/>
      <c r="J41" s="2"/>
      <c r="K41" s="2"/>
      <c r="L41" s="2"/>
      <c r="M41" s="2"/>
      <c r="N41" s="2"/>
      <c r="O41" s="7"/>
      <c r="P41" s="36"/>
    </row>
    <row r="42" spans="1:16" ht="15">
      <c r="A42" s="9" t="s">
        <v>43</v>
      </c>
      <c r="B42" s="17"/>
      <c r="C42" s="3"/>
      <c r="D42" s="4"/>
      <c r="E42" s="5"/>
      <c r="F42" s="4"/>
      <c r="G42" s="28"/>
      <c r="H42" s="14"/>
      <c r="I42" s="15"/>
      <c r="J42" s="10"/>
      <c r="K42" s="10"/>
      <c r="L42" s="10"/>
      <c r="M42" s="10"/>
      <c r="N42" s="10"/>
      <c r="O42" s="17"/>
      <c r="P42" s="41">
        <f>'[1]Travel'!F18+'[1]Travel'!M4</f>
        <v>86219.63999999998</v>
      </c>
    </row>
    <row r="43" spans="1:16" ht="15">
      <c r="A43" s="9" t="s">
        <v>44</v>
      </c>
      <c r="B43" s="17"/>
      <c r="C43" s="3"/>
      <c r="D43" s="4"/>
      <c r="E43" s="5"/>
      <c r="F43" s="4"/>
      <c r="G43" s="28"/>
      <c r="H43" s="14"/>
      <c r="I43" s="15"/>
      <c r="J43" s="10"/>
      <c r="K43" s="10"/>
      <c r="L43" s="10"/>
      <c r="M43" s="10"/>
      <c r="N43" s="10"/>
      <c r="O43" s="17"/>
      <c r="P43" s="41">
        <f>'[1]Travel'!F20</f>
        <v>96489.59999999999</v>
      </c>
    </row>
    <row r="44" spans="1:16" ht="15">
      <c r="A44" s="9"/>
      <c r="B44" s="17"/>
      <c r="C44" s="3"/>
      <c r="D44" s="4"/>
      <c r="E44" s="5"/>
      <c r="F44" s="4"/>
      <c r="G44" s="28"/>
      <c r="H44" s="14"/>
      <c r="I44" s="15"/>
      <c r="J44" s="10"/>
      <c r="K44" s="10"/>
      <c r="L44" s="10"/>
      <c r="M44" s="10"/>
      <c r="N44" s="10"/>
      <c r="O44" s="17"/>
      <c r="P44" s="18"/>
    </row>
    <row r="45" spans="1:16" ht="15.75">
      <c r="A45" s="30" t="s">
        <v>45</v>
      </c>
      <c r="B45" s="7"/>
      <c r="C45" s="2"/>
      <c r="D45" s="31"/>
      <c r="E45" s="32"/>
      <c r="F45" s="31"/>
      <c r="G45" s="33"/>
      <c r="H45" s="34"/>
      <c r="I45" s="35"/>
      <c r="J45" s="2"/>
      <c r="K45" s="2"/>
      <c r="L45" s="2"/>
      <c r="M45" s="2"/>
      <c r="N45" s="2"/>
      <c r="O45" s="7"/>
      <c r="P45" s="42">
        <v>127096.3</v>
      </c>
    </row>
    <row r="46" spans="1:16" ht="15.75">
      <c r="A46" s="43"/>
      <c r="B46" s="44"/>
      <c r="C46" s="20"/>
      <c r="D46" s="45"/>
      <c r="E46" s="46"/>
      <c r="F46" s="45"/>
      <c r="G46" s="47"/>
      <c r="H46" s="48"/>
      <c r="I46" s="49"/>
      <c r="J46" s="20"/>
      <c r="K46" s="20"/>
      <c r="L46" s="20"/>
      <c r="M46" s="20"/>
      <c r="N46" s="20"/>
      <c r="O46" s="44"/>
      <c r="P46" s="50"/>
    </row>
    <row r="47" spans="1:16" ht="15.75">
      <c r="A47" s="27" t="s">
        <v>46</v>
      </c>
      <c r="B47" s="17"/>
      <c r="C47" s="3"/>
      <c r="D47" s="4"/>
      <c r="E47" s="5"/>
      <c r="F47" s="4"/>
      <c r="G47" s="28"/>
      <c r="H47" s="14"/>
      <c r="I47" s="15"/>
      <c r="J47" s="10"/>
      <c r="K47" s="10"/>
      <c r="L47" s="10"/>
      <c r="M47" s="10"/>
      <c r="N47" s="10"/>
      <c r="O47" s="17"/>
      <c r="P47" s="41">
        <f>9555.7*1.1*1.15</f>
        <v>12087.960500000001</v>
      </c>
    </row>
    <row r="48" spans="1:16" ht="15">
      <c r="A48" s="9"/>
      <c r="B48" s="17"/>
      <c r="C48" s="3"/>
      <c r="D48" s="4"/>
      <c r="E48" s="5"/>
      <c r="F48" s="4"/>
      <c r="G48" s="28"/>
      <c r="H48" s="14"/>
      <c r="I48" s="15"/>
      <c r="J48" s="10"/>
      <c r="K48" s="10"/>
      <c r="L48" s="10"/>
      <c r="M48" s="10"/>
      <c r="N48" s="10"/>
      <c r="O48" s="17"/>
      <c r="P48" s="18"/>
    </row>
    <row r="49" spans="1:16" s="62" customFormat="1" ht="15.75">
      <c r="A49" s="51" t="s">
        <v>3</v>
      </c>
      <c r="B49" s="52"/>
      <c r="C49" s="53"/>
      <c r="D49" s="54"/>
      <c r="E49" s="55"/>
      <c r="F49" s="54"/>
      <c r="G49" s="56"/>
      <c r="H49" s="57"/>
      <c r="I49" s="58"/>
      <c r="J49" s="59"/>
      <c r="K49" s="60"/>
      <c r="L49" s="59"/>
      <c r="M49" s="60"/>
      <c r="N49" s="59"/>
      <c r="O49" s="52"/>
      <c r="P49" s="61">
        <f>SUM(P7:P48)</f>
        <v>7181667.004954858</v>
      </c>
    </row>
  </sheetData>
  <mergeCells count="4">
    <mergeCell ref="A1:P1"/>
    <mergeCell ref="G3:H3"/>
    <mergeCell ref="J3:N3"/>
    <mergeCell ref="C4:D4"/>
  </mergeCells>
  <printOptions/>
  <pageMargins left="0.75" right="0.75" top="1" bottom="1" header="0.5" footer="0.5"/>
  <pageSetup fitToHeight="1" fitToWidth="1" horizontalDpi="1200" verticalDpi="1200" orientation="landscape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Rohwedder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2004-08-03T16:29:42Z</cp:lastPrinted>
  <dcterms:created xsi:type="dcterms:W3CDTF">2004-08-03T16:26:18Z</dcterms:created>
  <dcterms:modified xsi:type="dcterms:W3CDTF">2004-08-03T16:30:44Z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1514545559</vt:i4>
  </property>
  <property fmtid="{D5CDD505-2E9C-101B-9397-08002B2CF9AE}" pid="4" name="_EmailSubje">
    <vt:lpwstr>Detailed Cost Summary</vt:lpwstr>
  </property>
  <property fmtid="{D5CDD505-2E9C-101B-9397-08002B2CF9AE}" pid="5" name="_AuthorEma">
    <vt:lpwstr>esther.bruger@rohwedder.com</vt:lpwstr>
  </property>
  <property fmtid="{D5CDD505-2E9C-101B-9397-08002B2CF9AE}" pid="6" name="_AuthorEmailDisplayNa">
    <vt:lpwstr>Esther Bruger</vt:lpwstr>
  </property>
</Properties>
</file>