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120" activeTab="0"/>
  </bookViews>
  <sheets>
    <sheet name="Summary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<sst xmlns="http://schemas.openxmlformats.org/spreadsheetml/2006/main" count="115" uniqueCount="56">
  <si>
    <t xml:space="preserve">Rohwedder Inc Detailed Cost Summary for RFP 04-015F </t>
  </si>
  <si>
    <t>Non-Recurring</t>
  </si>
  <si>
    <t>Recurring</t>
  </si>
  <si>
    <t>Total</t>
  </si>
  <si>
    <t>Rohwedder</t>
  </si>
  <si>
    <t>Precision</t>
  </si>
  <si>
    <t>Hours</t>
  </si>
  <si>
    <t>Rates</t>
  </si>
  <si>
    <t>Rate</t>
  </si>
  <si>
    <t>Dollars</t>
  </si>
  <si>
    <t>1st VVSA</t>
  </si>
  <si>
    <t>2nd VVSA</t>
  </si>
  <si>
    <t>3rd VVSA</t>
  </si>
  <si>
    <t>Labor</t>
  </si>
  <si>
    <t>Project Engineer</t>
  </si>
  <si>
    <t>Engineering</t>
  </si>
  <si>
    <t>Quality Assurance</t>
  </si>
  <si>
    <t>Site Project Engineer</t>
  </si>
  <si>
    <t>Contract Admin</t>
  </si>
  <si>
    <t>Manufacturing Labor</t>
  </si>
  <si>
    <t>Dies</t>
  </si>
  <si>
    <t>VVSA Vessel</t>
  </si>
  <si>
    <t>VVSA Attachments</t>
  </si>
  <si>
    <t>VVSA Spacers</t>
  </si>
  <si>
    <t>Material</t>
  </si>
  <si>
    <t>Weight</t>
  </si>
  <si>
    <t>Cost/Pound</t>
  </si>
  <si>
    <t>Cost</t>
  </si>
  <si>
    <t>Welding Fixtures</t>
  </si>
  <si>
    <t>Tooling</t>
  </si>
  <si>
    <t>Consumables</t>
  </si>
  <si>
    <t>Miscellaneous</t>
  </si>
  <si>
    <t>Subcontractor</t>
  </si>
  <si>
    <t>Leased Equipment</t>
  </si>
  <si>
    <t>FARO Arms (2)</t>
  </si>
  <si>
    <t>FARO Scanner</t>
  </si>
  <si>
    <t>Fork Lift</t>
  </si>
  <si>
    <t>Press</t>
  </si>
  <si>
    <t>Furance</t>
  </si>
  <si>
    <t>Waterjet (2)</t>
  </si>
  <si>
    <t>5-axis Machine</t>
  </si>
  <si>
    <t>Leak Detection Equipment</t>
  </si>
  <si>
    <t>Expenses</t>
  </si>
  <si>
    <t>Travel</t>
  </si>
  <si>
    <t>On-site Lodging</t>
  </si>
  <si>
    <t>Insurance</t>
  </si>
  <si>
    <t>Shipping</t>
  </si>
  <si>
    <t>engineering</t>
  </si>
  <si>
    <t>shipping</t>
  </si>
  <si>
    <t>fixturing/tooling</t>
  </si>
  <si>
    <t>dies</t>
  </si>
  <si>
    <t>Major Tool</t>
  </si>
  <si>
    <t xml:space="preserve">Cost </t>
  </si>
  <si>
    <t xml:space="preserve">VV Subassy </t>
  </si>
  <si>
    <t>Leased Equip.</t>
  </si>
  <si>
    <t>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</si>
</sst>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5" fillId="0" borderId="0" xfId="17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44" fontId="5" fillId="0" borderId="0" xfId="17" applyFont="1" applyAlignment="1">
      <alignment horizontal="center"/>
    </xf>
    <xf numFmtId="3" fontId="5" fillId="0" borderId="4" xfId="0" applyNumberFormat="1" applyFont="1" applyBorder="1" applyAlignment="1">
      <alignment horizontal="center"/>
    </xf>
    <xf numFmtId="44" fontId="5" fillId="0" borderId="5" xfId="17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17" applyNumberFormat="1" applyFont="1" applyBorder="1" applyAlignment="1">
      <alignment horizontal="center"/>
    </xf>
    <xf numFmtId="44" fontId="5" fillId="0" borderId="10" xfId="17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4" xfId="0" applyFont="1" applyBorder="1" applyAlignment="1">
      <alignment/>
    </xf>
    <xf numFmtId="3" fontId="5" fillId="0" borderId="6" xfId="17" applyNumberFormat="1" applyFont="1" applyBorder="1" applyAlignment="1">
      <alignment horizontal="center"/>
    </xf>
    <xf numFmtId="44" fontId="5" fillId="0" borderId="6" xfId="0" applyNumberFormat="1" applyFont="1" applyBorder="1" applyAlignment="1">
      <alignment/>
    </xf>
    <xf numFmtId="0" fontId="6" fillId="0" borderId="1" xfId="0" applyFont="1" applyBorder="1" applyAlignment="1">
      <alignment/>
    </xf>
    <xf numFmtId="44" fontId="5" fillId="0" borderId="2" xfId="17" applyFont="1" applyBorder="1" applyAlignment="1">
      <alignment/>
    </xf>
    <xf numFmtId="0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center"/>
    </xf>
    <xf numFmtId="44" fontId="5" fillId="0" borderId="13" xfId="17" applyFont="1" applyBorder="1" applyAlignment="1">
      <alignment/>
    </xf>
    <xf numFmtId="0" fontId="5" fillId="0" borderId="3" xfId="0" applyFont="1" applyBorder="1" applyAlignment="1">
      <alignment/>
    </xf>
    <xf numFmtId="44" fontId="5" fillId="0" borderId="0" xfId="17" applyFont="1" applyBorder="1" applyAlignment="1">
      <alignment/>
    </xf>
    <xf numFmtId="1" fontId="5" fillId="0" borderId="0" xfId="17" applyNumberFormat="1" applyFont="1" applyAlignment="1">
      <alignment/>
    </xf>
    <xf numFmtId="44" fontId="5" fillId="0" borderId="0" xfId="0" applyNumberFormat="1" applyFont="1" applyBorder="1" applyAlignment="1">
      <alignment/>
    </xf>
    <xf numFmtId="44" fontId="5" fillId="0" borderId="3" xfId="0" applyNumberFormat="1" applyFont="1" applyBorder="1" applyAlignment="1">
      <alignment/>
    </xf>
    <xf numFmtId="44" fontId="5" fillId="0" borderId="6" xfId="17" applyFont="1" applyBorder="1" applyAlignment="1">
      <alignment/>
    </xf>
    <xf numFmtId="44" fontId="5" fillId="0" borderId="3" xfId="17" applyFont="1" applyBorder="1" applyAlignment="1">
      <alignment/>
    </xf>
    <xf numFmtId="0" fontId="6" fillId="0" borderId="7" xfId="0" applyFont="1" applyBorder="1" applyAlignment="1">
      <alignment/>
    </xf>
    <xf numFmtId="44" fontId="5" fillId="0" borderId="8" xfId="17" applyFont="1" applyBorder="1" applyAlignment="1">
      <alignment/>
    </xf>
    <xf numFmtId="0" fontId="5" fillId="0" borderId="8" xfId="17" applyNumberFormat="1" applyFont="1" applyBorder="1" applyAlignment="1">
      <alignment/>
    </xf>
    <xf numFmtId="3" fontId="5" fillId="0" borderId="12" xfId="17" applyNumberFormat="1" applyFont="1" applyBorder="1" applyAlignment="1">
      <alignment horizontal="center"/>
    </xf>
    <xf numFmtId="44" fontId="5" fillId="0" borderId="14" xfId="17" applyFont="1" applyBorder="1" applyAlignment="1">
      <alignment/>
    </xf>
    <xf numFmtId="44" fontId="5" fillId="0" borderId="12" xfId="17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" xfId="0" applyFont="1" applyBorder="1" applyAlignment="1">
      <alignment/>
    </xf>
    <xf numFmtId="44" fontId="6" fillId="0" borderId="2" xfId="17" applyFont="1" applyBorder="1" applyAlignment="1">
      <alignment/>
    </xf>
    <xf numFmtId="0" fontId="6" fillId="0" borderId="2" xfId="17" applyNumberFormat="1" applyFont="1" applyBorder="1" applyAlignment="1">
      <alignment/>
    </xf>
    <xf numFmtId="3" fontId="6" fillId="0" borderId="9" xfId="17" applyNumberFormat="1" applyFont="1" applyBorder="1" applyAlignment="1">
      <alignment horizontal="center"/>
    </xf>
    <xf numFmtId="44" fontId="6" fillId="0" borderId="10" xfId="17" applyFont="1" applyBorder="1" applyAlignment="1">
      <alignment/>
    </xf>
    <xf numFmtId="44" fontId="6" fillId="0" borderId="11" xfId="17" applyFont="1" applyBorder="1" applyAlignment="1">
      <alignment/>
    </xf>
    <xf numFmtId="44" fontId="6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44" fontId="0" fillId="0" borderId="0" xfId="17" applyAlignment="1">
      <alignment/>
    </xf>
    <xf numFmtId="0" fontId="0" fillId="0" borderId="0" xfId="17" applyNumberFormat="1" applyAlignment="1">
      <alignment/>
    </xf>
    <xf numFmtId="3" fontId="0" fillId="0" borderId="0" xfId="17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4" fontId="5" fillId="0" borderId="1" xfId="17" applyFont="1" applyBorder="1" applyAlignment="1">
      <alignment horizontal="center"/>
    </xf>
    <xf numFmtId="44" fontId="5" fillId="0" borderId="13" xfId="17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m.adams\Local%20Settings\Temporary%20Internet%20Files\OLK6\VVSA%20Cost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(2)"/>
      <sheetName val="Summary"/>
      <sheetName val="Rates"/>
      <sheetName val="Travel"/>
    </sheetNames>
    <sheetDataSet>
      <sheetData sheetId="2">
        <row r="4">
          <cell r="F4">
            <v>119.02499999999998</v>
          </cell>
        </row>
        <row r="5">
          <cell r="F5">
            <v>87.28499999999998</v>
          </cell>
          <cell r="M5">
            <v>75.9759</v>
          </cell>
        </row>
        <row r="6">
          <cell r="F6">
            <v>87.28499999999998</v>
          </cell>
        </row>
        <row r="7">
          <cell r="F7">
            <v>55.544999999999995</v>
          </cell>
        </row>
        <row r="9">
          <cell r="M9">
            <v>75.9759</v>
          </cell>
        </row>
        <row r="10">
          <cell r="M10">
            <v>64.2873</v>
          </cell>
        </row>
        <row r="16">
          <cell r="M16">
            <v>1.0519740000000002</v>
          </cell>
        </row>
        <row r="17">
          <cell r="M17">
            <v>23.377200000000002</v>
          </cell>
        </row>
        <row r="22">
          <cell r="O22">
            <v>133818.80113948497</v>
          </cell>
        </row>
        <row r="23">
          <cell r="O23">
            <v>115813.61916547501</v>
          </cell>
        </row>
        <row r="24">
          <cell r="O24">
            <v>17458.823497499998</v>
          </cell>
        </row>
        <row r="25">
          <cell r="O25">
            <v>129674.55570299999</v>
          </cell>
        </row>
        <row r="26">
          <cell r="O26">
            <v>42996.631986</v>
          </cell>
        </row>
        <row r="27">
          <cell r="O27">
            <v>513494.80874999997</v>
          </cell>
        </row>
        <row r="28">
          <cell r="O28">
            <v>1026989.6174999999</v>
          </cell>
        </row>
        <row r="29">
          <cell r="O29">
            <v>54361.983753</v>
          </cell>
        </row>
      </sheetData>
      <sheetData sheetId="3">
        <row r="4">
          <cell r="M4">
            <v>37403.520000000004</v>
          </cell>
        </row>
        <row r="18">
          <cell r="F18">
            <v>48816.11999999999</v>
          </cell>
        </row>
        <row r="20">
          <cell r="F20">
            <v>96489.59999999999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8.7109375" style="0" customWidth="1"/>
    <col min="2" max="2" width="18.421875" style="0" bestFit="1" customWidth="1"/>
    <col min="3" max="3" width="10.8515625" style="51" customWidth="1"/>
    <col min="4" max="4" width="18.28125" style="52" bestFit="1" customWidth="1"/>
    <col min="5" max="5" width="18.28125" style="51" bestFit="1" customWidth="1"/>
    <col min="6" max="6" width="4.421875" style="53" customWidth="1"/>
    <col min="7" max="7" width="17.57421875" style="51" bestFit="1" customWidth="1"/>
    <col min="8" max="9" width="16.140625" style="0" bestFit="1" customWidth="1"/>
    <col min="10" max="10" width="17.421875" style="0" customWidth="1"/>
    <col min="11" max="11" width="18.28125" style="0" bestFit="1" customWidth="1"/>
    <col min="12" max="12" width="8.8515625" style="59" customWidth="1"/>
  </cols>
  <sheetData>
    <row r="1" spans="3:9" ht="18">
      <c r="C1" s="56" t="s">
        <v>4</v>
      </c>
      <c r="E1"/>
      <c r="G1"/>
      <c r="I1" s="56" t="s">
        <v>51</v>
      </c>
    </row>
    <row r="2" spans="1:11" ht="15">
      <c r="A2" s="3"/>
      <c r="B2" s="3"/>
      <c r="C2" s="3"/>
      <c r="D2" s="3"/>
      <c r="E2" s="3"/>
      <c r="G2" s="3"/>
      <c r="H2" s="3"/>
      <c r="I2" s="3"/>
      <c r="J2" s="3"/>
      <c r="K2" s="3"/>
    </row>
    <row r="3" spans="2:11" ht="15">
      <c r="B3" s="3" t="s">
        <v>24</v>
      </c>
      <c r="C3" s="3" t="s">
        <v>6</v>
      </c>
      <c r="D3" s="3" t="s">
        <v>52</v>
      </c>
      <c r="E3" s="54" t="s">
        <v>3</v>
      </c>
      <c r="G3" s="3"/>
      <c r="H3" s="3" t="s">
        <v>24</v>
      </c>
      <c r="I3" s="3" t="s">
        <v>6</v>
      </c>
      <c r="J3" s="3" t="s">
        <v>27</v>
      </c>
      <c r="K3" s="54" t="s">
        <v>3</v>
      </c>
    </row>
    <row r="4" spans="1:11" ht="15">
      <c r="A4" s="3" t="s">
        <v>53</v>
      </c>
      <c r="B4" s="58">
        <f>SUM(K37:K39)</f>
        <v>1296932.9252880001</v>
      </c>
      <c r="C4" s="57">
        <f>SUM(F31:F33)</f>
        <v>12097.62</v>
      </c>
      <c r="D4" s="58">
        <f>SUM(K31:K33)</f>
        <v>777723.326226</v>
      </c>
      <c r="E4" s="58">
        <f>B4+D4</f>
        <v>2074656.2515140001</v>
      </c>
      <c r="G4" s="3" t="s">
        <v>53</v>
      </c>
      <c r="H4" s="55">
        <f>3*291644</f>
        <v>874932</v>
      </c>
      <c r="I4" s="57">
        <f>3*7614</f>
        <v>22842</v>
      </c>
      <c r="J4" s="55">
        <f>3*1142749-H4</f>
        <v>2553315</v>
      </c>
      <c r="K4" s="55">
        <f>(J4+H4)</f>
        <v>3428247</v>
      </c>
    </row>
    <row r="5" spans="1:11" ht="15">
      <c r="A5" s="3" t="s">
        <v>50</v>
      </c>
      <c r="B5" s="58">
        <f>K36</f>
        <v>1033999.5514464001</v>
      </c>
      <c r="C5" s="57">
        <f>F30</f>
        <v>4280</v>
      </c>
      <c r="D5" s="58">
        <f>K30</f>
        <v>275149.64400000003</v>
      </c>
      <c r="E5" s="58">
        <f>B5+D5</f>
        <v>1309149.1954464002</v>
      </c>
      <c r="G5" s="3" t="s">
        <v>50</v>
      </c>
      <c r="H5" s="55">
        <v>218227</v>
      </c>
      <c r="I5" s="57">
        <v>3185</v>
      </c>
      <c r="J5" s="55">
        <f>699657-H5</f>
        <v>481430</v>
      </c>
      <c r="K5" s="55">
        <f>J5+H5</f>
        <v>699657</v>
      </c>
    </row>
    <row r="6" spans="1:11" ht="15">
      <c r="A6" s="3" t="s">
        <v>49</v>
      </c>
      <c r="B6" s="58"/>
      <c r="C6" s="3"/>
      <c r="D6" s="58">
        <f>SUM(K40:K43)</f>
        <v>164294.382</v>
      </c>
      <c r="E6" s="58">
        <f aca="true" t="shared" si="0" ref="E6:E11">D6</f>
        <v>164294.382</v>
      </c>
      <c r="G6" s="3" t="s">
        <v>49</v>
      </c>
      <c r="H6" s="55">
        <v>224959</v>
      </c>
      <c r="I6" s="57">
        <v>2797</v>
      </c>
      <c r="J6" s="55">
        <f>549720-H6</f>
        <v>324761</v>
      </c>
      <c r="K6" s="55">
        <f>J6+H6</f>
        <v>549720</v>
      </c>
    </row>
    <row r="7" spans="1:11" ht="15">
      <c r="A7" s="3" t="s">
        <v>48</v>
      </c>
      <c r="B7" s="58"/>
      <c r="C7" s="3"/>
      <c r="D7" s="58">
        <f>K63</f>
        <v>12087.960500000001</v>
      </c>
      <c r="E7" s="58">
        <f t="shared" si="0"/>
        <v>12087.960500000001</v>
      </c>
      <c r="G7" s="3" t="s">
        <v>48</v>
      </c>
      <c r="H7" s="55">
        <f>3*4189</f>
        <v>12567</v>
      </c>
      <c r="I7" s="57">
        <f>3*98</f>
        <v>294</v>
      </c>
      <c r="J7" s="55">
        <f>3*14851-H7</f>
        <v>31986</v>
      </c>
      <c r="K7" s="55">
        <f>J7+H7</f>
        <v>44553</v>
      </c>
    </row>
    <row r="8" spans="1:11" ht="15">
      <c r="A8" s="3" t="s">
        <v>47</v>
      </c>
      <c r="B8" s="58"/>
      <c r="C8" s="57">
        <f>SUM(F23:F27)</f>
        <v>13056</v>
      </c>
      <c r="D8" s="58">
        <f>SUM(K23:K27)</f>
        <v>1096428.3539999998</v>
      </c>
      <c r="E8" s="58">
        <f t="shared" si="0"/>
        <v>1096428.3539999998</v>
      </c>
      <c r="G8" s="3" t="s">
        <v>47</v>
      </c>
      <c r="H8" s="55"/>
      <c r="I8" s="57">
        <v>1450</v>
      </c>
      <c r="J8" s="55">
        <v>135883</v>
      </c>
      <c r="K8" s="55">
        <v>135883</v>
      </c>
    </row>
    <row r="9" spans="1:11" ht="15">
      <c r="A9" s="3" t="s">
        <v>32</v>
      </c>
      <c r="B9" s="58"/>
      <c r="C9" s="57"/>
      <c r="D9" s="58">
        <f>K45</f>
        <v>180636.47999999998</v>
      </c>
      <c r="E9" s="58">
        <f t="shared" si="0"/>
        <v>180636.47999999998</v>
      </c>
      <c r="G9" s="3" t="s">
        <v>32</v>
      </c>
      <c r="H9" s="55"/>
      <c r="J9" s="55"/>
      <c r="K9" s="55"/>
    </row>
    <row r="10" spans="1:11" ht="15">
      <c r="A10" s="3" t="s">
        <v>54</v>
      </c>
      <c r="B10" s="58"/>
      <c r="C10" s="3"/>
      <c r="D10" s="58">
        <f>SUM(K48:K55)</f>
        <v>2034608.8414944597</v>
      </c>
      <c r="E10" s="58">
        <f t="shared" si="0"/>
        <v>2034608.8414944597</v>
      </c>
      <c r="G10" s="3" t="s">
        <v>54</v>
      </c>
      <c r="H10" s="55"/>
      <c r="I10" s="3"/>
      <c r="J10" s="55"/>
      <c r="K10" s="3"/>
    </row>
    <row r="11" spans="1:7" ht="15">
      <c r="A11" s="3" t="s">
        <v>42</v>
      </c>
      <c r="B11" s="58"/>
      <c r="C11" s="3"/>
      <c r="D11" s="58">
        <f>SUM(K58:K61)</f>
        <v>309805.54</v>
      </c>
      <c r="E11" s="58">
        <f t="shared" si="0"/>
        <v>309805.54</v>
      </c>
      <c r="G11" s="3" t="s">
        <v>42</v>
      </c>
    </row>
    <row r="12" spans="1:11" ht="15.75">
      <c r="A12" s="3" t="s">
        <v>3</v>
      </c>
      <c r="B12" s="58"/>
      <c r="C12" s="3"/>
      <c r="D12" s="58">
        <f>SUM(D4:D11)</f>
        <v>4850734.528220459</v>
      </c>
      <c r="E12" s="61">
        <f>SUM(E4:E11)</f>
        <v>7181667.004954861</v>
      </c>
      <c r="G12" s="3" t="s">
        <v>3</v>
      </c>
      <c r="H12" s="55"/>
      <c r="I12" s="57">
        <f>SUM(I4:I8)</f>
        <v>30568</v>
      </c>
      <c r="J12" s="55"/>
      <c r="K12" s="62">
        <f>SUM(K4:K10)</f>
        <v>4858060</v>
      </c>
    </row>
    <row r="13" spans="8:9" ht="12.75">
      <c r="H13">
        <f>22000*15</f>
        <v>330000</v>
      </c>
      <c r="I13">
        <f>I4/(14)</f>
        <v>1631.5714285714287</v>
      </c>
    </row>
    <row r="17" spans="1:11" ht="18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9" spans="1:11" ht="15">
      <c r="A19" s="1"/>
      <c r="B19" s="3"/>
      <c r="C19" s="4"/>
      <c r="D19" s="5"/>
      <c r="E19" s="4"/>
      <c r="F19" s="64" t="s">
        <v>1</v>
      </c>
      <c r="G19" s="65"/>
      <c r="H19" s="66" t="s">
        <v>2</v>
      </c>
      <c r="I19" s="66"/>
      <c r="J19" s="66"/>
      <c r="K19" s="6" t="s">
        <v>3</v>
      </c>
    </row>
    <row r="20" spans="1:11" ht="15" hidden="1">
      <c r="A20" s="7"/>
      <c r="B20" s="67" t="s">
        <v>4</v>
      </c>
      <c r="C20" s="67"/>
      <c r="D20" s="9" t="s">
        <v>5</v>
      </c>
      <c r="E20" s="10"/>
      <c r="F20" s="11"/>
      <c r="G20" s="12"/>
      <c r="H20" s="13"/>
      <c r="I20" s="13"/>
      <c r="J20" s="13"/>
      <c r="K20" s="14"/>
    </row>
    <row r="21" spans="1:11" ht="15">
      <c r="A21" s="15"/>
      <c r="B21" s="3" t="s">
        <v>6</v>
      </c>
      <c r="C21" s="4" t="s">
        <v>7</v>
      </c>
      <c r="D21" s="5" t="s">
        <v>6</v>
      </c>
      <c r="E21" s="4" t="s">
        <v>8</v>
      </c>
      <c r="F21" s="17" t="s">
        <v>6</v>
      </c>
      <c r="G21" s="18" t="s">
        <v>9</v>
      </c>
      <c r="H21" s="19" t="s">
        <v>10</v>
      </c>
      <c r="I21" s="19" t="s">
        <v>11</v>
      </c>
      <c r="J21" s="19" t="s">
        <v>12</v>
      </c>
      <c r="K21" s="20"/>
    </row>
    <row r="22" spans="1:11" ht="15.75">
      <c r="A22" s="21" t="s">
        <v>13</v>
      </c>
      <c r="B22" s="3"/>
      <c r="C22" s="4"/>
      <c r="D22" s="5"/>
      <c r="E22" s="4"/>
      <c r="F22" s="22"/>
      <c r="G22" s="12"/>
      <c r="H22" s="8"/>
      <c r="I22" s="8"/>
      <c r="J22" s="8"/>
      <c r="K22" s="14"/>
    </row>
    <row r="23" spans="1:12" ht="15">
      <c r="A23" s="7" t="s">
        <v>14</v>
      </c>
      <c r="B23" s="3">
        <v>1928</v>
      </c>
      <c r="C23" s="4">
        <f>'[1]Rates'!F4</f>
        <v>119.02499999999998</v>
      </c>
      <c r="D23" s="5"/>
      <c r="E23" s="4"/>
      <c r="F23" s="22">
        <f>B23+D23</f>
        <v>1928</v>
      </c>
      <c r="G23" s="12">
        <f>(B23*C23)+(D23*E23)</f>
        <v>229480.19999999995</v>
      </c>
      <c r="H23" s="8"/>
      <c r="I23" s="8"/>
      <c r="J23" s="8"/>
      <c r="K23" s="23">
        <f>SUM(G23:J23)</f>
        <v>229480.19999999995</v>
      </c>
      <c r="L23" s="59" t="s">
        <v>55</v>
      </c>
    </row>
    <row r="24" spans="1:12" ht="15">
      <c r="A24" s="7" t="s">
        <v>15</v>
      </c>
      <c r="B24" s="3">
        <f>2440+144+64</f>
        <v>2648</v>
      </c>
      <c r="C24" s="4">
        <f>'[1]Rates'!F5</f>
        <v>87.28499999999998</v>
      </c>
      <c r="D24" s="5">
        <v>3820</v>
      </c>
      <c r="E24" s="4">
        <f>'[1]Rates'!M5</f>
        <v>75.9759</v>
      </c>
      <c r="F24" s="22">
        <f>B24+D24</f>
        <v>6468</v>
      </c>
      <c r="G24" s="12">
        <f>(B24*C24)+(D24*E24)</f>
        <v>521358.6179999999</v>
      </c>
      <c r="H24" s="8"/>
      <c r="I24" s="8"/>
      <c r="J24" s="8"/>
      <c r="K24" s="23">
        <f>SUM(G24:J24)</f>
        <v>521358.6179999999</v>
      </c>
      <c r="L24" s="59" t="s">
        <v>55</v>
      </c>
    </row>
    <row r="25" spans="1:12" ht="15">
      <c r="A25" s="7" t="s">
        <v>16</v>
      </c>
      <c r="B25" s="3"/>
      <c r="C25" s="4"/>
      <c r="D25" s="5">
        <v>2040</v>
      </c>
      <c r="E25" s="4">
        <f>'[1]Rates'!M9</f>
        <v>75.9759</v>
      </c>
      <c r="F25" s="22">
        <f>B25+D25</f>
        <v>2040</v>
      </c>
      <c r="G25" s="12">
        <f>(B25*C25)+(D25*E25)</f>
        <v>154990.83599999998</v>
      </c>
      <c r="H25" s="8"/>
      <c r="I25" s="8"/>
      <c r="J25" s="8"/>
      <c r="K25" s="23">
        <f>SUM(G25:J25)</f>
        <v>154990.83599999998</v>
      </c>
      <c r="L25" s="59" t="s">
        <v>55</v>
      </c>
    </row>
    <row r="26" spans="1:12" ht="15">
      <c r="A26" s="7" t="s">
        <v>17</v>
      </c>
      <c r="B26" s="3">
        <v>1420</v>
      </c>
      <c r="C26" s="4">
        <f>'[1]Rates'!F6</f>
        <v>87.28499999999998</v>
      </c>
      <c r="D26" s="5"/>
      <c r="E26" s="4"/>
      <c r="F26" s="22">
        <f>B26+D26</f>
        <v>1420</v>
      </c>
      <c r="G26" s="12">
        <f>(B26*C26)+(D26*E26)</f>
        <v>123944.69999999997</v>
      </c>
      <c r="H26" s="8"/>
      <c r="I26" s="8"/>
      <c r="J26" s="8"/>
      <c r="K26" s="23">
        <f>SUM(G26:J26)</f>
        <v>123944.69999999997</v>
      </c>
      <c r="L26" s="59" t="s">
        <v>55</v>
      </c>
    </row>
    <row r="27" spans="1:12" ht="15">
      <c r="A27" s="7" t="s">
        <v>18</v>
      </c>
      <c r="B27" s="3">
        <v>1200</v>
      </c>
      <c r="C27" s="4">
        <f>'[1]Rates'!F7</f>
        <v>55.544999999999995</v>
      </c>
      <c r="D27" s="5"/>
      <c r="E27" s="4"/>
      <c r="F27" s="22">
        <f>B27+D27</f>
        <v>1200</v>
      </c>
      <c r="G27" s="12">
        <f>(B27*C27)+(D27*E27)</f>
        <v>66654</v>
      </c>
      <c r="H27" s="8"/>
      <c r="I27" s="8"/>
      <c r="J27" s="8"/>
      <c r="K27" s="23">
        <f>SUM(G27:J27)</f>
        <v>66654</v>
      </c>
      <c r="L27" s="59" t="s">
        <v>55</v>
      </c>
    </row>
    <row r="28" spans="1:11" ht="15">
      <c r="A28" s="7"/>
      <c r="B28" s="3"/>
      <c r="C28" s="4"/>
      <c r="D28" s="5"/>
      <c r="E28" s="4"/>
      <c r="F28" s="22"/>
      <c r="G28" s="12"/>
      <c r="H28" s="8"/>
      <c r="I28" s="8"/>
      <c r="J28" s="8"/>
      <c r="K28" s="14"/>
    </row>
    <row r="29" spans="1:11" ht="15.75">
      <c r="A29" s="24" t="s">
        <v>19</v>
      </c>
      <c r="B29" s="2"/>
      <c r="C29" s="25"/>
      <c r="D29" s="26"/>
      <c r="E29" s="25"/>
      <c r="F29" s="27"/>
      <c r="G29" s="28"/>
      <c r="H29" s="2"/>
      <c r="I29" s="2"/>
      <c r="J29" s="2"/>
      <c r="K29" s="29"/>
    </row>
    <row r="30" spans="1:12" ht="15">
      <c r="A30" s="7" t="s">
        <v>20</v>
      </c>
      <c r="B30" s="3"/>
      <c r="C30" s="4"/>
      <c r="D30" s="5">
        <v>4280</v>
      </c>
      <c r="E30" s="4">
        <f>'[1]Rates'!M10</f>
        <v>64.2873</v>
      </c>
      <c r="F30" s="22">
        <f>B30+D30</f>
        <v>4280</v>
      </c>
      <c r="G30" s="12">
        <f>(B30*C30)+(D30*E30)</f>
        <v>275149.64400000003</v>
      </c>
      <c r="H30" s="8"/>
      <c r="I30" s="8"/>
      <c r="J30" s="8"/>
      <c r="K30" s="23">
        <f>SUM(G30:J30)</f>
        <v>275149.64400000003</v>
      </c>
      <c r="L30" s="59" t="s">
        <v>55</v>
      </c>
    </row>
    <row r="31" spans="1:12" ht="15">
      <c r="A31" s="7" t="s">
        <v>21</v>
      </c>
      <c r="B31" s="3"/>
      <c r="C31" s="4"/>
      <c r="D31" s="5">
        <v>1530</v>
      </c>
      <c r="E31" s="4">
        <f>'[1]Rates'!M10</f>
        <v>64.2873</v>
      </c>
      <c r="F31" s="22">
        <f>B31+D31</f>
        <v>1530</v>
      </c>
      <c r="G31" s="12"/>
      <c r="H31" s="30">
        <f>(D31*E31)/3</f>
        <v>32786.523</v>
      </c>
      <c r="I31" s="30">
        <f>D31*E31/3</f>
        <v>32786.523</v>
      </c>
      <c r="J31" s="30">
        <f>D31*E31/3</f>
        <v>32786.523</v>
      </c>
      <c r="K31" s="23">
        <f>SUM(G31:J31)</f>
        <v>98359.569</v>
      </c>
      <c r="L31" s="59" t="s">
        <v>55</v>
      </c>
    </row>
    <row r="32" spans="1:12" ht="15">
      <c r="A32" s="7" t="s">
        <v>22</v>
      </c>
      <c r="B32" s="3"/>
      <c r="C32" s="4"/>
      <c r="D32" s="31">
        <v>8588.7</v>
      </c>
      <c r="E32" s="4">
        <f>'[1]Rates'!M10</f>
        <v>64.2873</v>
      </c>
      <c r="F32" s="22">
        <f>B32+D32</f>
        <v>8588.7</v>
      </c>
      <c r="G32" s="12"/>
      <c r="H32" s="30">
        <f>D32*E32/3</f>
        <v>184048.11117000002</v>
      </c>
      <c r="I32" s="30">
        <f>D32*E32/3</f>
        <v>184048.11117000002</v>
      </c>
      <c r="J32" s="30">
        <f>D32*E32/3</f>
        <v>184048.11117000002</v>
      </c>
      <c r="K32" s="23">
        <f>SUM(G32:J32)</f>
        <v>552144.33351</v>
      </c>
      <c r="L32" s="59" t="s">
        <v>55</v>
      </c>
    </row>
    <row r="33" spans="1:12" ht="15">
      <c r="A33" s="7" t="s">
        <v>23</v>
      </c>
      <c r="B33" s="3"/>
      <c r="C33" s="4"/>
      <c r="D33" s="31">
        <v>1978.92</v>
      </c>
      <c r="E33" s="4">
        <f>'[1]Rates'!M10</f>
        <v>64.2873</v>
      </c>
      <c r="F33" s="22">
        <f>B33+D33</f>
        <v>1978.92</v>
      </c>
      <c r="G33" s="12"/>
      <c r="H33" s="30">
        <f>D33*E33/3</f>
        <v>42406.474572</v>
      </c>
      <c r="I33" s="30">
        <f>D33*E33/3</f>
        <v>42406.474572</v>
      </c>
      <c r="J33" s="30">
        <f>D33*E33/3</f>
        <v>42406.474572</v>
      </c>
      <c r="K33" s="23">
        <f>SUM(G33:J33)</f>
        <v>127219.42371599999</v>
      </c>
      <c r="L33" s="59" t="s">
        <v>55</v>
      </c>
    </row>
    <row r="34" spans="1:11" ht="15">
      <c r="A34" s="7"/>
      <c r="B34" s="3"/>
      <c r="C34" s="4"/>
      <c r="D34" s="31"/>
      <c r="E34" s="4"/>
      <c r="F34" s="22"/>
      <c r="G34" s="12"/>
      <c r="H34" s="30"/>
      <c r="I34" s="30"/>
      <c r="J34" s="30"/>
      <c r="K34" s="23"/>
    </row>
    <row r="35" spans="1:11" ht="15.75">
      <c r="A35" s="24" t="s">
        <v>24</v>
      </c>
      <c r="B35" s="2" t="s">
        <v>25</v>
      </c>
      <c r="C35" s="25" t="s">
        <v>26</v>
      </c>
      <c r="D35" s="26" t="s">
        <v>25</v>
      </c>
      <c r="E35" s="25" t="s">
        <v>27</v>
      </c>
      <c r="F35" s="17" t="s">
        <v>25</v>
      </c>
      <c r="G35" s="18" t="s">
        <v>9</v>
      </c>
      <c r="H35" s="2"/>
      <c r="I35" s="2"/>
      <c r="J35" s="2"/>
      <c r="K35" s="29"/>
    </row>
    <row r="36" spans="1:12" ht="15">
      <c r="A36" s="7" t="s">
        <v>20</v>
      </c>
      <c r="B36" s="3">
        <v>825753.6</v>
      </c>
      <c r="C36" s="4">
        <f>'[1]Rates'!M16</f>
        <v>1.0519740000000002</v>
      </c>
      <c r="D36" s="5">
        <v>7072.2</v>
      </c>
      <c r="E36" s="4">
        <f>'[1]Rates'!M17</f>
        <v>23.377200000000002</v>
      </c>
      <c r="F36" s="22">
        <f>B36+D36</f>
        <v>832825.7999999999</v>
      </c>
      <c r="G36" s="12">
        <f>(B36*C36)+(D36*E36)</f>
        <v>1033999.5514464001</v>
      </c>
      <c r="H36" s="8"/>
      <c r="I36" s="8"/>
      <c r="J36" s="8"/>
      <c r="K36" s="23">
        <f aca="true" t="shared" si="1" ref="K36:K43">SUM(G36:J36)</f>
        <v>1033999.5514464001</v>
      </c>
      <c r="L36" s="59" t="s">
        <v>55</v>
      </c>
    </row>
    <row r="37" spans="1:12" ht="15">
      <c r="A37" s="7" t="s">
        <v>21</v>
      </c>
      <c r="B37" s="3"/>
      <c r="C37" s="4"/>
      <c r="D37" s="5">
        <v>12609.84</v>
      </c>
      <c r="E37" s="4">
        <f>'[1]Rates'!M17</f>
        <v>23.377200000000002</v>
      </c>
      <c r="F37" s="22">
        <f>B37+D37</f>
        <v>12609.84</v>
      </c>
      <c r="G37" s="12"/>
      <c r="H37" s="32">
        <f>D37*E37/3</f>
        <v>98260.91721600002</v>
      </c>
      <c r="I37" s="32">
        <f>D37*E37/3</f>
        <v>98260.91721600002</v>
      </c>
      <c r="J37" s="32">
        <f>D37*E37/3</f>
        <v>98260.91721600002</v>
      </c>
      <c r="K37" s="23">
        <f t="shared" si="1"/>
        <v>294782.75164800003</v>
      </c>
      <c r="L37" s="59" t="s">
        <v>55</v>
      </c>
    </row>
    <row r="38" spans="1:12" ht="15">
      <c r="A38" s="7" t="s">
        <v>22</v>
      </c>
      <c r="B38" s="3"/>
      <c r="C38" s="4"/>
      <c r="D38" s="5">
        <v>38331.15</v>
      </c>
      <c r="E38" s="4">
        <f>'[1]Rates'!M17</f>
        <v>23.377200000000002</v>
      </c>
      <c r="F38" s="22">
        <f>B38+D38</f>
        <v>38331.15</v>
      </c>
      <c r="G38" s="12"/>
      <c r="H38" s="32">
        <f>D38*E38/3</f>
        <v>298691.65326000005</v>
      </c>
      <c r="I38" s="32">
        <f>D38*E38/3</f>
        <v>298691.65326000005</v>
      </c>
      <c r="J38" s="32">
        <f>D38*E38/3</f>
        <v>298691.65326000005</v>
      </c>
      <c r="K38" s="23">
        <f t="shared" si="1"/>
        <v>896074.9597800002</v>
      </c>
      <c r="L38" s="59" t="s">
        <v>55</v>
      </c>
    </row>
    <row r="39" spans="1:12" ht="15">
      <c r="A39" s="7" t="s">
        <v>23</v>
      </c>
      <c r="B39" s="3"/>
      <c r="C39" s="4"/>
      <c r="D39" s="5">
        <v>4537.55</v>
      </c>
      <c r="E39" s="4">
        <f>'[1]Rates'!M17</f>
        <v>23.377200000000002</v>
      </c>
      <c r="F39" s="22">
        <f>B39+D39</f>
        <v>4537.55</v>
      </c>
      <c r="G39" s="12"/>
      <c r="H39" s="32">
        <f>D39*E39/3</f>
        <v>35358.40462000001</v>
      </c>
      <c r="I39" s="32">
        <f>D39*E39/3</f>
        <v>35358.40462000001</v>
      </c>
      <c r="J39" s="32">
        <f>D39*E39/3</f>
        <v>35358.40462000001</v>
      </c>
      <c r="K39" s="23">
        <f t="shared" si="1"/>
        <v>106075.21386000002</v>
      </c>
      <c r="L39" s="59" t="s">
        <v>55</v>
      </c>
    </row>
    <row r="40" spans="1:12" ht="15">
      <c r="A40" s="7" t="s">
        <v>28</v>
      </c>
      <c r="B40" s="3"/>
      <c r="C40" s="4"/>
      <c r="D40" s="5"/>
      <c r="E40" s="4"/>
      <c r="F40" s="22"/>
      <c r="G40" s="12">
        <f>49200*0.77*1.1*1.15</f>
        <v>47923.259999999995</v>
      </c>
      <c r="H40" s="8"/>
      <c r="I40" s="8"/>
      <c r="J40" s="8"/>
      <c r="K40" s="23">
        <f t="shared" si="1"/>
        <v>47923.259999999995</v>
      </c>
      <c r="L40" s="59" t="s">
        <v>55</v>
      </c>
    </row>
    <row r="41" spans="1:12" ht="15">
      <c r="A41" s="7" t="s">
        <v>29</v>
      </c>
      <c r="B41" s="3"/>
      <c r="C41" s="4"/>
      <c r="D41" s="5"/>
      <c r="E41" s="4"/>
      <c r="F41" s="22"/>
      <c r="G41" s="12"/>
      <c r="H41" s="30">
        <f>14400*0.77*1.1*1.15</f>
        <v>14026.32</v>
      </c>
      <c r="I41" s="30">
        <f>14400*0.77*1.1*1.15</f>
        <v>14026.32</v>
      </c>
      <c r="J41" s="30">
        <f>14400*0.77*1.1*1.15</f>
        <v>14026.32</v>
      </c>
      <c r="K41" s="23">
        <f t="shared" si="1"/>
        <v>42078.96</v>
      </c>
      <c r="L41" s="59" t="s">
        <v>55</v>
      </c>
    </row>
    <row r="42" spans="1:12" ht="15">
      <c r="A42" s="7" t="s">
        <v>30</v>
      </c>
      <c r="B42" s="3"/>
      <c r="C42" s="4"/>
      <c r="D42" s="5"/>
      <c r="E42" s="4"/>
      <c r="F42" s="22"/>
      <c r="G42" s="12"/>
      <c r="H42" s="30">
        <f>22200*0.77*1.1*1.15</f>
        <v>21623.91</v>
      </c>
      <c r="I42" s="30">
        <f>22200*0.77*1.1*1.15</f>
        <v>21623.91</v>
      </c>
      <c r="J42" s="30">
        <f>22200*0.77*1.1*1.15</f>
        <v>21623.91</v>
      </c>
      <c r="K42" s="23">
        <f t="shared" si="1"/>
        <v>64871.729999999996</v>
      </c>
      <c r="L42" s="59" t="s">
        <v>55</v>
      </c>
    </row>
    <row r="43" spans="1:12" ht="15">
      <c r="A43" s="7" t="s">
        <v>31</v>
      </c>
      <c r="B43" s="3">
        <f>5600*1.06*1.38*1.15</f>
        <v>9420.431999999999</v>
      </c>
      <c r="C43" s="4"/>
      <c r="D43" s="5"/>
      <c r="E43" s="4"/>
      <c r="F43" s="22"/>
      <c r="G43" s="12">
        <f>(B43)</f>
        <v>9420.431999999999</v>
      </c>
      <c r="H43" s="30"/>
      <c r="I43" s="30"/>
      <c r="J43" s="30"/>
      <c r="K43" s="23">
        <f t="shared" si="1"/>
        <v>9420.431999999999</v>
      </c>
      <c r="L43" s="59" t="s">
        <v>55</v>
      </c>
    </row>
    <row r="44" spans="1:11" ht="15">
      <c r="A44" s="7"/>
      <c r="B44" s="3"/>
      <c r="C44" s="4"/>
      <c r="D44" s="5"/>
      <c r="E44" s="4"/>
      <c r="F44" s="22"/>
      <c r="G44" s="12"/>
      <c r="H44" s="30"/>
      <c r="I44" s="30"/>
      <c r="J44" s="30"/>
      <c r="K44" s="23"/>
    </row>
    <row r="45" spans="1:12" ht="15.75">
      <c r="A45" s="24" t="s">
        <v>32</v>
      </c>
      <c r="B45" s="2"/>
      <c r="C45" s="25"/>
      <c r="D45" s="26"/>
      <c r="E45" s="25"/>
      <c r="F45" s="27"/>
      <c r="G45" s="28"/>
      <c r="H45" s="25">
        <f>(48000*0.77*1.1*1.15)+(8000*1.06*1.38*1.15)</f>
        <v>60212.15999999999</v>
      </c>
      <c r="I45" s="25">
        <f>(48000*0.77*1.1*1.15)+(8000*1.06*1.38*1.15)</f>
        <v>60212.15999999999</v>
      </c>
      <c r="J45" s="25">
        <f>(48000*0.77*1.1*1.15)+(8000*1.06*1.38*1.15)</f>
        <v>60212.15999999999</v>
      </c>
      <c r="K45" s="33">
        <f>SUM(H45:J45)</f>
        <v>180636.47999999998</v>
      </c>
      <c r="L45" s="59" t="s">
        <v>55</v>
      </c>
    </row>
    <row r="46" spans="1:11" ht="15.75">
      <c r="A46" s="21"/>
      <c r="B46" s="3"/>
      <c r="C46" s="4"/>
      <c r="D46" s="5"/>
      <c r="E46" s="4"/>
      <c r="F46" s="22"/>
      <c r="G46" s="12"/>
      <c r="H46" s="8"/>
      <c r="I46" s="30"/>
      <c r="J46" s="30"/>
      <c r="K46" s="23"/>
    </row>
    <row r="47" spans="1:11" ht="15.75">
      <c r="A47" s="24" t="s">
        <v>33</v>
      </c>
      <c r="B47" s="2"/>
      <c r="C47" s="25"/>
      <c r="D47" s="26"/>
      <c r="E47" s="25"/>
      <c r="F47" s="27"/>
      <c r="G47" s="28"/>
      <c r="H47" s="2"/>
      <c r="I47" s="2"/>
      <c r="J47" s="2"/>
      <c r="K47" s="29"/>
    </row>
    <row r="48" spans="1:12" ht="15">
      <c r="A48" s="7" t="s">
        <v>34</v>
      </c>
      <c r="B48" s="3"/>
      <c r="C48" s="4"/>
      <c r="D48" s="5"/>
      <c r="E48" s="4"/>
      <c r="F48" s="22"/>
      <c r="G48" s="12">
        <f>'[1]Rates'!O22</f>
        <v>133818.80113948497</v>
      </c>
      <c r="H48" s="8"/>
      <c r="I48" s="8"/>
      <c r="J48" s="8"/>
      <c r="K48" s="23">
        <f aca="true" t="shared" si="2" ref="K48:K55">SUM(G48:J48)</f>
        <v>133818.80113948497</v>
      </c>
      <c r="L48" s="59" t="s">
        <v>55</v>
      </c>
    </row>
    <row r="49" spans="1:12" ht="15">
      <c r="A49" s="7" t="s">
        <v>35</v>
      </c>
      <c r="B49" s="3"/>
      <c r="C49" s="4"/>
      <c r="D49" s="5"/>
      <c r="E49" s="4"/>
      <c r="F49" s="22"/>
      <c r="G49" s="12">
        <f>'[1]Rates'!O23</f>
        <v>115813.61916547501</v>
      </c>
      <c r="H49" s="8"/>
      <c r="I49" s="8"/>
      <c r="J49" s="8"/>
      <c r="K49" s="23">
        <f t="shared" si="2"/>
        <v>115813.61916547501</v>
      </c>
      <c r="L49" s="59" t="s">
        <v>55</v>
      </c>
    </row>
    <row r="50" spans="1:12" ht="15">
      <c r="A50" s="7" t="s">
        <v>36</v>
      </c>
      <c r="B50" s="3"/>
      <c r="C50" s="4"/>
      <c r="D50" s="5"/>
      <c r="E50" s="4"/>
      <c r="F50" s="22"/>
      <c r="G50" s="12">
        <f>'[1]Rates'!O24</f>
        <v>17458.823497499998</v>
      </c>
      <c r="H50" s="8"/>
      <c r="I50" s="8"/>
      <c r="J50" s="8"/>
      <c r="K50" s="23">
        <f t="shared" si="2"/>
        <v>17458.823497499998</v>
      </c>
      <c r="L50" s="59" t="s">
        <v>55</v>
      </c>
    </row>
    <row r="51" spans="1:12" ht="15">
      <c r="A51" s="7" t="s">
        <v>37</v>
      </c>
      <c r="B51" s="3"/>
      <c r="C51" s="4"/>
      <c r="D51" s="5"/>
      <c r="E51" s="4"/>
      <c r="F51" s="22"/>
      <c r="G51" s="12">
        <f>'[1]Rates'!O25</f>
        <v>129674.55570299999</v>
      </c>
      <c r="H51" s="8"/>
      <c r="I51" s="8"/>
      <c r="J51" s="8"/>
      <c r="K51" s="23">
        <f t="shared" si="2"/>
        <v>129674.55570299999</v>
      </c>
      <c r="L51" s="59" t="s">
        <v>55</v>
      </c>
    </row>
    <row r="52" spans="1:12" ht="15">
      <c r="A52" s="7" t="s">
        <v>38</v>
      </c>
      <c r="B52" s="3"/>
      <c r="C52" s="4"/>
      <c r="D52" s="5"/>
      <c r="E52" s="4"/>
      <c r="F52" s="22"/>
      <c r="G52" s="12">
        <f>'[1]Rates'!O26</f>
        <v>42996.631986</v>
      </c>
      <c r="H52" s="8"/>
      <c r="I52" s="8"/>
      <c r="J52" s="8"/>
      <c r="K52" s="23">
        <f t="shared" si="2"/>
        <v>42996.631986</v>
      </c>
      <c r="L52" s="59" t="s">
        <v>55</v>
      </c>
    </row>
    <row r="53" spans="1:12" ht="15">
      <c r="A53" s="7" t="s">
        <v>39</v>
      </c>
      <c r="B53" s="3"/>
      <c r="C53" s="4"/>
      <c r="D53" s="5"/>
      <c r="E53" s="4"/>
      <c r="F53" s="22"/>
      <c r="G53" s="12">
        <f>'[1]Rates'!O27</f>
        <v>513494.80874999997</v>
      </c>
      <c r="H53" s="8"/>
      <c r="I53" s="8"/>
      <c r="J53" s="8"/>
      <c r="K53" s="23">
        <f t="shared" si="2"/>
        <v>513494.80874999997</v>
      </c>
      <c r="L53" s="59" t="s">
        <v>55</v>
      </c>
    </row>
    <row r="54" spans="1:12" ht="15">
      <c r="A54" s="7" t="s">
        <v>40</v>
      </c>
      <c r="B54" s="3"/>
      <c r="C54" s="4"/>
      <c r="D54" s="5"/>
      <c r="E54" s="4"/>
      <c r="F54" s="22"/>
      <c r="G54" s="12">
        <f>'[1]Rates'!O28</f>
        <v>1026989.6174999999</v>
      </c>
      <c r="H54" s="8"/>
      <c r="I54" s="8"/>
      <c r="J54" s="8"/>
      <c r="K54" s="23">
        <f t="shared" si="2"/>
        <v>1026989.6174999999</v>
      </c>
      <c r="L54" s="59" t="s">
        <v>55</v>
      </c>
    </row>
    <row r="55" spans="1:12" ht="15">
      <c r="A55" s="7" t="s">
        <v>41</v>
      </c>
      <c r="B55" s="3"/>
      <c r="C55" s="4"/>
      <c r="D55" s="5"/>
      <c r="E55" s="4"/>
      <c r="F55" s="22"/>
      <c r="G55" s="12">
        <f>'[1]Rates'!O29</f>
        <v>54361.983753</v>
      </c>
      <c r="H55" s="8"/>
      <c r="I55" s="8"/>
      <c r="J55" s="8"/>
      <c r="K55" s="23">
        <f t="shared" si="2"/>
        <v>54361.983753</v>
      </c>
      <c r="L55" s="59" t="s">
        <v>55</v>
      </c>
    </row>
    <row r="56" spans="1:11" ht="15">
      <c r="A56" s="7"/>
      <c r="B56" s="3"/>
      <c r="C56" s="4"/>
      <c r="D56" s="5"/>
      <c r="E56" s="4"/>
      <c r="F56" s="22"/>
      <c r="G56" s="12"/>
      <c r="H56" s="8"/>
      <c r="I56" s="8"/>
      <c r="J56" s="8"/>
      <c r="K56" s="14"/>
    </row>
    <row r="57" spans="1:11" ht="15.75">
      <c r="A57" s="24" t="s">
        <v>42</v>
      </c>
      <c r="B57" s="2"/>
      <c r="C57" s="25"/>
      <c r="D57" s="26"/>
      <c r="E57" s="25"/>
      <c r="F57" s="27"/>
      <c r="G57" s="28"/>
      <c r="H57" s="2"/>
      <c r="I57" s="2"/>
      <c r="J57" s="2"/>
      <c r="K57" s="29"/>
    </row>
    <row r="58" spans="1:12" ht="15">
      <c r="A58" s="7" t="s">
        <v>43</v>
      </c>
      <c r="B58" s="3"/>
      <c r="C58" s="4"/>
      <c r="D58" s="5"/>
      <c r="E58" s="4"/>
      <c r="F58" s="22"/>
      <c r="G58" s="12"/>
      <c r="H58" s="8"/>
      <c r="I58" s="8"/>
      <c r="J58" s="8"/>
      <c r="K58" s="34">
        <f>'[1]Travel'!F18+'[1]Travel'!M4</f>
        <v>86219.63999999998</v>
      </c>
      <c r="L58" s="59" t="s">
        <v>55</v>
      </c>
    </row>
    <row r="59" spans="1:12" ht="15">
      <c r="A59" s="7" t="s">
        <v>44</v>
      </c>
      <c r="B59" s="3"/>
      <c r="C59" s="4"/>
      <c r="D59" s="5"/>
      <c r="E59" s="4"/>
      <c r="F59" s="22"/>
      <c r="G59" s="12"/>
      <c r="H59" s="8"/>
      <c r="I59" s="8"/>
      <c r="J59" s="8"/>
      <c r="K59" s="34">
        <f>'[1]Travel'!F20</f>
        <v>96489.59999999999</v>
      </c>
      <c r="L59" s="59" t="s">
        <v>55</v>
      </c>
    </row>
    <row r="60" spans="1:11" ht="15">
      <c r="A60" s="7"/>
      <c r="B60" s="3"/>
      <c r="C60" s="4"/>
      <c r="D60" s="5"/>
      <c r="E60" s="4"/>
      <c r="F60" s="22"/>
      <c r="G60" s="12"/>
      <c r="H60" s="8"/>
      <c r="I60" s="8"/>
      <c r="J60" s="8"/>
      <c r="K60" s="14"/>
    </row>
    <row r="61" spans="1:12" ht="15.75">
      <c r="A61" s="24" t="s">
        <v>45</v>
      </c>
      <c r="B61" s="2"/>
      <c r="C61" s="25"/>
      <c r="D61" s="26"/>
      <c r="E61" s="25"/>
      <c r="F61" s="27"/>
      <c r="G61" s="28"/>
      <c r="H61" s="2"/>
      <c r="I61" s="2"/>
      <c r="J61" s="2"/>
      <c r="K61" s="35">
        <v>127096.3</v>
      </c>
      <c r="L61" s="59" t="s">
        <v>55</v>
      </c>
    </row>
    <row r="62" spans="1:11" ht="15.75">
      <c r="A62" s="36"/>
      <c r="B62" s="16"/>
      <c r="C62" s="37"/>
      <c r="D62" s="38"/>
      <c r="E62" s="37"/>
      <c r="F62" s="39"/>
      <c r="G62" s="40"/>
      <c r="H62" s="16"/>
      <c r="I62" s="16"/>
      <c r="J62" s="16"/>
      <c r="K62" s="41"/>
    </row>
    <row r="63" spans="1:12" ht="15.75">
      <c r="A63" s="21" t="s">
        <v>46</v>
      </c>
      <c r="B63" s="3"/>
      <c r="C63" s="4"/>
      <c r="D63" s="5"/>
      <c r="E63" s="4"/>
      <c r="F63" s="22"/>
      <c r="G63" s="12"/>
      <c r="H63" s="8"/>
      <c r="I63" s="8"/>
      <c r="J63" s="8"/>
      <c r="K63" s="34">
        <f>9555.7*1.1*1.15</f>
        <v>12087.960500000001</v>
      </c>
      <c r="L63" s="59" t="s">
        <v>55</v>
      </c>
    </row>
    <row r="64" spans="1:11" ht="15">
      <c r="A64" s="7"/>
      <c r="B64" s="3"/>
      <c r="C64" s="4"/>
      <c r="D64" s="5"/>
      <c r="E64" s="4"/>
      <c r="F64" s="22"/>
      <c r="G64" s="12"/>
      <c r="H64" s="8"/>
      <c r="I64" s="8"/>
      <c r="J64" s="8"/>
      <c r="K64" s="14"/>
    </row>
    <row r="65" spans="1:12" s="50" customFormat="1" ht="15.75">
      <c r="A65" s="42" t="s">
        <v>3</v>
      </c>
      <c r="B65" s="43"/>
      <c r="C65" s="44"/>
      <c r="D65" s="45"/>
      <c r="E65" s="44"/>
      <c r="F65" s="46"/>
      <c r="G65" s="47"/>
      <c r="H65" s="48"/>
      <c r="I65" s="48"/>
      <c r="J65" s="48"/>
      <c r="K65" s="49">
        <f>SUM(K23:K64)</f>
        <v>7181667.004954858</v>
      </c>
      <c r="L65" s="60"/>
    </row>
  </sheetData>
  <mergeCells count="4">
    <mergeCell ref="A17:K17"/>
    <mergeCell ref="F19:G19"/>
    <mergeCell ref="H19:J19"/>
    <mergeCell ref="B20:C20"/>
  </mergeCells>
  <printOptions/>
  <pageMargins left="0.75" right="0.75" top="1" bottom="1" header="0.5" footer="0.5"/>
  <pageSetup fitToHeight="1" fitToWidth="1" horizontalDpi="1200" verticalDpi="1200" orientation="landscape" paperSize="174" scale="71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Rohwedder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engineering</cp:lastModifiedBy>
  <cp:lastPrinted>2004-08-17T19:39:02Z</cp:lastPrinted>
  <dcterms:created xsi:type="dcterms:W3CDTF">2004-08-03T16:26:18Z</dcterms:created>
  <dcterms:modified xsi:type="dcterms:W3CDTF">2004-08-17T20:26:56Z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833928273</vt:i4>
  </property>
  <property fmtid="{D5CDD505-2E9C-101B-9397-08002B2CF9AE}" pid="3" name="_EmailSubject">
    <vt:lpwstr>VVSA cost comparison</vt:lpwstr>
  </property>
  <property fmtid="{D5CDD505-2E9C-101B-9397-08002B2CF9AE}" pid="4" name="_AuthorEmail">
    <vt:lpwstr>mviola@pppl.gov</vt:lpwstr>
  </property>
  <property fmtid="{D5CDD505-2E9C-101B-9397-08002B2CF9AE}" pid="5" name="_AuthorEmailDisplayName">
    <vt:lpwstr>Michael E. Viola</vt:lpwstr>
  </property>
  <property fmtid="{D5CDD505-2E9C-101B-9397-08002B2CF9AE}" pid="6" name="_NewReviewCycle">
    <vt:lpwstr/>
  </property>
  <property fmtid="{D5CDD505-2E9C-101B-9397-08002B2CF9AE}" pid="7" name="_PreviousAdHocReviewCycleID">
    <vt:i4>1514545559</vt:i4>
  </property>
  <property fmtid="{D5CDD505-2E9C-101B-9397-08002B2CF9AE}" pid="8" name="_ReviewingToolsShownOnce">
    <vt:lpwstr/>
  </property>
</Properties>
</file>