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004" windowWidth="12996" windowHeight="5292" activeTab="0"/>
  </bookViews>
  <sheets>
    <sheet name="frame analysis" sheetId="1" r:id="rId1"/>
    <sheet name="SISSCO shackle analysis" sheetId="2" r:id="rId2"/>
  </sheets>
  <definedNames>
    <definedName name="a193_yield">'frame analysis'!$T$5</definedName>
    <definedName name="a307_yield">'frame analysis'!$T$6</definedName>
    <definedName name="Bolt_area">'frame analysis'!$V$2</definedName>
    <definedName name="E_bolt">'frame analysis'!$T$3</definedName>
    <definedName name="E_joint">'frame analysis'!$T$14</definedName>
    <definedName name="Fb">'frame analysis'!$L$40</definedName>
    <definedName name="Grade8_yield">'frame analysis'!$T$8</definedName>
    <definedName name="kk">'frame analysis'!$L$39</definedName>
  </definedNames>
  <calcPr fullCalcOnLoad="1"/>
</workbook>
</file>

<file path=xl/sharedStrings.xml><?xml version="1.0" encoding="utf-8"?>
<sst xmlns="http://schemas.openxmlformats.org/spreadsheetml/2006/main" count="248" uniqueCount="158">
  <si>
    <t>sum</t>
  </si>
  <si>
    <t>sum check</t>
  </si>
  <si>
    <t>Fx</t>
  </si>
  <si>
    <t>Fy</t>
  </si>
  <si>
    <t>Fz</t>
  </si>
  <si>
    <t>Fxz</t>
  </si>
  <si>
    <t>Fxz/Fy</t>
  </si>
  <si>
    <t>Station 3 Fixture Reaction Loads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</si>
  <si>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</si>
  <si>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</si>
  <si>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</si>
  <si>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</si>
  <si>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</si>
  <si>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</si>
  <si>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</si>
  <si>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</si>
  <si>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</si>
  <si>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</si>
  <si>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</si>
  <si>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</si>
  <si>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</si>
  <si>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</si>
  <si>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</si>
  <si>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</si>
  <si>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Support</t>
  </si>
  <si>
    <t>Bolt</t>
  </si>
  <si>
    <t>Assumptions</t>
  </si>
  <si>
    <t>Joint Load</t>
  </si>
  <si>
    <t>Joint Stiffness Ratio (kk): Kb/(Kb+Km)</t>
  </si>
  <si>
    <t>Bolt area=</t>
  </si>
  <si>
    <t>Fy (tension)</t>
  </si>
  <si>
    <t xml:space="preserve"> </t>
  </si>
  <si>
    <t>Max principle</t>
  </si>
  <si>
    <t>tension stress</t>
  </si>
  <si>
    <t>comp stress</t>
  </si>
  <si>
    <t>Max shear</t>
  </si>
  <si>
    <t>stress</t>
  </si>
  <si>
    <r>
      <t>s</t>
    </r>
    <r>
      <rPr>
        <sz val="12"/>
        <rFont val="Times New Roman"/>
        <family val="1"/>
      </rPr>
      <t>_y</t>
    </r>
  </si>
  <si>
    <r>
      <t>t</t>
    </r>
    <r>
      <rPr>
        <sz val="12"/>
        <rFont val="Times New Roman"/>
        <family val="1"/>
      </rPr>
      <t>_xz</t>
    </r>
  </si>
  <si>
    <t xml:space="preserve">Bolt </t>
  </si>
  <si>
    <t>Factor of</t>
  </si>
  <si>
    <t>Safety</t>
  </si>
  <si>
    <t xml:space="preserve">ASTM A193 Grade B5 Bolt </t>
  </si>
  <si>
    <t>ASTM</t>
  </si>
  <si>
    <t>A193</t>
  </si>
  <si>
    <t>A307</t>
  </si>
  <si>
    <t xml:space="preserve">ASTM A307  Bolt </t>
  </si>
  <si>
    <t xml:space="preserve">Required </t>
  </si>
  <si>
    <t xml:space="preserve">Friction </t>
  </si>
  <si>
    <t>Coefficient</t>
  </si>
  <si>
    <t xml:space="preserve">Bolt Load </t>
  </si>
  <si>
    <t>(Preload+</t>
  </si>
  <si>
    <t>Applied)</t>
  </si>
  <si>
    <t xml:space="preserve">Bolt stiffness: Kb = </t>
  </si>
  <si>
    <t>E bolt</t>
  </si>
  <si>
    <t xml:space="preserve">Joint stiffness: Kj = </t>
  </si>
  <si>
    <t>assumed joint area</t>
  </si>
  <si>
    <t xml:space="preserve"> = dia bolt</t>
  </si>
  <si>
    <t>E joint</t>
  </si>
  <si>
    <t>Joint length</t>
  </si>
  <si>
    <t>Joint stiffness ratio</t>
  </si>
  <si>
    <t>Kj / (Kb+Kj)</t>
  </si>
  <si>
    <t>Kb / (Kb+Kj)</t>
  </si>
  <si>
    <t>1 - 8 bolt</t>
  </si>
  <si>
    <t xml:space="preserve"> bolt mean diameter (dm)</t>
  </si>
  <si>
    <t>P = pi x dm x Fs x L / 3</t>
  </si>
  <si>
    <t xml:space="preserve">  Length of thread engagement (L)</t>
  </si>
  <si>
    <t>Assuming zero preload and residual bolt torque…</t>
  </si>
  <si>
    <t xml:space="preserve"> Stellalloy</t>
  </si>
  <si>
    <t>Factor of Safety =</t>
  </si>
  <si>
    <t>Where:</t>
  </si>
  <si>
    <t>Bolt Preload and Torque Calculations:</t>
  </si>
  <si>
    <t>Assumed unlubed Coef of friction =</t>
  </si>
  <si>
    <t>Assumed lubed Coef of friction =</t>
  </si>
  <si>
    <t>where U = the coefficient of friction</t>
  </si>
  <si>
    <t xml:space="preserve">          D = basic bolt diameter</t>
  </si>
  <si>
    <t xml:space="preserve">          P = needed preload</t>
  </si>
  <si>
    <t xml:space="preserve">          K = constant that equals 1.33</t>
  </si>
  <si>
    <t xml:space="preserve">Torque at max preload, unlubed = </t>
  </si>
  <si>
    <t>Bolt Max Preload (lbs)</t>
  </si>
  <si>
    <t xml:space="preserve">Torque at max preload, lubed = </t>
  </si>
  <si>
    <t xml:space="preserve">were: F = axial load, d = bolt dameter, K = torque coefficient </t>
  </si>
  <si>
    <t>Torque =KFd</t>
  </si>
  <si>
    <t>ft-lbs</t>
  </si>
  <si>
    <t>T = K x U x D x P / 12 (ft-lbs)</t>
  </si>
  <si>
    <t xml:space="preserve">         K = .189 for .15 friction coefficient between threads and between bolt head and clamping surface</t>
  </si>
  <si>
    <t>Bolt diameter</t>
  </si>
  <si>
    <t>Assume thread mean diameter</t>
  </si>
  <si>
    <t xml:space="preserve"> assumes 1.25 plate +11/16 flat washer +.25 locking washer+.4 x root diameter</t>
  </si>
  <si>
    <t>Bolt length into tapped hole of casting (in)</t>
  </si>
  <si>
    <t xml:space="preserve">             and an ID equal to bolt dia</t>
  </si>
  <si>
    <t xml:space="preserve">             Kj=Aj x Ej / Lj</t>
  </si>
  <si>
    <t xml:space="preserve">  where: Kb=Ab x Eb / Lb</t>
  </si>
  <si>
    <t>note: thread mean diameter was assumed for "d"</t>
  </si>
  <si>
    <t>Bolt Preload (lb):  Fb</t>
  </si>
  <si>
    <t xml:space="preserve">Bolt max principle tensile stress  </t>
  </si>
  <si>
    <t xml:space="preserve">Bolt max principle compressive stress  </t>
  </si>
  <si>
    <t xml:space="preserve">Bolt max shear stress  </t>
  </si>
  <si>
    <t>Bolted joint data</t>
  </si>
  <si>
    <t xml:space="preserve"> Stellalloy .2 %yield stress @ RT (Fs)</t>
  </si>
  <si>
    <t>lbs @ matrl .2% yield value</t>
  </si>
  <si>
    <r>
      <t xml:space="preserve">Pullout load in Stellalloy casting:   </t>
    </r>
    <r>
      <rPr>
        <sz val="10"/>
        <rFont val="Arial"/>
        <family val="2"/>
      </rPr>
      <t>P =</t>
    </r>
    <r>
      <rPr>
        <b/>
        <sz val="10"/>
        <rFont val="Arial"/>
        <family val="2"/>
      </rPr>
      <t xml:space="preserve"> </t>
    </r>
  </si>
  <si>
    <t xml:space="preserve"> area of annulus with OD of 2.5 x bolt dia </t>
  </si>
  <si>
    <t xml:space="preserve">          Alternate values</t>
  </si>
  <si>
    <t>Ftu</t>
  </si>
  <si>
    <t>Bolt diameter at shear interface</t>
  </si>
  <si>
    <t xml:space="preserve">Sm = </t>
  </si>
  <si>
    <t xml:space="preserve">Single shear allowable load = </t>
  </si>
  <si>
    <t xml:space="preserve"> lbs</t>
  </si>
  <si>
    <t>Shear area</t>
  </si>
  <si>
    <t xml:space="preserve">Double shear allowable load = </t>
  </si>
  <si>
    <t xml:space="preserve">Max applied load  per strut = </t>
  </si>
  <si>
    <t xml:space="preserve"> psi   (1/3 Ftu)</t>
  </si>
  <si>
    <t>Allowable shear stress =</t>
  </si>
  <si>
    <t xml:space="preserve">FS against allowable shear stress = </t>
  </si>
  <si>
    <t xml:space="preserve">ASTM A453 Grade 660B Bolt </t>
  </si>
  <si>
    <t>Shear ultimate stress (.6 Fsu) =</t>
  </si>
  <si>
    <t xml:space="preserve">FS against ultimate shear stress = </t>
  </si>
  <si>
    <t xml:space="preserve">   Sm = 2/3 yield or 1/3 ult  </t>
  </si>
  <si>
    <t>thk =</t>
  </si>
  <si>
    <t xml:space="preserve">Lug geometry (width x thk) </t>
  </si>
  <si>
    <t>w =</t>
  </si>
  <si>
    <t>hole diameter =</t>
  </si>
  <si>
    <t>single lug net area =</t>
  </si>
  <si>
    <t xml:space="preserve"> sq in </t>
  </si>
  <si>
    <t>lbs</t>
  </si>
  <si>
    <t>double sided lug design load =</t>
  </si>
  <si>
    <t xml:space="preserve">FS against Sm allowable = </t>
  </si>
  <si>
    <t xml:space="preserve">FS against Ftu = </t>
  </si>
  <si>
    <t xml:space="preserve">UNS 566 Bolt </t>
  </si>
  <si>
    <t>lug design load =</t>
  </si>
  <si>
    <t>single side lug</t>
  </si>
  <si>
    <t>double side lug</t>
  </si>
  <si>
    <t>(1/2 shear ult stress)</t>
  </si>
  <si>
    <t xml:space="preserve">FS against Fy = </t>
  </si>
  <si>
    <t xml:space="preserve"> ASTM A453 Grade 660B</t>
  </si>
  <si>
    <t xml:space="preserve">Fitting reworked to accept poloidal break bolt </t>
  </si>
  <si>
    <t xml:space="preserve">   Fitting material:    A36 steel</t>
  </si>
  <si>
    <t>Calculations shown above (2).</t>
  </si>
  <si>
    <t xml:space="preserve">CALCULATIONS OF LIFTING SHACKLE LINK </t>
  </si>
  <si>
    <t>STATION 3 LIFT FRAME FIXTURE</t>
  </si>
  <si>
    <t>Defined for left side assebly at Step 247</t>
  </si>
  <si>
    <t>Poloidal break bolt with re-cut fitting</t>
  </si>
  <si>
    <t xml:space="preserve">   (poloidal break bolt matrl)</t>
  </si>
  <si>
    <t xml:space="preserve">         K = .133 for .10 friction coefficient between threads and between bolt head and clamping surface</t>
  </si>
  <si>
    <t>for 29,534 prelaod</t>
  </si>
  <si>
    <t xml:space="preserve"> lbs,  (based on Sm = 1/3 Ftu)</t>
  </si>
  <si>
    <t>Grade 8</t>
  </si>
  <si>
    <t xml:space="preserve"> ASTM A193 Grade B5 Bolt - Allowable tension load</t>
  </si>
  <si>
    <t>SAE J429</t>
  </si>
  <si>
    <t xml:space="preserve">SAE J429 Grade 8 Bolt </t>
  </si>
  <si>
    <t>SAE J429 Grade B8 Bolt - Allowable tension load</t>
  </si>
  <si>
    <t>for 22,000 prelaod</t>
  </si>
  <si>
    <t xml:space="preserve">   Alternate Torque Formula (NASA Reference Publication 1228, 1990)</t>
  </si>
  <si>
    <t xml:space="preserve"> = 2/3 bolt yield stress x thread area for A193 bolt</t>
  </si>
  <si>
    <t xml:space="preserve"> lbs,  (based on Sm = 1/2 Fy)</t>
  </si>
  <si>
    <t xml:space="preserve"> lbs,  (based on Sm = 2/3 Fy)</t>
  </si>
  <si>
    <t>Minor diam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</si>
</sst>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.000"/>
    <numFmt numFmtId="170" formatCode="0.000E+00"/>
    <numFmt numFmtId="171" formatCode="0.0000"/>
  </numFmts>
  <fonts count="10">
    <font>
      <sz val="10"/>
      <name val="Arial"/>
      <family val="0"/>
    </font>
    <font>
      <sz val="12"/>
      <color indexed="8"/>
      <name val="Times New Roman"/>
      <family val="0"/>
    </font>
    <font>
      <sz val="12"/>
      <name val="Symbol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7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8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2" fontId="0" fillId="2" borderId="4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1" fontId="0" fillId="0" borderId="0" xfId="0" applyNumberFormat="1" applyAlignment="1">
      <alignment horizontal="center"/>
    </xf>
    <xf numFmtId="2" fontId="0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164" fontId="0" fillId="0" borderId="7" xfId="0" applyNumberForma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1" fontId="0" fillId="0" borderId="4" xfId="0" applyNumberFormat="1" applyBorder="1" applyAlignment="1">
      <alignment/>
    </xf>
    <xf numFmtId="168" fontId="0" fillId="0" borderId="4" xfId="0" applyNumberForma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168" fontId="0" fillId="0" borderId="2" xfId="0" applyNumberForma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168" fontId="0" fillId="3" borderId="2" xfId="0" applyNumberFormat="1" applyFill="1" applyBorder="1" applyAlignment="1">
      <alignment horizontal="right"/>
    </xf>
    <xf numFmtId="168" fontId="0" fillId="3" borderId="3" xfId="0" applyNumberFormat="1" applyFill="1" applyBorder="1" applyAlignment="1">
      <alignment horizontal="right"/>
    </xf>
    <xf numFmtId="168" fontId="0" fillId="3" borderId="5" xfId="0" applyNumberForma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/>
    </xf>
    <xf numFmtId="2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/>
    </xf>
    <xf numFmtId="1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43</xdr:row>
      <xdr:rowOff>57150</xdr:rowOff>
    </xdr:from>
    <xdr:to>
      <xdr:col>6</xdr:col>
      <xdr:colOff>180975</xdr:colOff>
      <xdr:row>62</xdr:row>
      <xdr:rowOff>38100</xdr:rowOff>
    </xdr:to>
    <xdr:grpSp>
      <xdr:nvGrpSpPr>
        <xdr:cNvPr id="1" name="Group 38"/>
        <xdr:cNvGrpSpPr>
          <a:grpSpLocks/>
        </xdr:cNvGrpSpPr>
      </xdr:nvGrpSpPr>
      <xdr:grpSpPr>
        <a:xfrm>
          <a:off x="180975" y="7067550"/>
          <a:ext cx="3343275" cy="3057525"/>
          <a:chOff x="576" y="306"/>
          <a:chExt cx="2400" cy="2223"/>
        </a:xfrm>
        <a:solidFill>
          <a:srgbClr val="FFFFFF"/>
        </a:solidFill>
      </xdr:grpSpPr>
      <xdr:pic>
        <xdr:nvPicPr>
          <xdr:cNvPr id="2" name="Picture 39"/>
          <xdr:cNvPicPr preferRelativeResize="1">
            <a:picLocks noChangeAspect="1"/>
          </xdr:cNvPicPr>
        </xdr:nvPicPr>
        <xdr:blipFill>
          <a:blip r:embed="rId1"/>
          <a:srcRect l="19009" t="7920" r="24937" b="28039"/>
          <a:stretch>
            <a:fillRect/>
          </a:stretch>
        </xdr:blipFill>
        <xdr:spPr>
          <a:xfrm>
            <a:off x="576" y="336"/>
            <a:ext cx="2400" cy="219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9</xdr:col>
      <xdr:colOff>657225</xdr:colOff>
      <xdr:row>49</xdr:row>
      <xdr:rowOff>38100</xdr:rowOff>
    </xdr:from>
    <xdr:to>
      <xdr:col>12</xdr:col>
      <xdr:colOff>152400</xdr:colOff>
      <xdr:row>59</xdr:row>
      <xdr:rowOff>38100</xdr:rowOff>
    </xdr:to>
    <xdr:pic>
      <xdr:nvPicPr>
        <xdr:cNvPr id="19" name="Picture 56"/>
        <xdr:cNvPicPr preferRelativeResize="1">
          <a:picLocks noChangeAspect="1"/>
        </xdr:cNvPicPr>
      </xdr:nvPicPr>
      <xdr:blipFill>
        <a:blip r:embed="rId2"/>
        <a:srcRect l="8836" t="15437" r="36668" b="12524"/>
        <a:stretch>
          <a:fillRect/>
        </a:stretch>
      </xdr:blipFill>
      <xdr:spPr>
        <a:xfrm>
          <a:off x="5448300" y="8020050"/>
          <a:ext cx="16002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43</xdr:row>
      <xdr:rowOff>57150</xdr:rowOff>
    </xdr:from>
    <xdr:to>
      <xdr:col>10</xdr:col>
      <xdr:colOff>28575</xdr:colOff>
      <xdr:row>54</xdr:row>
      <xdr:rowOff>0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3"/>
        <a:srcRect l="11045" t="12007" r="31512" b="13381"/>
        <a:stretch>
          <a:fillRect/>
        </a:stretch>
      </xdr:blipFill>
      <xdr:spPr>
        <a:xfrm>
          <a:off x="3810000" y="70675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48</xdr:row>
      <xdr:rowOff>47625</xdr:rowOff>
    </xdr:from>
    <xdr:to>
      <xdr:col>10</xdr:col>
      <xdr:colOff>638175</xdr:colOff>
      <xdr:row>49</xdr:row>
      <xdr:rowOff>114300</xdr:rowOff>
    </xdr:to>
    <xdr:sp>
      <xdr:nvSpPr>
        <xdr:cNvPr id="21" name="AutoShape 59"/>
        <xdr:cNvSpPr>
          <a:spLocks/>
        </xdr:cNvSpPr>
      </xdr:nvSpPr>
      <xdr:spPr>
        <a:xfrm>
          <a:off x="5838825" y="7867650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48</xdr:row>
      <xdr:rowOff>57150</xdr:rowOff>
    </xdr:from>
    <xdr:to>
      <xdr:col>10</xdr:col>
      <xdr:colOff>381000</xdr:colOff>
      <xdr:row>51</xdr:row>
      <xdr:rowOff>123825</xdr:rowOff>
    </xdr:to>
    <xdr:sp>
      <xdr:nvSpPr>
        <xdr:cNvPr id="22" name="AutoShape 60"/>
        <xdr:cNvSpPr>
          <a:spLocks/>
        </xdr:cNvSpPr>
      </xdr:nvSpPr>
      <xdr:spPr>
        <a:xfrm>
          <a:off x="5857875" y="7877175"/>
          <a:ext cx="190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48</xdr:row>
      <xdr:rowOff>47625</xdr:rowOff>
    </xdr:from>
    <xdr:to>
      <xdr:col>11</xdr:col>
      <xdr:colOff>485775</xdr:colOff>
      <xdr:row>50</xdr:row>
      <xdr:rowOff>19050</xdr:rowOff>
    </xdr:to>
    <xdr:sp>
      <xdr:nvSpPr>
        <xdr:cNvPr id="23" name="AutoShape 62"/>
        <xdr:cNvSpPr>
          <a:spLocks/>
        </xdr:cNvSpPr>
      </xdr:nvSpPr>
      <xdr:spPr>
        <a:xfrm flipH="1">
          <a:off x="6629400" y="7867650"/>
          <a:ext cx="76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628650</xdr:colOff>
      <xdr:row>48</xdr:row>
      <xdr:rowOff>38100</xdr:rowOff>
    </xdr:from>
    <xdr:to>
      <xdr:col>11</xdr:col>
      <xdr:colOff>495300</xdr:colOff>
      <xdr:row>53</xdr:row>
      <xdr:rowOff>19050</xdr:rowOff>
    </xdr:to>
    <xdr:sp>
      <xdr:nvSpPr>
        <xdr:cNvPr id="24" name="AutoShape 63"/>
        <xdr:cNvSpPr>
          <a:spLocks/>
        </xdr:cNvSpPr>
      </xdr:nvSpPr>
      <xdr:spPr>
        <a:xfrm flipH="1">
          <a:off x="6124575" y="7858125"/>
          <a:ext cx="5905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42</xdr:row>
      <xdr:rowOff>85725</xdr:rowOff>
    </xdr:from>
    <xdr:to>
      <xdr:col>21</xdr:col>
      <xdr:colOff>276225</xdr:colOff>
      <xdr:row>44</xdr:row>
      <xdr:rowOff>133350</xdr:rowOff>
    </xdr:to>
    <xdr:pic>
      <xdr:nvPicPr>
        <xdr:cNvPr id="25" name="Picture 6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01425" y="6934200"/>
          <a:ext cx="1619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76200</xdr:colOff>
      <xdr:row>45</xdr:row>
      <xdr:rowOff>85725</xdr:rowOff>
    </xdr:from>
    <xdr:to>
      <xdr:col>21</xdr:col>
      <xdr:colOff>219075</xdr:colOff>
      <xdr:row>47</xdr:row>
      <xdr:rowOff>133350</xdr:rowOff>
    </xdr:to>
    <xdr:pic>
      <xdr:nvPicPr>
        <xdr:cNvPr id="26" name="Picture 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91900" y="7419975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48</xdr:row>
      <xdr:rowOff>85725</xdr:rowOff>
    </xdr:from>
    <xdr:to>
      <xdr:col>20</xdr:col>
      <xdr:colOff>409575</xdr:colOff>
      <xdr:row>50</xdr:row>
      <xdr:rowOff>114300</xdr:rowOff>
    </xdr:to>
    <xdr:pic>
      <xdr:nvPicPr>
        <xdr:cNvPr id="27" name="Picture 6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63325" y="7905750"/>
          <a:ext cx="1171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19050</xdr:colOff>
      <xdr:row>50</xdr:row>
      <xdr:rowOff>123825</xdr:rowOff>
    </xdr:from>
    <xdr:ext cx="1704975" cy="257175"/>
    <xdr:sp>
      <xdr:nvSpPr>
        <xdr:cNvPr id="28" name="AutoShape 67"/>
        <xdr:cNvSpPr>
          <a:spLocks/>
        </xdr:cNvSpPr>
      </xdr:nvSpPr>
      <xdr:spPr>
        <a:xfrm>
          <a:off x="10515600" y="8267700"/>
          <a:ext cx="1704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 / (sx^2 + 3 txy^2 ) ^1/2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7</xdr:row>
      <xdr:rowOff>85725</xdr:rowOff>
    </xdr:from>
    <xdr:to>
      <xdr:col>11</xdr:col>
      <xdr:colOff>457200</xdr:colOff>
      <xdr:row>27</xdr:row>
      <xdr:rowOff>47625</xdr:rowOff>
    </xdr:to>
    <xdr:grpSp>
      <xdr:nvGrpSpPr>
        <xdr:cNvPr id="1" name="Group 19"/>
        <xdr:cNvGrpSpPr>
          <a:grpSpLocks/>
        </xdr:cNvGrpSpPr>
      </xdr:nvGrpSpPr>
      <xdr:grpSpPr>
        <a:xfrm>
          <a:off x="6534150" y="1219200"/>
          <a:ext cx="1590675" cy="3200400"/>
          <a:chOff x="863" y="161"/>
          <a:chExt cx="209" cy="435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863" y="194"/>
            <a:ext cx="145" cy="402"/>
            <a:chOff x="528" y="816"/>
            <a:chExt cx="1104" cy="2919"/>
          </a:xfrm>
          <a:solidFill>
            <a:srgbClr val="FFFFFF"/>
          </a:solidFill>
        </xdr:grpSpPr>
        <xdr:pic>
          <xdr:nvPicPr>
            <xdr:cNvPr id="3" name="Picture 2"/>
            <xdr:cNvPicPr preferRelativeResize="1">
              <a:picLocks noChangeAspect="1"/>
            </xdr:cNvPicPr>
          </xdr:nvPicPr>
          <xdr:blipFill>
            <a:blip r:embed="rId1"/>
            <a:srcRect l="19561" t="18009" r="58204" b="13542"/>
            <a:stretch>
              <a:fillRect/>
            </a:stretch>
          </xdr:blipFill>
          <xdr:spPr>
            <a:xfrm>
              <a:off x="528" y="816"/>
              <a:ext cx="1104" cy="2919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AutoShape 3"/>
            <xdr:cNvSpPr>
              <a:spLocks/>
            </xdr:cNvSpPr>
          </xdr:nvSpPr>
          <xdr:spPr>
            <a:xfrm>
              <a:off x="720" y="1302"/>
              <a:ext cx="8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lgDashDot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" name="Line 5"/>
          <xdr:cNvSpPr>
            <a:spLocks/>
          </xdr:cNvSpPr>
        </xdr:nvSpPr>
        <xdr:spPr>
          <a:xfrm flipV="1">
            <a:off x="902" y="161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902" y="173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978" y="173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9"/>
          <xdr:cNvSpPr txBox="1">
            <a:spLocks noChangeArrowheads="1"/>
          </xdr:cNvSpPr>
        </xdr:nvSpPr>
        <xdr:spPr>
          <a:xfrm>
            <a:off x="1013" y="162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6.5"</a:t>
            </a:r>
          </a:p>
        </xdr:txBody>
      </xdr:sp>
      <xdr:sp>
        <xdr:nvSpPr>
          <xdr:cNvPr id="9" name="Line 6"/>
          <xdr:cNvSpPr>
            <a:spLocks/>
          </xdr:cNvSpPr>
        </xdr:nvSpPr>
        <xdr:spPr>
          <a:xfrm flipV="1">
            <a:off x="976" y="163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314325</xdr:colOff>
      <xdr:row>28</xdr:row>
      <xdr:rowOff>76200</xdr:rowOff>
    </xdr:from>
    <xdr:to>
      <xdr:col>11</xdr:col>
      <xdr:colOff>66675</xdr:colOff>
      <xdr:row>50</xdr:row>
      <xdr:rowOff>66675</xdr:rowOff>
    </xdr:to>
    <xdr:grpSp>
      <xdr:nvGrpSpPr>
        <xdr:cNvPr id="10" name="Group 21"/>
        <xdr:cNvGrpSpPr>
          <a:grpSpLocks/>
        </xdr:cNvGrpSpPr>
      </xdr:nvGrpSpPr>
      <xdr:grpSpPr>
        <a:xfrm>
          <a:off x="6153150" y="4610100"/>
          <a:ext cx="1581150" cy="3552825"/>
          <a:chOff x="756" y="628"/>
          <a:chExt cx="208" cy="483"/>
        </a:xfrm>
        <a:solidFill>
          <a:srgbClr val="FFFFFF"/>
        </a:solidFill>
      </xdr:grpSpPr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2"/>
          <a:srcRect l="22093" t="12864" r="57287" b="13381"/>
          <a:stretch>
            <a:fillRect/>
          </a:stretch>
        </xdr:blipFill>
        <xdr:spPr>
          <a:xfrm>
            <a:off x="756" y="658"/>
            <a:ext cx="148" cy="45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4"/>
          <xdr:cNvSpPr>
            <a:spLocks/>
          </xdr:cNvSpPr>
        </xdr:nvSpPr>
        <xdr:spPr>
          <a:xfrm flipV="1">
            <a:off x="804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805" y="63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6"/>
          <xdr:cNvSpPr>
            <a:spLocks/>
          </xdr:cNvSpPr>
        </xdr:nvSpPr>
        <xdr:spPr>
          <a:xfrm>
            <a:off x="870" y="639"/>
            <a:ext cx="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7"/>
          <xdr:cNvSpPr txBox="1">
            <a:spLocks noChangeArrowheads="1"/>
          </xdr:cNvSpPr>
        </xdr:nvSpPr>
        <xdr:spPr>
          <a:xfrm>
            <a:off x="905" y="628"/>
            <a:ext cx="59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4.5"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 flipV="1">
            <a:off x="863" y="629"/>
            <a:ext cx="0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791" y="734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190500</xdr:colOff>
      <xdr:row>33</xdr:row>
      <xdr:rowOff>123825</xdr:rowOff>
    </xdr:from>
    <xdr:to>
      <xdr:col>11</xdr:col>
      <xdr:colOff>514350</xdr:colOff>
      <xdr:row>34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7248525" y="5467350"/>
          <a:ext cx="933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double side lug</a:t>
          </a:r>
        </a:p>
      </xdr:txBody>
    </xdr:sp>
    <xdr:clientData/>
  </xdr:twoCellAnchor>
  <xdr:twoCellAnchor>
    <xdr:from>
      <xdr:col>10</xdr:col>
      <xdr:colOff>209550</xdr:colOff>
      <xdr:row>36</xdr:row>
      <xdr:rowOff>114300</xdr:rowOff>
    </xdr:from>
    <xdr:to>
      <xdr:col>11</xdr:col>
      <xdr:colOff>542925</xdr:colOff>
      <xdr:row>37</xdr:row>
      <xdr:rowOff>123825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7267575" y="5943600"/>
          <a:ext cx="942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single side lug</a:t>
          </a:r>
        </a:p>
      </xdr:txBody>
    </xdr:sp>
    <xdr:clientData/>
  </xdr:twoCellAnchor>
  <xdr:twoCellAnchor>
    <xdr:from>
      <xdr:col>9</xdr:col>
      <xdr:colOff>323850</xdr:colOff>
      <xdr:row>37</xdr:row>
      <xdr:rowOff>57150</xdr:rowOff>
    </xdr:from>
    <xdr:to>
      <xdr:col>10</xdr:col>
      <xdr:colOff>200025</xdr:colOff>
      <xdr:row>38</xdr:row>
      <xdr:rowOff>28575</xdr:rowOff>
    </xdr:to>
    <xdr:sp>
      <xdr:nvSpPr>
        <xdr:cNvPr id="20" name="Line 24"/>
        <xdr:cNvSpPr>
          <a:spLocks/>
        </xdr:cNvSpPr>
      </xdr:nvSpPr>
      <xdr:spPr>
        <a:xfrm flipH="1">
          <a:off x="6772275" y="6048375"/>
          <a:ext cx="4857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33</xdr:row>
      <xdr:rowOff>104775</xdr:rowOff>
    </xdr:from>
    <xdr:to>
      <xdr:col>10</xdr:col>
      <xdr:colOff>133350</xdr:colOff>
      <xdr:row>34</xdr:row>
      <xdr:rowOff>47625</xdr:rowOff>
    </xdr:to>
    <xdr:sp>
      <xdr:nvSpPr>
        <xdr:cNvPr id="21" name="Line 25"/>
        <xdr:cNvSpPr>
          <a:spLocks/>
        </xdr:cNvSpPr>
      </xdr:nvSpPr>
      <xdr:spPr>
        <a:xfrm flipH="1" flipV="1">
          <a:off x="6934200" y="5448300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75" zoomScaleNormal="75" workbookViewId="0" topLeftCell="G1">
      <selection activeCell="W76" sqref="W76"/>
    </sheetView>
  </sheetViews>
  <sheetFormatPr defaultColWidth="9.140625" defaultRowHeight="12.75"/>
  <cols>
    <col min="1" max="1" width="2.7109375" style="0" customWidth="1"/>
    <col min="2" max="2" width="12.421875" style="0" customWidth="1"/>
    <col min="3" max="3" width="11.421875" style="0" customWidth="1"/>
    <col min="4" max="4" width="11.7109375" style="0" customWidth="1"/>
    <col min="5" max="5" width="10.140625" style="0" customWidth="1"/>
    <col min="6" max="6" width="1.7109375" style="0" customWidth="1"/>
    <col min="7" max="7" width="10.140625" style="0" bestFit="1" customWidth="1"/>
    <col min="9" max="9" width="2.421875" style="0" customWidth="1"/>
    <col min="10" max="10" width="10.57421875" style="0" customWidth="1"/>
    <col min="11" max="11" width="10.8515625" style="0" customWidth="1"/>
    <col min="12" max="12" width="10.140625" style="0" customWidth="1"/>
    <col min="13" max="14" width="6.8515625" style="0" customWidth="1"/>
    <col min="15" max="15" width="6.7109375" style="0" customWidth="1"/>
    <col min="16" max="16" width="11.00390625" style="0" customWidth="1"/>
    <col min="18" max="18" width="13.421875" style="0" customWidth="1"/>
    <col min="19" max="19" width="12.28125" style="0" customWidth="1"/>
    <col min="20" max="20" width="12.140625" style="0" customWidth="1"/>
    <col min="21" max="21" width="9.28125" style="0" customWidth="1"/>
    <col min="24" max="24" width="10.7109375" style="0" customWidth="1"/>
    <col min="25" max="25" width="8.00390625" style="0" customWidth="1"/>
    <col min="28" max="28" width="7.421875" style="0" customWidth="1"/>
  </cols>
  <sheetData>
    <row r="1" ht="12.75">
      <c r="P1" s="46" t="s">
        <v>98</v>
      </c>
    </row>
    <row r="2" spans="1:22" ht="12.75">
      <c r="A2" s="46" t="s">
        <v>140</v>
      </c>
      <c r="E2" s="23"/>
      <c r="G2" s="26"/>
      <c r="L2" s="23"/>
      <c r="P2">
        <v>1</v>
      </c>
      <c r="Q2" t="s">
        <v>57</v>
      </c>
      <c r="S2" s="23" t="s">
        <v>157</v>
      </c>
      <c r="T2" s="15">
        <v>0.8376</v>
      </c>
      <c r="U2" s="23" t="s">
        <v>29</v>
      </c>
      <c r="V2" s="33">
        <f>PI()*(T2^2)/4</f>
        <v>0.5510147425918422</v>
      </c>
    </row>
    <row r="3" spans="1:25" ht="12.75">
      <c r="A3" s="46"/>
      <c r="E3" s="23"/>
      <c r="G3" s="26"/>
      <c r="L3" s="23"/>
      <c r="R3" s="15" t="s">
        <v>63</v>
      </c>
      <c r="S3" s="23" t="s">
        <v>54</v>
      </c>
      <c r="T3" s="26">
        <v>29000000</v>
      </c>
      <c r="U3" s="33"/>
      <c r="W3" s="23" t="s">
        <v>56</v>
      </c>
      <c r="X3" s="29">
        <f>PI()*(2.5*P2-P2)/4</f>
        <v>1.1780972450961724</v>
      </c>
      <c r="Y3" s="45" t="s">
        <v>102</v>
      </c>
    </row>
    <row r="4" spans="5:25" ht="12.75">
      <c r="E4" s="23"/>
      <c r="G4" s="26"/>
      <c r="R4" s="23" t="s">
        <v>42</v>
      </c>
      <c r="S4" s="23" t="s">
        <v>104</v>
      </c>
      <c r="T4" s="26">
        <v>100000</v>
      </c>
      <c r="Y4" t="s">
        <v>90</v>
      </c>
    </row>
    <row r="5" spans="5:25" ht="12.75">
      <c r="E5" s="23"/>
      <c r="G5" s="26"/>
      <c r="S5" s="23" t="s">
        <v>3</v>
      </c>
      <c r="T5" s="26">
        <v>80000</v>
      </c>
      <c r="W5" s="23" t="s">
        <v>53</v>
      </c>
      <c r="X5" s="32">
        <f>Bolt_area*E_bolt/T13</f>
        <v>6334657.739882588</v>
      </c>
      <c r="Y5" t="s">
        <v>92</v>
      </c>
    </row>
    <row r="6" spans="1:25" ht="12.75">
      <c r="A6" s="44" t="s">
        <v>7</v>
      </c>
      <c r="D6" s="44" t="s">
        <v>141</v>
      </c>
      <c r="R6" s="23" t="s">
        <v>46</v>
      </c>
      <c r="S6" s="23" t="s">
        <v>3</v>
      </c>
      <c r="T6" s="26">
        <v>33000</v>
      </c>
      <c r="W6" s="23" t="s">
        <v>55</v>
      </c>
      <c r="X6" s="32">
        <f>X3*E_joint/T15</f>
        <v>18849555.92153876</v>
      </c>
      <c r="Y6" t="s">
        <v>91</v>
      </c>
    </row>
    <row r="7" spans="18:20" ht="12.75">
      <c r="R7" s="23" t="s">
        <v>150</v>
      </c>
      <c r="S7" s="23" t="s">
        <v>104</v>
      </c>
      <c r="T7" s="26">
        <v>150000</v>
      </c>
    </row>
    <row r="8" spans="19:24" ht="12.75">
      <c r="S8" s="23" t="s">
        <v>3</v>
      </c>
      <c r="T8" s="26">
        <v>130000</v>
      </c>
      <c r="W8" s="23"/>
      <c r="X8" s="32"/>
    </row>
    <row r="9" spans="18:24" ht="12.75">
      <c r="R9" s="15"/>
      <c r="S9" s="23"/>
      <c r="T9" s="26"/>
      <c r="W9" s="23"/>
      <c r="X9" s="32"/>
    </row>
    <row r="10" spans="19:21" ht="12.75">
      <c r="S10" s="23" t="s">
        <v>148</v>
      </c>
      <c r="T10" s="63">
        <f>Bolt_area*T4/3</f>
        <v>18367.158086394742</v>
      </c>
      <c r="U10" t="s">
        <v>146</v>
      </c>
    </row>
    <row r="11" spans="16:27" ht="12.75">
      <c r="P11" s="78"/>
      <c r="Q11" s="78"/>
      <c r="R11" s="78"/>
      <c r="S11" s="79" t="s">
        <v>151</v>
      </c>
      <c r="T11" s="80">
        <f>Bolt_area*T7/3</f>
        <v>27550.737129592115</v>
      </c>
      <c r="U11" s="78" t="s">
        <v>146</v>
      </c>
      <c r="V11" s="78"/>
      <c r="W11" s="78"/>
      <c r="X11" s="80">
        <f>Bolt_area*Grade8_yield*2/3</f>
        <v>47754.61102462633</v>
      </c>
      <c r="Y11" s="78" t="s">
        <v>156</v>
      </c>
      <c r="Z11" s="78"/>
      <c r="AA11" s="78"/>
    </row>
    <row r="12" spans="2:27" ht="12.75">
      <c r="B12" t="s">
        <v>24</v>
      </c>
      <c r="C12" t="s">
        <v>2</v>
      </c>
      <c r="D12" t="s">
        <v>3</v>
      </c>
      <c r="E12" t="s">
        <v>4</v>
      </c>
      <c r="G12" t="s">
        <v>5</v>
      </c>
      <c r="H12" t="s">
        <v>6</v>
      </c>
      <c r="X12" s="80">
        <f>Bolt_area*Grade8_yield/2</f>
        <v>35815.958268469745</v>
      </c>
      <c r="Y12" s="78" t="s">
        <v>155</v>
      </c>
      <c r="Z12" s="78"/>
      <c r="AA12" s="78"/>
    </row>
    <row r="13" spans="2:21" ht="12.75">
      <c r="B13" s="15">
        <v>1</v>
      </c>
      <c r="C13" s="1">
        <v>4209.6</v>
      </c>
      <c r="D13" s="1">
        <v>-9180.4</v>
      </c>
      <c r="E13" s="1">
        <v>2035.6</v>
      </c>
      <c r="G13" s="1">
        <f>SQRT(C13^2+E13^2)</f>
        <v>4675.93835716426</v>
      </c>
      <c r="H13" s="8">
        <f>G13/D13</f>
        <v>-0.5093392833824518</v>
      </c>
      <c r="S13" s="23" t="s">
        <v>89</v>
      </c>
      <c r="T13" s="43">
        <f>1.25+0.6875+0.25+0.4*T2</f>
        <v>2.5225400000000002</v>
      </c>
      <c r="U13" t="s">
        <v>88</v>
      </c>
    </row>
    <row r="14" spans="2:25" ht="12.75">
      <c r="B14" s="15">
        <v>2</v>
      </c>
      <c r="C14" s="1">
        <v>641.61</v>
      </c>
      <c r="D14" s="1">
        <v>-4271.4</v>
      </c>
      <c r="E14" s="1">
        <v>32.139</v>
      </c>
      <c r="G14" s="1">
        <f>SQRT(C14^2+E14^2)</f>
        <v>642.4144358753156</v>
      </c>
      <c r="H14" s="8">
        <f>G14/D14</f>
        <v>-0.1503990344794015</v>
      </c>
      <c r="S14" s="23" t="s">
        <v>58</v>
      </c>
      <c r="T14" s="26">
        <v>22000000</v>
      </c>
      <c r="U14" s="19" t="s">
        <v>68</v>
      </c>
      <c r="V14" s="44"/>
      <c r="W14" s="51" t="s">
        <v>60</v>
      </c>
      <c r="X14" s="29">
        <f>X5/(X5+X6)</f>
        <v>0.251532877899078</v>
      </c>
      <c r="Y14" t="s">
        <v>62</v>
      </c>
    </row>
    <row r="15" spans="2:25" ht="12.75">
      <c r="B15" s="15">
        <v>3</v>
      </c>
      <c r="C15" s="1">
        <v>33.274</v>
      </c>
      <c r="D15" s="1">
        <v>-1365</v>
      </c>
      <c r="E15" s="1">
        <v>356.28</v>
      </c>
      <c r="G15" s="1">
        <f>SQRT(C15^2+E15^2)</f>
        <v>357.83040323035715</v>
      </c>
      <c r="H15" s="8">
        <f>G15/D15</f>
        <v>-0.2621468155533752</v>
      </c>
      <c r="S15" s="23" t="s">
        <v>59</v>
      </c>
      <c r="T15" s="30">
        <v>1.375</v>
      </c>
      <c r="X15" s="29">
        <f>X6/(X5+X6)</f>
        <v>0.748467122100922</v>
      </c>
      <c r="Y15" t="s">
        <v>61</v>
      </c>
    </row>
    <row r="16" spans="2:8" ht="12.75">
      <c r="B16" s="15">
        <v>4</v>
      </c>
      <c r="C16" s="1">
        <v>317.1</v>
      </c>
      <c r="D16" s="1">
        <v>-8723.4</v>
      </c>
      <c r="E16" s="1">
        <v>-2950.4</v>
      </c>
      <c r="G16" s="1">
        <f>SQRT(C16^2+E16^2)</f>
        <v>2967.3915430896545</v>
      </c>
      <c r="H16" s="8">
        <f>G16/D16</f>
        <v>-0.34016456233689324</v>
      </c>
    </row>
    <row r="17" spans="2:24" ht="12.75">
      <c r="B17" s="19" t="s">
        <v>0</v>
      </c>
      <c r="C17" s="1">
        <v>5201.6</v>
      </c>
      <c r="D17" s="1">
        <v>-23540</v>
      </c>
      <c r="E17" s="1">
        <v>-526.41</v>
      </c>
      <c r="G17" s="1"/>
      <c r="H17" s="8"/>
      <c r="S17" s="51" t="s">
        <v>101</v>
      </c>
      <c r="T17" s="31">
        <f>PI()*X18*X19*X20/3</f>
        <v>45896.70517353838</v>
      </c>
      <c r="U17" t="s">
        <v>100</v>
      </c>
      <c r="X17" t="s">
        <v>65</v>
      </c>
    </row>
    <row r="18" spans="2:25" ht="12.75">
      <c r="B18" s="19" t="s">
        <v>1</v>
      </c>
      <c r="C18" s="1">
        <f>SUM(C13:C16)</f>
        <v>5201.584000000001</v>
      </c>
      <c r="D18" s="1">
        <f>SUM(D13:D16)</f>
        <v>-23540.199999999997</v>
      </c>
      <c r="E18" s="1">
        <f>SUM(E13:E16)</f>
        <v>-526.3809999999999</v>
      </c>
      <c r="G18" s="1"/>
      <c r="H18" s="8"/>
      <c r="J18" t="s">
        <v>50</v>
      </c>
      <c r="K18" t="s">
        <v>27</v>
      </c>
      <c r="L18" t="s">
        <v>47</v>
      </c>
      <c r="X18">
        <f>P2-0.125/2</f>
        <v>0.9375</v>
      </c>
      <c r="Y18" t="s">
        <v>64</v>
      </c>
    </row>
    <row r="19" spans="2:25" ht="12.75">
      <c r="B19" s="19"/>
      <c r="G19" s="1"/>
      <c r="H19" s="8"/>
      <c r="J19" s="28" t="s">
        <v>51</v>
      </c>
      <c r="K19" s="28" t="s">
        <v>51</v>
      </c>
      <c r="L19" t="s">
        <v>48</v>
      </c>
      <c r="S19" s="23" t="s">
        <v>31</v>
      </c>
      <c r="T19" s="31" t="s">
        <v>31</v>
      </c>
      <c r="U19" t="s">
        <v>31</v>
      </c>
      <c r="X19">
        <v>34000</v>
      </c>
      <c r="Y19" t="s">
        <v>99</v>
      </c>
    </row>
    <row r="20" spans="2:25" ht="12.75">
      <c r="B20" s="19" t="s">
        <v>25</v>
      </c>
      <c r="C20" t="s">
        <v>2</v>
      </c>
      <c r="D20" t="s">
        <v>30</v>
      </c>
      <c r="E20" t="s">
        <v>4</v>
      </c>
      <c r="G20" t="s">
        <v>5</v>
      </c>
      <c r="H20" t="s">
        <v>6</v>
      </c>
      <c r="J20" s="28" t="s">
        <v>52</v>
      </c>
      <c r="K20" s="28" t="s">
        <v>52</v>
      </c>
      <c r="L20" t="s">
        <v>49</v>
      </c>
      <c r="X20">
        <v>1.375</v>
      </c>
      <c r="Y20" t="s">
        <v>66</v>
      </c>
    </row>
    <row r="21" spans="2:16" ht="12.75">
      <c r="B21" s="16" t="s">
        <v>8</v>
      </c>
      <c r="C21" s="2">
        <v>676.0147</v>
      </c>
      <c r="D21" s="2">
        <v>-3555.082</v>
      </c>
      <c r="E21" s="3">
        <v>1050.473</v>
      </c>
      <c r="G21" s="9">
        <f>SQRT(C21^2+E21^2)</f>
        <v>1249.1955004502258</v>
      </c>
      <c r="H21" s="10">
        <f>G21/D21</f>
        <v>-0.3513830343295108</v>
      </c>
      <c r="J21" s="24">
        <f>Fb-D21*kk</f>
        <v>20391.05902</v>
      </c>
      <c r="K21" s="24">
        <f aca="true" t="shared" si="0" ref="K21:K36">-Fb-D21*(1-kk)</f>
        <v>-16835.97702</v>
      </c>
      <c r="L21" s="1">
        <f>ABS(G21/K21)</f>
        <v>0.07419798084579626</v>
      </c>
      <c r="P21" t="s">
        <v>31</v>
      </c>
    </row>
    <row r="22" spans="2:25" ht="12.75">
      <c r="B22" s="17" t="s">
        <v>9</v>
      </c>
      <c r="C22" s="4">
        <v>1545.883</v>
      </c>
      <c r="D22" s="4">
        <v>-4040.619</v>
      </c>
      <c r="E22" s="5">
        <v>969.1052</v>
      </c>
      <c r="G22" s="11">
        <f aca="true" t="shared" si="1" ref="G22:G36">SQRT(C22^2+E22^2)</f>
        <v>1824.532580787759</v>
      </c>
      <c r="H22" s="12">
        <f aca="true" t="shared" si="2" ref="H22:H36">G22/D22</f>
        <v>-0.45154779027365827</v>
      </c>
      <c r="J22" s="24">
        <f aca="true" t="shared" si="3" ref="J22:J36">Fb-D22*kk</f>
        <v>20444.46809</v>
      </c>
      <c r="K22" s="24">
        <f t="shared" si="0"/>
        <v>-16403.84909</v>
      </c>
      <c r="L22" s="1">
        <f aca="true" t="shared" si="4" ref="L22:L35">ABS(G22/K22)</f>
        <v>0.11122588185110882</v>
      </c>
      <c r="P22" s="46" t="s">
        <v>67</v>
      </c>
      <c r="W22" s="15" t="s">
        <v>43</v>
      </c>
      <c r="X22" s="15" t="s">
        <v>43</v>
      </c>
      <c r="Y22" s="73" t="s">
        <v>149</v>
      </c>
    </row>
    <row r="23" spans="2:25" ht="12.75">
      <c r="B23" s="17" t="s">
        <v>10</v>
      </c>
      <c r="C23" s="4">
        <v>1025.678</v>
      </c>
      <c r="D23" s="4">
        <v>-870.2618</v>
      </c>
      <c r="E23" s="5">
        <v>-387.6252</v>
      </c>
      <c r="G23" s="11">
        <f t="shared" si="1"/>
        <v>1096.4801208225529</v>
      </c>
      <c r="H23" s="12">
        <f t="shared" si="2"/>
        <v>-1.2599428365378704</v>
      </c>
      <c r="J23" s="24">
        <f t="shared" si="3"/>
        <v>20095.728798</v>
      </c>
      <c r="K23" s="24">
        <f t="shared" si="0"/>
        <v>-19225.466998</v>
      </c>
      <c r="L23" s="1">
        <f t="shared" si="4"/>
        <v>0.05703269111416738</v>
      </c>
      <c r="W23" s="15" t="s">
        <v>44</v>
      </c>
      <c r="X23" s="15" t="s">
        <v>45</v>
      </c>
      <c r="Y23" s="73" t="s">
        <v>147</v>
      </c>
    </row>
    <row r="24" spans="2:25" ht="12.75">
      <c r="B24" s="18" t="s">
        <v>11</v>
      </c>
      <c r="C24" s="6">
        <v>962.008</v>
      </c>
      <c r="D24" s="6">
        <v>-714.4448</v>
      </c>
      <c r="E24" s="7">
        <v>403.6223</v>
      </c>
      <c r="G24" s="13">
        <f t="shared" si="1"/>
        <v>1043.2498996507454</v>
      </c>
      <c r="H24" s="14">
        <f t="shared" si="2"/>
        <v>-1.460224638279606</v>
      </c>
      <c r="J24" s="24">
        <f t="shared" si="3"/>
        <v>20078.588928</v>
      </c>
      <c r="K24" s="24">
        <f t="shared" si="0"/>
        <v>-19364.144128</v>
      </c>
      <c r="L24" s="1">
        <f t="shared" si="4"/>
        <v>0.053875342630931765</v>
      </c>
      <c r="S24" s="15" t="s">
        <v>25</v>
      </c>
      <c r="T24" s="15" t="s">
        <v>25</v>
      </c>
      <c r="U24" s="15" t="s">
        <v>25</v>
      </c>
      <c r="W24" s="15" t="s">
        <v>39</v>
      </c>
      <c r="X24" s="15" t="s">
        <v>39</v>
      </c>
      <c r="Y24" s="73" t="s">
        <v>39</v>
      </c>
    </row>
    <row r="25" spans="2:25" ht="14.25" customHeight="1">
      <c r="B25" s="16" t="s">
        <v>12</v>
      </c>
      <c r="C25" s="2">
        <v>39.96087</v>
      </c>
      <c r="D25" s="2">
        <v>-340.4815</v>
      </c>
      <c r="E25" s="3">
        <v>267.9296</v>
      </c>
      <c r="G25" s="9">
        <f t="shared" si="1"/>
        <v>270.8932293124302</v>
      </c>
      <c r="H25" s="10">
        <f t="shared" si="2"/>
        <v>-0.7956180565241584</v>
      </c>
      <c r="J25" s="24">
        <f t="shared" si="3"/>
        <v>20037.452965</v>
      </c>
      <c r="K25" s="24">
        <f t="shared" si="0"/>
        <v>-19696.971465</v>
      </c>
      <c r="L25" s="1">
        <f t="shared" si="4"/>
        <v>0.013753039638290923</v>
      </c>
      <c r="S25" s="15" t="s">
        <v>32</v>
      </c>
      <c r="T25" s="15" t="s">
        <v>32</v>
      </c>
      <c r="U25" s="15" t="s">
        <v>35</v>
      </c>
      <c r="W25" s="15" t="s">
        <v>40</v>
      </c>
      <c r="X25" s="15" t="s">
        <v>40</v>
      </c>
      <c r="Y25" s="73" t="s">
        <v>40</v>
      </c>
    </row>
    <row r="26" spans="2:25" ht="15">
      <c r="B26" s="17" t="s">
        <v>13</v>
      </c>
      <c r="C26" s="4">
        <v>463.1329</v>
      </c>
      <c r="D26" s="4">
        <v>-2399.795</v>
      </c>
      <c r="E26" s="5">
        <v>436.6015</v>
      </c>
      <c r="G26" s="11">
        <f t="shared" si="1"/>
        <v>636.4848410328874</v>
      </c>
      <c r="H26" s="12">
        <f t="shared" si="2"/>
        <v>-0.26522467170441116</v>
      </c>
      <c r="J26" s="24">
        <f t="shared" si="3"/>
        <v>20263.97745</v>
      </c>
      <c r="K26" s="24">
        <f t="shared" si="0"/>
        <v>-17864.18245</v>
      </c>
      <c r="L26" s="1">
        <f t="shared" si="4"/>
        <v>0.035629105491636275</v>
      </c>
      <c r="P26" s="56" t="s">
        <v>25</v>
      </c>
      <c r="Q26" s="57" t="s">
        <v>37</v>
      </c>
      <c r="R26" s="57" t="s">
        <v>38</v>
      </c>
      <c r="S26" s="58" t="s">
        <v>33</v>
      </c>
      <c r="T26" s="58" t="s">
        <v>34</v>
      </c>
      <c r="U26" s="58" t="s">
        <v>36</v>
      </c>
      <c r="V26" s="59"/>
      <c r="W26" s="58" t="s">
        <v>41</v>
      </c>
      <c r="X26" s="58" t="s">
        <v>41</v>
      </c>
      <c r="Y26" s="74" t="s">
        <v>41</v>
      </c>
    </row>
    <row r="27" spans="2:25" ht="12.75">
      <c r="B27" s="17" t="s">
        <v>14</v>
      </c>
      <c r="C27" s="4">
        <v>160.1356</v>
      </c>
      <c r="D27" s="4">
        <v>-1426.979</v>
      </c>
      <c r="E27" s="5">
        <v>-565.8214</v>
      </c>
      <c r="G27" s="11">
        <f t="shared" si="1"/>
        <v>588.0452933961126</v>
      </c>
      <c r="H27" s="12">
        <f t="shared" si="2"/>
        <v>-0.4120910632855232</v>
      </c>
      <c r="J27" s="24">
        <f t="shared" si="3"/>
        <v>20156.96769</v>
      </c>
      <c r="K27" s="24">
        <f t="shared" si="0"/>
        <v>-18729.98869</v>
      </c>
      <c r="L27" s="1">
        <f t="shared" si="4"/>
        <v>0.03139592357095612</v>
      </c>
      <c r="P27" s="17" t="s">
        <v>8</v>
      </c>
      <c r="Q27" s="25">
        <f aca="true" t="shared" si="5" ref="Q27:Q42">ABS(D21)/Bolt_area</f>
        <v>6451.8818194913265</v>
      </c>
      <c r="R27" s="25">
        <f aca="true" t="shared" si="6" ref="R27:R42">G21/Bolt_area</f>
        <v>2267.081810868267</v>
      </c>
      <c r="S27" s="25">
        <f aca="true" t="shared" si="7" ref="S27:S42">0.5*Q27+0.5*SQRT(Q27^2+4*R27^2)</f>
        <v>7168.827503390023</v>
      </c>
      <c r="T27" s="25">
        <f aca="true" t="shared" si="8" ref="T27:T42">0.5*Q27-0.5*SQRT(Q27^2+4*R27^2)</f>
        <v>-716.9456838986962</v>
      </c>
      <c r="U27" s="24">
        <f>0.5*SQRT(Q27^2+4*R27^2)</f>
        <v>3942.8865936443594</v>
      </c>
      <c r="V27" s="24">
        <f aca="true" t="shared" si="9" ref="V27:V42">SQRT(Q27^2+3*R27^2)</f>
        <v>7552.864279476491</v>
      </c>
      <c r="W27" s="27">
        <f aca="true" t="shared" si="10" ref="W27:W41">a193_yield/V27</f>
        <v>10.592008149462606</v>
      </c>
      <c r="X27" s="60">
        <f aca="true" t="shared" si="11" ref="X27:X41">a307_yield/V27</f>
        <v>4.369203361653325</v>
      </c>
      <c r="Y27" s="75">
        <f aca="true" t="shared" si="12" ref="Y27:Y42">Grade8_yield/V27</f>
        <v>17.212013242876733</v>
      </c>
    </row>
    <row r="28" spans="2:25" ht="12.75">
      <c r="B28" s="18" t="s">
        <v>15</v>
      </c>
      <c r="C28" s="6">
        <v>-21.61483</v>
      </c>
      <c r="D28" s="6">
        <v>-104.1138</v>
      </c>
      <c r="E28" s="7">
        <v>-106.5709</v>
      </c>
      <c r="G28" s="13">
        <f t="shared" si="1"/>
        <v>108.74078169085828</v>
      </c>
      <c r="H28" s="14">
        <f t="shared" si="2"/>
        <v>-1.0444415792225266</v>
      </c>
      <c r="J28" s="24">
        <f t="shared" si="3"/>
        <v>20011.452518</v>
      </c>
      <c r="K28" s="24">
        <f t="shared" si="0"/>
        <v>-19907.338718</v>
      </c>
      <c r="L28" s="1">
        <f t="shared" si="4"/>
        <v>0.005462346485948725</v>
      </c>
      <c r="P28" s="17" t="s">
        <v>9</v>
      </c>
      <c r="Q28" s="25">
        <f t="shared" si="5"/>
        <v>7333.050620377034</v>
      </c>
      <c r="R28" s="25">
        <f t="shared" si="6"/>
        <v>3311.2228035961284</v>
      </c>
      <c r="S28" s="25">
        <f t="shared" si="7"/>
        <v>8606.930587623558</v>
      </c>
      <c r="T28" s="25">
        <f t="shared" si="8"/>
        <v>-1273.8799672465243</v>
      </c>
      <c r="U28" s="24">
        <f aca="true" t="shared" si="13" ref="U28:U42">0.5*SQRT(Q28^2+4*R28^2)</f>
        <v>4940.405277435041</v>
      </c>
      <c r="V28" s="24">
        <f t="shared" si="9"/>
        <v>9309.469413783849</v>
      </c>
      <c r="W28" s="27">
        <f t="shared" si="10"/>
        <v>8.593400595048937</v>
      </c>
      <c r="X28" s="61">
        <f t="shared" si="11"/>
        <v>3.5447777454576865</v>
      </c>
      <c r="Y28" s="76">
        <f t="shared" si="12"/>
        <v>13.964275966954522</v>
      </c>
    </row>
    <row r="29" spans="2:25" ht="12.75">
      <c r="B29" s="16" t="s">
        <v>16</v>
      </c>
      <c r="C29" s="2">
        <v>49.86105</v>
      </c>
      <c r="D29" s="2">
        <v>-74.97816</v>
      </c>
      <c r="E29" s="3">
        <v>43.52612</v>
      </c>
      <c r="G29" s="9">
        <f t="shared" si="1"/>
        <v>66.18645956203504</v>
      </c>
      <c r="H29" s="10">
        <f t="shared" si="2"/>
        <v>-0.8827431823084887</v>
      </c>
      <c r="J29" s="24">
        <f t="shared" si="3"/>
        <v>20008.2475976</v>
      </c>
      <c r="K29" s="24">
        <f t="shared" si="0"/>
        <v>-19933.2694376</v>
      </c>
      <c r="L29" s="1">
        <f t="shared" si="4"/>
        <v>0.003320401591381088</v>
      </c>
      <c r="P29" s="17" t="s">
        <v>10</v>
      </c>
      <c r="Q29" s="25">
        <f t="shared" si="5"/>
        <v>1579.380246536591</v>
      </c>
      <c r="R29" s="25">
        <f t="shared" si="6"/>
        <v>1989.9288277931935</v>
      </c>
      <c r="S29" s="25">
        <f t="shared" si="7"/>
        <v>2930.584149246669</v>
      </c>
      <c r="T29" s="25">
        <f t="shared" si="8"/>
        <v>-1351.2039027100782</v>
      </c>
      <c r="U29" s="24">
        <f t="shared" si="13"/>
        <v>2140.8940259783735</v>
      </c>
      <c r="V29" s="24">
        <f t="shared" si="9"/>
        <v>3791.291624525494</v>
      </c>
      <c r="W29" s="27">
        <f t="shared" si="10"/>
        <v>21.100988244346027</v>
      </c>
      <c r="X29" s="61">
        <f t="shared" si="11"/>
        <v>8.704157650792736</v>
      </c>
      <c r="Y29" s="76">
        <f t="shared" si="12"/>
        <v>34.28910589706229</v>
      </c>
    </row>
    <row r="30" spans="2:25" ht="12.75">
      <c r="B30" s="17" t="s">
        <v>17</v>
      </c>
      <c r="C30" s="4">
        <v>111.3882</v>
      </c>
      <c r="D30" s="4">
        <v>-891.3287</v>
      </c>
      <c r="E30" s="5">
        <v>322.6408</v>
      </c>
      <c r="G30" s="11">
        <f t="shared" si="1"/>
        <v>341.3274335940198</v>
      </c>
      <c r="H30" s="12">
        <f t="shared" si="2"/>
        <v>-0.38294226764382183</v>
      </c>
      <c r="J30" s="24">
        <f t="shared" si="3"/>
        <v>20098.046157</v>
      </c>
      <c r="K30" s="24">
        <f t="shared" si="0"/>
        <v>-19206.717457</v>
      </c>
      <c r="L30" s="1">
        <f t="shared" si="4"/>
        <v>0.01777125291493373</v>
      </c>
      <c r="P30" s="18" t="s">
        <v>11</v>
      </c>
      <c r="Q30" s="53">
        <f t="shared" si="5"/>
        <v>1296.5983389834937</v>
      </c>
      <c r="R30" s="53">
        <f t="shared" si="6"/>
        <v>1893.32484053611</v>
      </c>
      <c r="S30" s="53">
        <f t="shared" si="7"/>
        <v>2649.541474899759</v>
      </c>
      <c r="T30" s="53">
        <f t="shared" si="8"/>
        <v>-1352.9431359162654</v>
      </c>
      <c r="U30" s="54">
        <f t="shared" si="13"/>
        <v>2001.2423054080123</v>
      </c>
      <c r="V30" s="54">
        <f t="shared" si="9"/>
        <v>3526.3584769600516</v>
      </c>
      <c r="W30" s="55">
        <f t="shared" si="10"/>
        <v>22.686292537384105</v>
      </c>
      <c r="X30" s="62">
        <f t="shared" si="11"/>
        <v>9.358095671670943</v>
      </c>
      <c r="Y30" s="77">
        <f t="shared" si="12"/>
        <v>36.865225373249174</v>
      </c>
    </row>
    <row r="31" spans="2:25" ht="12.75">
      <c r="B31" s="17" t="s">
        <v>18</v>
      </c>
      <c r="C31" s="4">
        <v>-129.8399</v>
      </c>
      <c r="D31" s="4">
        <v>-411.3115</v>
      </c>
      <c r="E31" s="5">
        <v>-11.6262</v>
      </c>
      <c r="G31" s="11">
        <f t="shared" si="1"/>
        <v>130.35938078423817</v>
      </c>
      <c r="H31" s="12">
        <f t="shared" si="2"/>
        <v>-0.31693590085431156</v>
      </c>
      <c r="J31" s="24">
        <f t="shared" si="3"/>
        <v>20045.244265</v>
      </c>
      <c r="K31" s="24">
        <f t="shared" si="0"/>
        <v>-19633.932765</v>
      </c>
      <c r="L31" s="1">
        <f t="shared" si="4"/>
        <v>0.006639494101590307</v>
      </c>
      <c r="P31" s="17" t="s">
        <v>12</v>
      </c>
      <c r="Q31" s="25">
        <f t="shared" si="5"/>
        <v>617.9172237723732</v>
      </c>
      <c r="R31" s="25">
        <f t="shared" si="6"/>
        <v>491.626100670579</v>
      </c>
      <c r="S31" s="25">
        <f t="shared" si="7"/>
        <v>889.6062216454945</v>
      </c>
      <c r="T31" s="25">
        <f t="shared" si="8"/>
        <v>-271.6889978731213</v>
      </c>
      <c r="U31" s="24">
        <f t="shared" si="13"/>
        <v>580.6476097593079</v>
      </c>
      <c r="V31" s="24">
        <f t="shared" si="9"/>
        <v>1052.0980771849324</v>
      </c>
      <c r="W31" s="27">
        <f t="shared" si="10"/>
        <v>76.03853835951647</v>
      </c>
      <c r="X31" s="61">
        <f t="shared" si="11"/>
        <v>31.36589707330054</v>
      </c>
      <c r="Y31" s="75">
        <f t="shared" si="12"/>
        <v>123.56262483421426</v>
      </c>
    </row>
    <row r="32" spans="2:25" ht="12.75">
      <c r="B32" s="18" t="s">
        <v>19</v>
      </c>
      <c r="C32" s="6">
        <v>1.864575</v>
      </c>
      <c r="D32" s="6">
        <v>12.6256</v>
      </c>
      <c r="E32" s="7">
        <v>1.740416</v>
      </c>
      <c r="G32" s="13">
        <f t="shared" si="1"/>
        <v>2.5506249790357263</v>
      </c>
      <c r="H32" s="14">
        <f t="shared" si="2"/>
        <v>0.2020201003544961</v>
      </c>
      <c r="J32" s="24">
        <f t="shared" si="3"/>
        <v>19998.611184</v>
      </c>
      <c r="K32" s="24">
        <f t="shared" si="0"/>
        <v>-20011.236784</v>
      </c>
      <c r="L32" s="1">
        <f t="shared" si="4"/>
        <v>0.00012745963713122822</v>
      </c>
      <c r="P32" s="17" t="s">
        <v>13</v>
      </c>
      <c r="Q32" s="25">
        <f t="shared" si="5"/>
        <v>4355.228298814539</v>
      </c>
      <c r="R32" s="25">
        <f t="shared" si="6"/>
        <v>1155.1139957508472</v>
      </c>
      <c r="S32" s="25">
        <f t="shared" si="7"/>
        <v>4642.62768423385</v>
      </c>
      <c r="T32" s="25">
        <f t="shared" si="8"/>
        <v>-287.3993854193109</v>
      </c>
      <c r="U32" s="24">
        <f t="shared" si="13"/>
        <v>2465.0135348265803</v>
      </c>
      <c r="V32" s="24">
        <f t="shared" si="9"/>
        <v>4792.79444211135</v>
      </c>
      <c r="W32" s="27">
        <f t="shared" si="10"/>
        <v>16.69172357927329</v>
      </c>
      <c r="X32" s="61">
        <f t="shared" si="11"/>
        <v>6.885335976450233</v>
      </c>
      <c r="Y32" s="76">
        <f t="shared" si="12"/>
        <v>27.124050816319098</v>
      </c>
    </row>
    <row r="33" spans="2:25" ht="12.75">
      <c r="B33" s="16" t="s">
        <v>20</v>
      </c>
      <c r="C33" s="2">
        <v>1188.808</v>
      </c>
      <c r="D33" s="2">
        <v>-4449.104</v>
      </c>
      <c r="E33" s="3">
        <v>-567.7207</v>
      </c>
      <c r="G33" s="9">
        <f t="shared" si="1"/>
        <v>1317.4108144661975</v>
      </c>
      <c r="H33" s="10">
        <f t="shared" si="2"/>
        <v>-0.2961069946816702</v>
      </c>
      <c r="J33" s="24">
        <f t="shared" si="3"/>
        <v>20489.40144</v>
      </c>
      <c r="K33" s="24">
        <f t="shared" si="0"/>
        <v>-16040.29744</v>
      </c>
      <c r="L33" s="1">
        <f t="shared" si="4"/>
        <v>0.0821313207809317</v>
      </c>
      <c r="P33" s="17" t="s">
        <v>14</v>
      </c>
      <c r="Q33" s="25">
        <f t="shared" si="5"/>
        <v>2589.72925712991</v>
      </c>
      <c r="R33" s="25">
        <f t="shared" si="6"/>
        <v>1067.2042831922925</v>
      </c>
      <c r="S33" s="25">
        <f t="shared" si="7"/>
        <v>2972.8394163292505</v>
      </c>
      <c r="T33" s="25">
        <f t="shared" si="8"/>
        <v>-383.11015919934084</v>
      </c>
      <c r="U33" s="24">
        <f t="shared" si="13"/>
        <v>1677.9747877642958</v>
      </c>
      <c r="V33" s="24">
        <f t="shared" si="9"/>
        <v>3181.7404940419888</v>
      </c>
      <c r="W33" s="27">
        <f t="shared" si="10"/>
        <v>25.1434710498248</v>
      </c>
      <c r="X33" s="61">
        <f t="shared" si="11"/>
        <v>10.37168180805273</v>
      </c>
      <c r="Y33" s="76">
        <f t="shared" si="12"/>
        <v>40.8581404559653</v>
      </c>
    </row>
    <row r="34" spans="2:25" ht="12.75">
      <c r="B34" s="17" t="s">
        <v>21</v>
      </c>
      <c r="C34" s="4">
        <v>47.51689</v>
      </c>
      <c r="D34" s="4">
        <v>72.88431</v>
      </c>
      <c r="E34" s="5">
        <v>25.51023</v>
      </c>
      <c r="G34" s="11">
        <f t="shared" si="1"/>
        <v>53.931685213100835</v>
      </c>
      <c r="H34" s="12">
        <f t="shared" si="2"/>
        <v>0.7399628975440782</v>
      </c>
      <c r="J34" s="24">
        <f t="shared" si="3"/>
        <v>19991.9827259</v>
      </c>
      <c r="K34" s="24">
        <f t="shared" si="0"/>
        <v>-20064.8670359</v>
      </c>
      <c r="L34" s="1">
        <f t="shared" si="4"/>
        <v>0.0026878665638105865</v>
      </c>
      <c r="P34" s="18" t="s">
        <v>15</v>
      </c>
      <c r="Q34" s="53">
        <f t="shared" si="5"/>
        <v>188.94920943543806</v>
      </c>
      <c r="R34" s="53">
        <f t="shared" si="6"/>
        <v>197.34641069559686</v>
      </c>
      <c r="S34" s="53">
        <f t="shared" si="7"/>
        <v>313.26915846850244</v>
      </c>
      <c r="T34" s="53">
        <f t="shared" si="8"/>
        <v>-124.31994903306436</v>
      </c>
      <c r="U34" s="54">
        <f t="shared" si="13"/>
        <v>218.7945537507834</v>
      </c>
      <c r="V34" s="54">
        <f t="shared" si="9"/>
        <v>390.5619300310549</v>
      </c>
      <c r="W34" s="55">
        <f t="shared" si="10"/>
        <v>204.8330721676814</v>
      </c>
      <c r="X34" s="62">
        <f t="shared" si="11"/>
        <v>84.49364226916857</v>
      </c>
      <c r="Y34" s="77">
        <f t="shared" si="12"/>
        <v>332.8537422724823</v>
      </c>
    </row>
    <row r="35" spans="2:25" ht="12.75">
      <c r="B35" s="17" t="s">
        <v>22</v>
      </c>
      <c r="C35" s="4">
        <v>-80.41352</v>
      </c>
      <c r="D35" s="4">
        <v>-274.5892</v>
      </c>
      <c r="E35" s="5">
        <v>-165.8178</v>
      </c>
      <c r="G35" s="11">
        <f t="shared" si="1"/>
        <v>184.28748464187794</v>
      </c>
      <c r="H35" s="12">
        <f t="shared" si="2"/>
        <v>-0.6711388672310417</v>
      </c>
      <c r="J35" s="24">
        <f t="shared" si="3"/>
        <v>20030.204812</v>
      </c>
      <c r="K35" s="24">
        <f t="shared" si="0"/>
        <v>-19755.615612</v>
      </c>
      <c r="L35" s="1">
        <f t="shared" si="4"/>
        <v>0.009328359503509352</v>
      </c>
      <c r="P35" s="17" t="s">
        <v>16</v>
      </c>
      <c r="Q35" s="25">
        <f t="shared" si="5"/>
        <v>136.07287465181165</v>
      </c>
      <c r="R35" s="25">
        <f t="shared" si="6"/>
        <v>120.1174023960043</v>
      </c>
      <c r="S35" s="25">
        <f t="shared" si="7"/>
        <v>206.08406375376416</v>
      </c>
      <c r="T35" s="25">
        <f t="shared" si="8"/>
        <v>-70.01118910195252</v>
      </c>
      <c r="U35" s="24">
        <f t="shared" si="13"/>
        <v>138.04762642785835</v>
      </c>
      <c r="V35" s="24">
        <f t="shared" si="9"/>
        <v>248.59685897271208</v>
      </c>
      <c r="W35" s="27">
        <f t="shared" si="10"/>
        <v>321.80615769075916</v>
      </c>
      <c r="X35" s="61">
        <f t="shared" si="11"/>
        <v>132.74504004743815</v>
      </c>
      <c r="Y35" s="75">
        <f t="shared" si="12"/>
        <v>522.9350062474837</v>
      </c>
    </row>
    <row r="36" spans="2:25" ht="12.75">
      <c r="B36" s="18" t="s">
        <v>23</v>
      </c>
      <c r="C36" s="6">
        <v>-838.8135</v>
      </c>
      <c r="D36" s="21">
        <v>-4072.611</v>
      </c>
      <c r="E36" s="7">
        <v>-2242.377</v>
      </c>
      <c r="G36" s="13">
        <f t="shared" si="1"/>
        <v>2394.1308857101462</v>
      </c>
      <c r="H36" s="14">
        <f t="shared" si="2"/>
        <v>-0.5878614200349963</v>
      </c>
      <c r="J36" s="24">
        <f t="shared" si="3"/>
        <v>20447.98721</v>
      </c>
      <c r="K36" s="24">
        <f t="shared" si="0"/>
        <v>-16375.37621</v>
      </c>
      <c r="L36" s="48">
        <f>ABS(G36/K36)</f>
        <v>0.14620310733674108</v>
      </c>
      <c r="M36" s="50">
        <v>0.11</v>
      </c>
      <c r="N36" s="50">
        <v>0.3</v>
      </c>
      <c r="P36" s="17" t="s">
        <v>17</v>
      </c>
      <c r="Q36" s="25">
        <f t="shared" si="5"/>
        <v>1617.6131618682323</v>
      </c>
      <c r="R36" s="25">
        <f t="shared" si="6"/>
        <v>619.4524523763135</v>
      </c>
      <c r="S36" s="25">
        <f t="shared" si="7"/>
        <v>1827.5751641351117</v>
      </c>
      <c r="T36" s="25">
        <f t="shared" si="8"/>
        <v>-209.9620022668795</v>
      </c>
      <c r="U36" s="24">
        <f t="shared" si="13"/>
        <v>1018.7685832009956</v>
      </c>
      <c r="V36" s="24">
        <f t="shared" si="9"/>
        <v>1941.091539241369</v>
      </c>
      <c r="W36" s="27">
        <f t="shared" si="10"/>
        <v>41.21392442484508</v>
      </c>
      <c r="X36" s="61">
        <f t="shared" si="11"/>
        <v>17.0007438252486</v>
      </c>
      <c r="Y36" s="76">
        <f t="shared" si="12"/>
        <v>66.97262719037326</v>
      </c>
    </row>
    <row r="37" spans="13:25" ht="12.75">
      <c r="M37" s="49"/>
      <c r="N37" s="49"/>
      <c r="P37" s="17" t="s">
        <v>18</v>
      </c>
      <c r="Q37" s="25">
        <f t="shared" si="5"/>
        <v>746.4618787970874</v>
      </c>
      <c r="R37" s="25">
        <f t="shared" si="6"/>
        <v>236.58056800995678</v>
      </c>
      <c r="S37" s="25">
        <f t="shared" si="7"/>
        <v>815.1265144886697</v>
      </c>
      <c r="T37" s="25">
        <f t="shared" si="8"/>
        <v>-68.6646356915823</v>
      </c>
      <c r="U37" s="24">
        <f t="shared" si="13"/>
        <v>441.895575090126</v>
      </c>
      <c r="V37" s="24">
        <f t="shared" si="9"/>
        <v>851.5376867626112</v>
      </c>
      <c r="W37" s="27">
        <f t="shared" si="10"/>
        <v>93.94769162143041</v>
      </c>
      <c r="X37" s="61">
        <f t="shared" si="11"/>
        <v>38.753422793840045</v>
      </c>
      <c r="Y37" s="76">
        <f t="shared" si="12"/>
        <v>152.66499888482443</v>
      </c>
    </row>
    <row r="38" spans="2:25" ht="12.75">
      <c r="B38" t="s">
        <v>1</v>
      </c>
      <c r="C38" s="1">
        <f>SUM(C21:C24)</f>
        <v>4209.5837</v>
      </c>
      <c r="D38" s="1">
        <f>SUM(D21:D24)</f>
        <v>-9180.407599999999</v>
      </c>
      <c r="E38" s="1">
        <f>SUM(E21:E24)</f>
        <v>2035.5753</v>
      </c>
      <c r="H38" s="20" t="s">
        <v>26</v>
      </c>
      <c r="I38" s="20"/>
      <c r="J38" s="20"/>
      <c r="K38" s="20"/>
      <c r="L38" s="20"/>
      <c r="M38" s="49"/>
      <c r="N38" s="49"/>
      <c r="P38" s="18" t="s">
        <v>19</v>
      </c>
      <c r="Q38" s="53">
        <f t="shared" si="5"/>
        <v>22.913361520260207</v>
      </c>
      <c r="R38" s="53">
        <f t="shared" si="6"/>
        <v>4.628959593781817</v>
      </c>
      <c r="S38" s="53">
        <f t="shared" si="7"/>
        <v>23.813168973226897</v>
      </c>
      <c r="T38" s="53">
        <f t="shared" si="8"/>
        <v>-0.8998074529666908</v>
      </c>
      <c r="U38" s="54">
        <f t="shared" si="13"/>
        <v>12.356488213096794</v>
      </c>
      <c r="V38" s="54">
        <f t="shared" si="9"/>
        <v>24.275583142753447</v>
      </c>
      <c r="W38" s="55">
        <f t="shared" si="10"/>
        <v>3295.4924101949314</v>
      </c>
      <c r="X38" s="62">
        <f t="shared" si="11"/>
        <v>1359.3906192054092</v>
      </c>
      <c r="Y38" s="77">
        <f t="shared" si="12"/>
        <v>5355.175166566763</v>
      </c>
    </row>
    <row r="39" spans="3:25" ht="12.75">
      <c r="C39" s="1">
        <f>SUM(C25:C28)</f>
        <v>641.61454</v>
      </c>
      <c r="D39" s="1">
        <f>SUM(D25:D28)</f>
        <v>-4271.3693</v>
      </c>
      <c r="E39" s="1">
        <f>SUM(E25:E28)</f>
        <v>32.13879999999989</v>
      </c>
      <c r="H39" s="22" t="s">
        <v>28</v>
      </c>
      <c r="I39" s="20"/>
      <c r="J39" s="20"/>
      <c r="K39" s="20"/>
      <c r="L39" s="20">
        <v>0.11</v>
      </c>
      <c r="M39" s="49">
        <v>0.25</v>
      </c>
      <c r="N39" s="49">
        <v>0.25</v>
      </c>
      <c r="P39" s="17" t="s">
        <v>20</v>
      </c>
      <c r="Q39" s="25">
        <f t="shared" si="5"/>
        <v>8074.382872357414</v>
      </c>
      <c r="R39" s="25">
        <f t="shared" si="6"/>
        <v>2390.8812462429055</v>
      </c>
      <c r="S39" s="25">
        <f t="shared" si="7"/>
        <v>8729.230206904149</v>
      </c>
      <c r="T39" s="25">
        <f t="shared" si="8"/>
        <v>-654.847334546735</v>
      </c>
      <c r="U39" s="24">
        <f t="shared" si="13"/>
        <v>4692.038770725442</v>
      </c>
      <c r="V39" s="24">
        <f t="shared" si="9"/>
        <v>9074.392440837395</v>
      </c>
      <c r="W39" s="27">
        <f t="shared" si="10"/>
        <v>8.81601721785547</v>
      </c>
      <c r="X39" s="61">
        <f t="shared" si="11"/>
        <v>3.636607102365381</v>
      </c>
      <c r="Y39" s="75">
        <f t="shared" si="12"/>
        <v>14.326027979015139</v>
      </c>
    </row>
    <row r="40" spans="3:25" ht="12.75">
      <c r="C40" s="1">
        <f>SUM(C29:C32)</f>
        <v>33.27392499999999</v>
      </c>
      <c r="D40" s="1">
        <f>SUM(D29:D32)</f>
        <v>-1364.9927599999999</v>
      </c>
      <c r="E40" s="1">
        <f>SUM(E29:E32)</f>
        <v>356.281136</v>
      </c>
      <c r="H40" s="22" t="s">
        <v>94</v>
      </c>
      <c r="I40" s="20"/>
      <c r="J40" s="20"/>
      <c r="K40" s="20" t="s">
        <v>31</v>
      </c>
      <c r="L40" s="20">
        <v>20000</v>
      </c>
      <c r="M40" s="49">
        <v>25000</v>
      </c>
      <c r="N40" s="49">
        <v>11000</v>
      </c>
      <c r="P40" s="17" t="s">
        <v>21</v>
      </c>
      <c r="Q40" s="25">
        <f t="shared" si="5"/>
        <v>132.2728855804648</v>
      </c>
      <c r="R40" s="25">
        <f t="shared" si="6"/>
        <v>97.87702768063704</v>
      </c>
      <c r="S40" s="25">
        <f t="shared" si="7"/>
        <v>184.26324589834107</v>
      </c>
      <c r="T40" s="25">
        <f t="shared" si="8"/>
        <v>-51.99036031787628</v>
      </c>
      <c r="U40" s="24">
        <f t="shared" si="13"/>
        <v>118.12680310810867</v>
      </c>
      <c r="V40" s="24">
        <f t="shared" si="9"/>
        <v>215.02524015233953</v>
      </c>
      <c r="W40" s="27">
        <f t="shared" si="10"/>
        <v>372.04934612942264</v>
      </c>
      <c r="X40" s="61">
        <f t="shared" si="11"/>
        <v>153.47035527838685</v>
      </c>
      <c r="Y40" s="76">
        <f t="shared" si="12"/>
        <v>604.5801874603118</v>
      </c>
    </row>
    <row r="41" spans="3:25" ht="12.75">
      <c r="C41" s="1">
        <f>SUM(C33:C36)</f>
        <v>317.09787000000006</v>
      </c>
      <c r="D41" s="1">
        <f>SUM(D33:D36)</f>
        <v>-8723.419890000001</v>
      </c>
      <c r="E41" s="1">
        <f>SUM(E33:E36)</f>
        <v>-2950.40527</v>
      </c>
      <c r="P41" s="17" t="s">
        <v>22</v>
      </c>
      <c r="Q41" s="25">
        <f t="shared" si="5"/>
        <v>498.33367199650183</v>
      </c>
      <c r="R41" s="25">
        <f t="shared" si="6"/>
        <v>334.4510961268177</v>
      </c>
      <c r="S41" s="25">
        <f t="shared" si="7"/>
        <v>666.22995815341</v>
      </c>
      <c r="T41" s="25">
        <f t="shared" si="8"/>
        <v>-167.89628615690816</v>
      </c>
      <c r="U41" s="24">
        <f t="shared" si="13"/>
        <v>417.0631221551591</v>
      </c>
      <c r="V41" s="24">
        <f t="shared" si="9"/>
        <v>764.1394216678044</v>
      </c>
      <c r="W41" s="27">
        <f t="shared" si="10"/>
        <v>104.69293656567628</v>
      </c>
      <c r="X41" s="61">
        <f t="shared" si="11"/>
        <v>43.18583633334146</v>
      </c>
      <c r="Y41" s="76">
        <f t="shared" si="12"/>
        <v>170.12602191922394</v>
      </c>
    </row>
    <row r="42" spans="16:25" ht="12.75">
      <c r="P42" s="18" t="s">
        <v>23</v>
      </c>
      <c r="Q42" s="53">
        <f t="shared" si="5"/>
        <v>7391.110772904925</v>
      </c>
      <c r="R42" s="53">
        <f t="shared" si="6"/>
        <v>4344.948874595849</v>
      </c>
      <c r="S42" s="53">
        <f t="shared" si="7"/>
        <v>9399.563655835453</v>
      </c>
      <c r="T42" s="53">
        <f t="shared" si="8"/>
        <v>-2008.4528829305282</v>
      </c>
      <c r="U42" s="54">
        <f t="shared" si="13"/>
        <v>5704.008269382991</v>
      </c>
      <c r="V42" s="54">
        <f t="shared" si="9"/>
        <v>10548.187551703204</v>
      </c>
      <c r="W42" s="55">
        <f>a193_yield/V42</f>
        <v>7.584241331306485</v>
      </c>
      <c r="X42" s="62">
        <f>a307_yield/V42</f>
        <v>3.128499549163925</v>
      </c>
      <c r="Y42" s="77">
        <f t="shared" si="12"/>
        <v>12.324392163373037</v>
      </c>
    </row>
    <row r="44" spans="16:19" ht="12.75">
      <c r="P44" s="23" t="s">
        <v>70</v>
      </c>
      <c r="S44" s="23" t="s">
        <v>95</v>
      </c>
    </row>
    <row r="47" ht="12.75">
      <c r="S47" s="23" t="s">
        <v>96</v>
      </c>
    </row>
    <row r="50" ht="12.75">
      <c r="S50" s="23" t="s">
        <v>97</v>
      </c>
    </row>
    <row r="52" ht="12.75">
      <c r="R52" s="23" t="s">
        <v>69</v>
      </c>
    </row>
    <row r="54" spans="16:19" ht="12.75">
      <c r="P54" s="34" t="s">
        <v>71</v>
      </c>
      <c r="Q54" s="35"/>
      <c r="R54" s="35"/>
      <c r="S54" s="35"/>
    </row>
    <row r="55" spans="16:25" ht="12.75">
      <c r="P55" s="37"/>
      <c r="S55" s="23" t="s">
        <v>72</v>
      </c>
      <c r="T55" s="29">
        <v>0.2</v>
      </c>
      <c r="U55" t="s">
        <v>31</v>
      </c>
      <c r="V55" t="s">
        <v>31</v>
      </c>
      <c r="W55" s="15" t="s">
        <v>31</v>
      </c>
      <c r="Y55" s="44" t="s">
        <v>103</v>
      </c>
    </row>
    <row r="56" spans="19:28" ht="12.75">
      <c r="S56" s="23" t="s">
        <v>73</v>
      </c>
      <c r="T56" s="15">
        <v>0.09</v>
      </c>
      <c r="V56" t="s">
        <v>31</v>
      </c>
      <c r="W56" s="15" t="s">
        <v>31</v>
      </c>
      <c r="X56" s="38" t="s">
        <v>31</v>
      </c>
      <c r="Y56" s="29">
        <v>0.15</v>
      </c>
      <c r="Z56" s="39">
        <v>0.15</v>
      </c>
      <c r="AA56" s="39">
        <v>0.15</v>
      </c>
      <c r="AB56" s="81">
        <v>0.09</v>
      </c>
    </row>
    <row r="57" spans="19:28" ht="12.75">
      <c r="S57" t="s">
        <v>86</v>
      </c>
      <c r="T57" s="47">
        <f>1-0.125/2</f>
        <v>0.9375</v>
      </c>
      <c r="U57" t="s">
        <v>87</v>
      </c>
      <c r="X57" s="38" t="s">
        <v>31</v>
      </c>
      <c r="Y57" s="33">
        <f>T57</f>
        <v>0.9375</v>
      </c>
      <c r="Z57" s="52">
        <f>T57</f>
        <v>0.9375</v>
      </c>
      <c r="AA57" s="52">
        <f>T57</f>
        <v>0.9375</v>
      </c>
      <c r="AB57" s="82">
        <f>T57</f>
        <v>0.9375</v>
      </c>
    </row>
    <row r="58" spans="19:28" ht="12.75">
      <c r="S58" s="23" t="s">
        <v>79</v>
      </c>
      <c r="T58" s="31">
        <f>0.67*a193_yield*Bolt_area</f>
        <v>29534.390202922743</v>
      </c>
      <c r="U58" t="s">
        <v>154</v>
      </c>
      <c r="X58" s="38"/>
      <c r="Y58" s="31">
        <f>0.67*a193_yield*Bolt_area</f>
        <v>29534.390202922743</v>
      </c>
      <c r="Z58" s="40">
        <v>25000</v>
      </c>
      <c r="AA58" s="40">
        <v>20000</v>
      </c>
      <c r="AB58" s="83">
        <v>22000</v>
      </c>
    </row>
    <row r="59" spans="21:28" ht="12.75">
      <c r="U59" t="s">
        <v>31</v>
      </c>
      <c r="X59" s="38"/>
      <c r="Z59" s="41"/>
      <c r="AA59" s="41"/>
      <c r="AB59" s="84"/>
    </row>
    <row r="60" spans="24:28" ht="12.75">
      <c r="X60" s="38"/>
      <c r="Z60" s="41"/>
      <c r="AA60" s="41"/>
      <c r="AB60" s="84"/>
    </row>
    <row r="61" spans="19:28" ht="12.75">
      <c r="S61" s="23" t="s">
        <v>78</v>
      </c>
      <c r="T61" s="36">
        <f>1.33*T55*T57*T58/12</f>
        <v>613.7615464044883</v>
      </c>
      <c r="U61" t="s">
        <v>84</v>
      </c>
      <c r="X61" s="38"/>
      <c r="Y61" s="36">
        <f>1.33*Y56*Y57*Y58/12</f>
        <v>460.32115980336624</v>
      </c>
      <c r="Z61" s="42">
        <f>1.33*Z56*Z57*Z58/12</f>
        <v>389.6484375</v>
      </c>
      <c r="AA61" s="42">
        <f>1.33*AA56*AA57*AA58/12</f>
        <v>311.71875</v>
      </c>
      <c r="AB61" s="85">
        <f>1.33*AB56*AB57*AB58/12</f>
        <v>205.734375</v>
      </c>
    </row>
    <row r="62" spans="21:25" ht="12.75">
      <c r="U62" t="s">
        <v>74</v>
      </c>
      <c r="X62" s="86"/>
      <c r="Y62" s="86"/>
    </row>
    <row r="63" spans="19:26" ht="12.75">
      <c r="S63" s="23" t="s">
        <v>80</v>
      </c>
      <c r="T63" s="36">
        <f>1.33*T56*T57*T58/12</f>
        <v>276.19269588201973</v>
      </c>
      <c r="U63" t="s">
        <v>75</v>
      </c>
      <c r="X63" s="86"/>
      <c r="Y63" s="86"/>
      <c r="Z63" t="s">
        <v>31</v>
      </c>
    </row>
    <row r="64" spans="21:25" ht="12.75">
      <c r="U64" t="s">
        <v>76</v>
      </c>
      <c r="X64" s="86"/>
      <c r="Y64" s="86"/>
    </row>
    <row r="65" spans="21:25" ht="12.75">
      <c r="U65" t="s">
        <v>77</v>
      </c>
      <c r="X65" s="86"/>
      <c r="Y65" s="86"/>
    </row>
    <row r="66" spans="24:25" ht="12.75">
      <c r="X66" s="86"/>
      <c r="Y66" s="86"/>
    </row>
    <row r="67" spans="16:25" ht="12.75">
      <c r="P67" s="37" t="s">
        <v>153</v>
      </c>
      <c r="Y67" s="86"/>
    </row>
    <row r="68" spans="18:19" ht="12.75">
      <c r="R68" t="s">
        <v>82</v>
      </c>
      <c r="S68" t="s">
        <v>81</v>
      </c>
    </row>
    <row r="69" ht="12.75">
      <c r="S69" t="s">
        <v>85</v>
      </c>
    </row>
    <row r="70" spans="17:20" ht="12.75">
      <c r="Q70" s="23" t="s">
        <v>145</v>
      </c>
      <c r="R70" s="36">
        <f>0.189*T58*T57/12</f>
        <v>436.0937303400312</v>
      </c>
      <c r="S70" t="s">
        <v>83</v>
      </c>
      <c r="T70" t="s">
        <v>93</v>
      </c>
    </row>
    <row r="71" spans="18:19" ht="12.75">
      <c r="R71" s="15"/>
      <c r="S71" t="s">
        <v>144</v>
      </c>
    </row>
    <row r="72" spans="17:19" ht="12.75">
      <c r="Q72" s="23" t="s">
        <v>145</v>
      </c>
      <c r="R72" s="36">
        <f>0.133*T58*T57/12</f>
        <v>306.88077320224414</v>
      </c>
      <c r="S72" t="s">
        <v>83</v>
      </c>
    </row>
    <row r="73" spans="16:19" ht="12.75">
      <c r="P73" s="78"/>
      <c r="Q73" s="79" t="s">
        <v>152</v>
      </c>
      <c r="R73" s="73">
        <v>229</v>
      </c>
      <c r="S73" s="78" t="s">
        <v>83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N19" sqref="N19"/>
    </sheetView>
  </sheetViews>
  <sheetFormatPr defaultColWidth="9.140625" defaultRowHeight="12.75"/>
  <cols>
    <col min="1" max="1" width="3.140625" style="0" customWidth="1"/>
    <col min="2" max="2" width="27.57421875" style="0" customWidth="1"/>
    <col min="3" max="3" width="6.28125" style="0" customWidth="1"/>
    <col min="4" max="4" width="9.140625" style="0" customWidth="1"/>
    <col min="5" max="5" width="13.57421875" style="0" customWidth="1"/>
    <col min="7" max="7" width="9.57421875" style="0" customWidth="1"/>
  </cols>
  <sheetData>
    <row r="1" ht="12.75">
      <c r="B1" s="46" t="s">
        <v>139</v>
      </c>
    </row>
    <row r="4" spans="1:6" ht="12.75">
      <c r="A4" s="72">
        <v>1</v>
      </c>
      <c r="B4" s="65" t="s">
        <v>42</v>
      </c>
      <c r="C4" s="15" t="s">
        <v>3</v>
      </c>
      <c r="D4" s="26">
        <v>80000</v>
      </c>
      <c r="F4" s="19" t="s">
        <v>118</v>
      </c>
    </row>
    <row r="5" spans="3:8" ht="12.75">
      <c r="C5" s="15" t="s">
        <v>104</v>
      </c>
      <c r="D5" s="26">
        <v>100000</v>
      </c>
      <c r="F5" s="15" t="s">
        <v>106</v>
      </c>
      <c r="G5" s="31">
        <f>D5/3</f>
        <v>33333.333333333336</v>
      </c>
      <c r="H5" t="s">
        <v>112</v>
      </c>
    </row>
    <row r="6" spans="2:8" ht="12.75">
      <c r="B6" s="23" t="s">
        <v>105</v>
      </c>
      <c r="D6">
        <v>1.375</v>
      </c>
      <c r="G6" s="23" t="s">
        <v>116</v>
      </c>
      <c r="H6" s="31">
        <f>0.6*D4</f>
        <v>48000</v>
      </c>
    </row>
    <row r="7" spans="2:9" ht="12.75">
      <c r="B7" s="23" t="s">
        <v>109</v>
      </c>
      <c r="D7" s="8">
        <f>PI()*D6^2/4</f>
        <v>1.4848934026733007</v>
      </c>
      <c r="G7" s="23" t="s">
        <v>113</v>
      </c>
      <c r="H7" s="31">
        <f>H6/2</f>
        <v>24000</v>
      </c>
      <c r="I7" t="s">
        <v>133</v>
      </c>
    </row>
    <row r="9" spans="3:7" ht="12.75">
      <c r="C9" s="23" t="s">
        <v>107</v>
      </c>
      <c r="D9" s="63">
        <f>H7*D7</f>
        <v>35637.44166415922</v>
      </c>
      <c r="E9" t="s">
        <v>108</v>
      </c>
      <c r="F9" s="23"/>
      <c r="G9" s="63"/>
    </row>
    <row r="10" spans="3:4" ht="12.75">
      <c r="C10" s="23" t="s">
        <v>110</v>
      </c>
      <c r="D10" s="63">
        <f>D9*2</f>
        <v>71274.88332831844</v>
      </c>
    </row>
    <row r="12" spans="3:5" ht="12.75">
      <c r="C12" s="23" t="s">
        <v>111</v>
      </c>
      <c r="D12" s="26">
        <v>34000</v>
      </c>
      <c r="E12" t="s">
        <v>108</v>
      </c>
    </row>
    <row r="14" spans="3:4" ht="12.75">
      <c r="C14" s="23" t="s">
        <v>114</v>
      </c>
      <c r="D14" s="1">
        <f>D10/D12</f>
        <v>2.0963200978917187</v>
      </c>
    </row>
    <row r="15" spans="3:4" ht="12.75">
      <c r="C15" s="23" t="s">
        <v>117</v>
      </c>
      <c r="D15" s="64">
        <f>D14*2</f>
        <v>4.192640195783437</v>
      </c>
    </row>
    <row r="16" ht="12.75">
      <c r="C16" s="23"/>
    </row>
    <row r="19" spans="1:6" ht="12.75">
      <c r="A19" s="72">
        <v>2</v>
      </c>
      <c r="B19" s="65" t="s">
        <v>115</v>
      </c>
      <c r="C19" s="15" t="s">
        <v>3</v>
      </c>
      <c r="D19" s="26">
        <v>85000</v>
      </c>
      <c r="F19" s="19" t="s">
        <v>118</v>
      </c>
    </row>
    <row r="20" spans="2:8" ht="12.75">
      <c r="B20" t="s">
        <v>143</v>
      </c>
      <c r="C20" s="15" t="s">
        <v>104</v>
      </c>
      <c r="D20" s="26">
        <v>130000</v>
      </c>
      <c r="F20" s="15" t="s">
        <v>106</v>
      </c>
      <c r="G20" s="31">
        <f>D20/3</f>
        <v>43333.333333333336</v>
      </c>
      <c r="H20" t="s">
        <v>112</v>
      </c>
    </row>
    <row r="21" spans="2:8" ht="12.75">
      <c r="B21" s="23" t="s">
        <v>105</v>
      </c>
      <c r="D21">
        <v>1.375</v>
      </c>
      <c r="G21" s="23" t="s">
        <v>116</v>
      </c>
      <c r="H21" s="31">
        <f>0.6*D19</f>
        <v>51000</v>
      </c>
    </row>
    <row r="22" spans="2:8" ht="12.75">
      <c r="B22" s="23" t="s">
        <v>109</v>
      </c>
      <c r="D22" s="8">
        <f>PI()*D21^2/4</f>
        <v>1.4848934026733007</v>
      </c>
      <c r="G22" s="23" t="s">
        <v>113</v>
      </c>
      <c r="H22" s="31">
        <f>H21/2</f>
        <v>25500</v>
      </c>
    </row>
    <row r="24" spans="3:5" ht="12.75">
      <c r="C24" s="23" t="s">
        <v>107</v>
      </c>
      <c r="D24" s="63">
        <f>H22*D22</f>
        <v>37864.78176816917</v>
      </c>
      <c r="E24" t="s">
        <v>108</v>
      </c>
    </row>
    <row r="25" spans="3:4" ht="12.75">
      <c r="C25" s="23" t="s">
        <v>110</v>
      </c>
      <c r="D25" s="63">
        <f>D24*2</f>
        <v>75729.56353633833</v>
      </c>
    </row>
    <row r="27" spans="3:5" ht="12.75">
      <c r="C27" s="23" t="s">
        <v>111</v>
      </c>
      <c r="D27" s="26">
        <v>34000</v>
      </c>
      <c r="E27" t="s">
        <v>108</v>
      </c>
    </row>
    <row r="29" spans="3:4" ht="12.75">
      <c r="C29" s="23" t="s">
        <v>114</v>
      </c>
      <c r="D29" s="1">
        <f>D25/D27</f>
        <v>2.227340104009951</v>
      </c>
    </row>
    <row r="30" spans="3:4" ht="12.75">
      <c r="C30" s="23" t="s">
        <v>117</v>
      </c>
      <c r="D30" s="64">
        <f>D29*2</f>
        <v>4.454680208019902</v>
      </c>
    </row>
    <row r="31" ht="12.75">
      <c r="C31" s="23"/>
    </row>
    <row r="33" spans="1:5" ht="12.75">
      <c r="A33" s="72">
        <v>3</v>
      </c>
      <c r="B33" s="66" t="s">
        <v>142</v>
      </c>
      <c r="C33" s="20"/>
      <c r="E33" s="44" t="s">
        <v>136</v>
      </c>
    </row>
    <row r="34" spans="3:4" ht="12.75">
      <c r="C34" s="15"/>
      <c r="D34" s="26"/>
    </row>
    <row r="35" spans="2:6" ht="12.75">
      <c r="B35" s="23" t="s">
        <v>137</v>
      </c>
      <c r="C35" s="15" t="s">
        <v>3</v>
      </c>
      <c r="D35" s="26">
        <v>36000</v>
      </c>
      <c r="F35" s="19" t="s">
        <v>118</v>
      </c>
    </row>
    <row r="36" spans="3:8" ht="12.75">
      <c r="C36" s="15" t="s">
        <v>104</v>
      </c>
      <c r="D36" s="26">
        <v>58000</v>
      </c>
      <c r="F36" s="15" t="s">
        <v>106</v>
      </c>
      <c r="G36" s="31">
        <f>D36/3</f>
        <v>19333.333333333332</v>
      </c>
      <c r="H36" t="s">
        <v>112</v>
      </c>
    </row>
    <row r="37" spans="3:6" ht="12.75">
      <c r="C37" s="15"/>
      <c r="D37" s="26"/>
      <c r="F37" s="15"/>
    </row>
    <row r="38" spans="4:6" ht="12.75">
      <c r="D38" s="71" t="s">
        <v>132</v>
      </c>
      <c r="F38" s="71" t="s">
        <v>131</v>
      </c>
    </row>
    <row r="39" spans="2:6" ht="12.75">
      <c r="B39" s="23" t="s">
        <v>120</v>
      </c>
      <c r="C39" s="23" t="s">
        <v>121</v>
      </c>
      <c r="D39" s="69">
        <v>4</v>
      </c>
      <c r="F39" s="69">
        <v>5</v>
      </c>
    </row>
    <row r="40" spans="3:6" ht="12.75">
      <c r="C40" s="23" t="s">
        <v>119</v>
      </c>
      <c r="D40" s="69">
        <v>1</v>
      </c>
      <c r="F40" s="69">
        <v>2.25</v>
      </c>
    </row>
    <row r="41" spans="3:6" ht="12.75">
      <c r="C41" s="23" t="s">
        <v>122</v>
      </c>
      <c r="D41" s="70">
        <v>1.469</v>
      </c>
      <c r="F41" s="70">
        <v>1.75</v>
      </c>
    </row>
    <row r="42" spans="3:7" ht="12.75">
      <c r="C42" s="23" t="s">
        <v>123</v>
      </c>
      <c r="D42" s="1">
        <f>D39*D40-PI()*D41^2/4</f>
        <v>2.3051413939166787</v>
      </c>
      <c r="E42" t="s">
        <v>124</v>
      </c>
      <c r="F42" s="1">
        <f>F39*F40-PI()*F41^2/4</f>
        <v>8.844718124595314</v>
      </c>
      <c r="G42" t="s">
        <v>124</v>
      </c>
    </row>
    <row r="43" spans="3:7" ht="12.75">
      <c r="C43" s="23" t="s">
        <v>130</v>
      </c>
      <c r="D43" s="63">
        <f>D42*G36</f>
        <v>44566.066949055785</v>
      </c>
      <c r="E43" t="s">
        <v>125</v>
      </c>
      <c r="F43" s="63">
        <f>F42*G36</f>
        <v>170997.88374217605</v>
      </c>
      <c r="G43" t="s">
        <v>125</v>
      </c>
    </row>
    <row r="44" spans="3:7" ht="12.75">
      <c r="C44" s="23" t="s">
        <v>126</v>
      </c>
      <c r="D44" s="63">
        <f>2*D42*G36</f>
        <v>89132.13389811157</v>
      </c>
      <c r="E44" t="s">
        <v>125</v>
      </c>
      <c r="G44" t="s">
        <v>31</v>
      </c>
    </row>
    <row r="46" spans="3:7" ht="12.75">
      <c r="C46" s="23" t="s">
        <v>111</v>
      </c>
      <c r="D46" s="26">
        <v>34000</v>
      </c>
      <c r="E46" t="s">
        <v>108</v>
      </c>
      <c r="F46" s="26">
        <v>34000</v>
      </c>
      <c r="G46" t="s">
        <v>108</v>
      </c>
    </row>
    <row r="48" spans="3:6" ht="12.75">
      <c r="C48" s="23" t="s">
        <v>127</v>
      </c>
      <c r="D48" s="64">
        <f>D44/D46</f>
        <v>2.6215333499444577</v>
      </c>
      <c r="F48" s="64">
        <f>F43/F46</f>
        <v>5.029349521828707</v>
      </c>
    </row>
    <row r="49" spans="3:6" ht="12.75">
      <c r="C49" s="23" t="s">
        <v>134</v>
      </c>
      <c r="D49" s="1">
        <f>D42*D35*2/D46</f>
        <v>4.881475893000025</v>
      </c>
      <c r="F49" s="1">
        <f>F42*D35/F46</f>
        <v>9.364995661336215</v>
      </c>
    </row>
    <row r="50" spans="3:6" ht="12.75">
      <c r="C50" s="23" t="s">
        <v>128</v>
      </c>
      <c r="D50" s="64">
        <f>D48*3</f>
        <v>7.864600049833373</v>
      </c>
      <c r="F50" s="64">
        <f>F48*3</f>
        <v>15.088048565486122</v>
      </c>
    </row>
    <row r="52" spans="2:5" ht="12.75">
      <c r="B52" s="68" t="s">
        <v>129</v>
      </c>
      <c r="C52" s="15" t="s">
        <v>3</v>
      </c>
      <c r="D52" s="26">
        <v>85000</v>
      </c>
      <c r="E52" s="67" t="s">
        <v>135</v>
      </c>
    </row>
    <row r="53" spans="3:4" ht="12.75">
      <c r="C53" s="15" t="s">
        <v>104</v>
      </c>
      <c r="D53" s="26">
        <v>130000</v>
      </c>
    </row>
    <row r="54" ht="12.75">
      <c r="C54" s="44" t="s">
        <v>138</v>
      </c>
    </row>
  </sheetData>
  <printOptions/>
  <pageMargins left="0.75" right="0.75" top="1" bottom="1" header="0.5" footer="0.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cp:lastPrinted>2007-12-04T14:03:10Z</cp:lastPrinted>
  <dcterms:created xsi:type="dcterms:W3CDTF">2007-11-19T15:11:33Z</dcterms:created>
  <dcterms:modified xsi:type="dcterms:W3CDTF">2007-12-07T20:01:48Z</dcterms:modified>
  <cp:category/>
  <cp:version/>
  <cp:contentType/>
  <cp:contentStatus/>
</cp:coreProperties>
</file>