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71" windowWidth="19320" windowHeight="12420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a">'Sheet1'!$D$12</definedName>
    <definedName name="ac">'Sheet1'!#REF!</definedName>
    <definedName name="ai">'Sheet1'!#REF!</definedName>
    <definedName name="au">'Sheet1'!#REF!</definedName>
    <definedName name="Bi">'Sheet1'!$Q$65:$Q$65</definedName>
    <definedName name="Cp">'Sheet1'!$D$8</definedName>
    <definedName name="d">'Sheet1'!$C$26:$C$28</definedName>
    <definedName name="dT">'Sheet1'!$J$26:$J$27</definedName>
    <definedName name="f">'Sheet1'!$G$26:$G$28</definedName>
    <definedName name="g">'Sheet1'!$I$10</definedName>
    <definedName name="h">'Sheet1'!$H$26:$H$27</definedName>
    <definedName name="I">'Sheet1'!#REF!</definedName>
    <definedName name="Ij">'Sheet1'!#REF!</definedName>
    <definedName name="k">'Sheet1'!$D$10</definedName>
    <definedName name="kc">'Sheet1'!$D$19</definedName>
    <definedName name="ki">'Sheet1'!#REF!</definedName>
    <definedName name="ko">'Sheet1'!$I$17</definedName>
    <definedName name="L">'Sheet1'!$D$7</definedName>
    <definedName name="Le">'Sheet1'!#REF!</definedName>
    <definedName name="m">'Sheet1'!$E$26:$E$27</definedName>
    <definedName name="mc">'Sheet1'!#REF!</definedName>
    <definedName name="n">'Sheet1'!$I$9</definedName>
    <definedName name="p">'Sheet1'!$D$9</definedName>
    <definedName name="pc">'Sheet1'!$D$18</definedName>
    <definedName name="Pi">'Sheet1'!$I$11</definedName>
    <definedName name="po">'Sheet1'!$D$15</definedName>
    <definedName name="Pr">'Sheet1'!$D$13</definedName>
    <definedName name="Pt">'Sheet1'!$M$26:$M$27</definedName>
    <definedName name="Q">'Sheet1'!#REF!</definedName>
    <definedName name="Qi">'Sheet1'!$I$26:$I$27</definedName>
    <definedName name="Re">'Sheet1'!$F$26:$F$28</definedName>
    <definedName name="Rj">'Sheet1'!#REF!</definedName>
    <definedName name="Ro">'Sheet1'!$D$16</definedName>
    <definedName name="t">'Sheet1'!$C$19:$C$24</definedName>
    <definedName name="Tf">'Sheet1'!$I$13</definedName>
    <definedName name="Th">'Sheet1'!$L$26:$L$26</definedName>
    <definedName name="ti">'Sheet1'!#REF!</definedName>
    <definedName name="To">'Sheet1'!$I$12</definedName>
    <definedName name="Tw">'Sheet1'!#REF!</definedName>
    <definedName name="u">'Sheet1'!$D$11</definedName>
    <definedName name="v">'Sheet1'!$D$14</definedName>
    <definedName name="ve">'Sheet1'!$M$26:$M$28</definedName>
    <definedName name="vi">'Sheet1'!$D$26:$D$28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<sst xmlns="http://schemas.openxmlformats.org/spreadsheetml/2006/main" count="232" uniqueCount="176">
  <si>
    <t>po=</t>
  </si>
  <si>
    <t>atmos</t>
  </si>
  <si>
    <t>Pi=</t>
  </si>
  <si>
    <t>g=</t>
  </si>
  <si>
    <t>cm/s^2</t>
  </si>
  <si>
    <t>Cp=</t>
  </si>
  <si>
    <t>Pr=</t>
  </si>
  <si>
    <t>p=</t>
  </si>
  <si>
    <t>v=</t>
  </si>
  <si>
    <t>He kin. visc. (cm^2/s)</t>
  </si>
  <si>
    <t>k=</t>
  </si>
  <si>
    <t>d=</t>
  </si>
  <si>
    <t>tube id  (cm)</t>
  </si>
  <si>
    <t>u=</t>
  </si>
  <si>
    <t>L=</t>
  </si>
  <si>
    <t>a=</t>
  </si>
  <si>
    <t>Ro=</t>
  </si>
  <si>
    <t>flow at inlet (l/s)</t>
  </si>
  <si>
    <t>Re=vel*d/v</t>
  </si>
  <si>
    <t>Pt=.968*f*L*p*Ve^2*10^-3/(2*d*g)</t>
  </si>
  <si>
    <t>pressure</t>
  </si>
  <si>
    <t xml:space="preserve">entrance vel  </t>
  </si>
  <si>
    <t>Mass</t>
  </si>
  <si>
    <t>film coef</t>
  </si>
  <si>
    <t>heat transfer</t>
  </si>
  <si>
    <t xml:space="preserve">Bulk Temp </t>
  </si>
  <si>
    <t>drop</t>
  </si>
  <si>
    <t xml:space="preserve"> (m/s)</t>
  </si>
  <si>
    <t>flow(g/s)</t>
  </si>
  <si>
    <t>(w/cm^2-K)</t>
  </si>
  <si>
    <t>vi</t>
  </si>
  <si>
    <t>m</t>
  </si>
  <si>
    <t>Re</t>
  </si>
  <si>
    <t>f</t>
  </si>
  <si>
    <t>h</t>
  </si>
  <si>
    <t>Th</t>
  </si>
  <si>
    <t>Pt</t>
  </si>
  <si>
    <t>exit vel</t>
  </si>
  <si>
    <t>ve</t>
  </si>
  <si>
    <t>m/s</t>
  </si>
  <si>
    <t>d</t>
  </si>
  <si>
    <t>f=.316/Re^.25</t>
  </si>
  <si>
    <t>pressure(atmos)</t>
  </si>
  <si>
    <t>friction</t>
  </si>
  <si>
    <t>Reynolds</t>
  </si>
  <si>
    <t>film coef.(w/cm^2-K)</t>
  </si>
  <si>
    <t>spec ht(J/g-K)</t>
  </si>
  <si>
    <t>density(g/cm^3)</t>
  </si>
  <si>
    <t>dyn visc.(g/cm-s)</t>
  </si>
  <si>
    <t>Prandtl</t>
  </si>
  <si>
    <t>n=</t>
  </si>
  <si>
    <t>average</t>
  </si>
  <si>
    <t>cm</t>
  </si>
  <si>
    <t>diffus.(cm^2/s)</t>
  </si>
  <si>
    <t>cond.(w/cmK)</t>
  </si>
  <si>
    <t>To=</t>
  </si>
  <si>
    <t>tracing length (m)</t>
  </si>
  <si>
    <t>(atmos/m)</t>
  </si>
  <si>
    <t>total</t>
  </si>
  <si>
    <t>cm^2</t>
  </si>
  <si>
    <t>inch</t>
  </si>
  <si>
    <t>ID</t>
  </si>
  <si>
    <t>flow</t>
  </si>
  <si>
    <t>cfm</t>
  </si>
  <si>
    <t>ITEM</t>
  </si>
  <si>
    <t>LENGTH</t>
  </si>
  <si>
    <t>NO</t>
  </si>
  <si>
    <t>MODEL</t>
  </si>
  <si>
    <t>(in)</t>
  </si>
  <si>
    <t>(cm)</t>
  </si>
  <si>
    <t>SE123-011.PRT</t>
  </si>
  <si>
    <t>SE123-012.PRT</t>
  </si>
  <si>
    <t>SE123-013.PRT</t>
  </si>
  <si>
    <t>SE123-014.PRT</t>
  </si>
  <si>
    <t>SE123-015.PRT</t>
  </si>
  <si>
    <t>SE123-016.PRT</t>
  </si>
  <si>
    <t>SE123-017.PRT</t>
  </si>
  <si>
    <t>SE123-018.PRT</t>
  </si>
  <si>
    <t>SE123-019.PRT</t>
  </si>
  <si>
    <t>SE123-020.PRT</t>
  </si>
  <si>
    <t>SE123-021.PRT</t>
  </si>
  <si>
    <t>SE123-022.PRT</t>
  </si>
  <si>
    <t>SE123-023.PRT</t>
  </si>
  <si>
    <t>SE123-024.PRT</t>
  </si>
  <si>
    <t>SE123-025.PRT</t>
  </si>
  <si>
    <t>SE123-026.PRT</t>
  </si>
  <si>
    <t xml:space="preserve">PRESSURE </t>
  </si>
  <si>
    <t>velocity</t>
  </si>
  <si>
    <t>0.968*f*100*p*((vi+ve)*0.5*100)^2*10^-3/(2*d*g)</t>
  </si>
  <si>
    <t>Mass flow</t>
  </si>
  <si>
    <t>(g/s)</t>
  </si>
  <si>
    <t>bulk</t>
  </si>
  <si>
    <t xml:space="preserve">pressure </t>
  </si>
  <si>
    <t>drop total</t>
  </si>
  <si>
    <t>atmos/m</t>
  </si>
  <si>
    <t>Iterative soln:</t>
  </si>
  <si>
    <t xml:space="preserve">DROP(trial) </t>
  </si>
  <si>
    <t>number of tracing loops for entire vessel</t>
  </si>
  <si>
    <t>Actual flow through individual traces of a half period.</t>
  </si>
  <si>
    <t>bulk dT</t>
  </si>
  <si>
    <t>Vessel surface area =</t>
  </si>
  <si>
    <t>(excluding ports)</t>
  </si>
  <si>
    <t>av=</t>
  </si>
  <si>
    <t>av. length(m)</t>
  </si>
  <si>
    <t>av</t>
  </si>
  <si>
    <t>total length(m)</t>
  </si>
  <si>
    <t>THROUGH VESSEL TRACING .</t>
  </si>
  <si>
    <t>of He (C)</t>
  </si>
  <si>
    <t xml:space="preserve">temp(C) </t>
  </si>
  <si>
    <t>inlet vel</t>
  </si>
  <si>
    <t>total mass flow(g)</t>
  </si>
  <si>
    <t>total(g)</t>
  </si>
  <si>
    <t xml:space="preserve"> av</t>
  </si>
  <si>
    <t>Tf=</t>
  </si>
  <si>
    <t>192 tubes, 16 types</t>
  </si>
  <si>
    <t>total flow per half period(l/s)</t>
  </si>
  <si>
    <t>5/16" tubing</t>
  </si>
  <si>
    <t>Helium heated tracing at 623 K.</t>
  </si>
  <si>
    <t>NCSX BAKEOUT WITH HEATED HELIUM</t>
  </si>
  <si>
    <t>temp drop</t>
  </si>
  <si>
    <t>Estimate nominal heating parameters.</t>
  </si>
  <si>
    <t>coolant  in temp(C)</t>
  </si>
  <si>
    <t>VV  temp(C)</t>
  </si>
  <si>
    <t>h=.023*Re^.8*Pr^.3*k/d</t>
  </si>
  <si>
    <t>350C He</t>
  </si>
  <si>
    <t>Total Heat Added(kW)=</t>
  </si>
  <si>
    <t>Qi</t>
  </si>
  <si>
    <t>into Liner tube(w)</t>
  </si>
  <si>
    <t>in He(K)</t>
  </si>
  <si>
    <t>across wall</t>
  </si>
  <si>
    <t>(K)</t>
  </si>
  <si>
    <t>av.(m)</t>
  </si>
  <si>
    <t>total (m)</t>
  </si>
  <si>
    <t>Model</t>
  </si>
  <si>
    <t>No</t>
  </si>
  <si>
    <t>Item</t>
  </si>
  <si>
    <t>Length</t>
  </si>
  <si>
    <t xml:space="preserve">Pressure </t>
  </si>
  <si>
    <t>Temp drop</t>
  </si>
  <si>
    <t>Bulk</t>
  </si>
  <si>
    <t>Exit vel</t>
  </si>
  <si>
    <t>Inlet vel</t>
  </si>
  <si>
    <t>bulk dT(K)</t>
  </si>
  <si>
    <t>(atmos)</t>
  </si>
  <si>
    <t>(m/s)</t>
  </si>
  <si>
    <t xml:space="preserve">Drop </t>
  </si>
  <si>
    <t>av.</t>
  </si>
  <si>
    <t>Film coef</t>
  </si>
  <si>
    <r>
      <t>Pads-</t>
    </r>
    <r>
      <rPr>
        <sz val="10"/>
        <rFont val="Geneva"/>
        <family val="0"/>
      </rPr>
      <t>Assume 1920, 1.25" long.</t>
    </r>
  </si>
  <si>
    <t>kg/hr</t>
  </si>
  <si>
    <t>kg</t>
  </si>
  <si>
    <t>Vessel heat content gain going from 20 C to 350 C</t>
  </si>
  <si>
    <t>MJ</t>
  </si>
  <si>
    <t>Time=</t>
  </si>
  <si>
    <t>hours</t>
  </si>
  <si>
    <t>Heat gain=</t>
  </si>
  <si>
    <t>17.5 kW</t>
  </si>
  <si>
    <t>total area(in^2)</t>
  </si>
  <si>
    <t>equiv. dia (in)</t>
  </si>
  <si>
    <t>Tracing</t>
  </si>
  <si>
    <t>Supply Header</t>
  </si>
  <si>
    <t>Ring header</t>
  </si>
  <si>
    <t>Entrance length</t>
  </si>
  <si>
    <t>90 degree elbow length</t>
  </si>
  <si>
    <t>Pressure drop</t>
  </si>
  <si>
    <t>equiv (cm)</t>
  </si>
  <si>
    <t xml:space="preserve">Exit length </t>
  </si>
  <si>
    <t>Total length</t>
  </si>
  <si>
    <t>Actual length</t>
  </si>
  <si>
    <t>Total pressure drop in supply header</t>
  </si>
  <si>
    <t>Uses .63 cm ID tube above.</t>
  </si>
  <si>
    <t>tables</t>
  </si>
  <si>
    <t xml:space="preserve">         Weight =           24000 lbs</t>
  </si>
  <si>
    <t>Net temperature of gas =</t>
  </si>
  <si>
    <t>Wall temp delta T across film =</t>
  </si>
  <si>
    <t>ft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</si>
</sst>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000000"/>
    <numFmt numFmtId="170" formatCode="0.E+00"/>
    <numFmt numFmtId="171" formatCode="0.000E+00"/>
    <numFmt numFmtId="172" formatCode="0.00000000"/>
    <numFmt numFmtId="173" formatCode="0.000000000"/>
    <numFmt numFmtId="174" formatCode="#,##0.0_);\(#,##0.0\)"/>
    <numFmt numFmtId="175" formatCode="0.0000000000"/>
    <numFmt numFmtId="176" formatCode="0.00000000000"/>
    <numFmt numFmtId="177" formatCode="0.000000000000"/>
    <numFmt numFmtId="178" formatCode="0.000E+00;\⩐"/>
    <numFmt numFmtId="179" formatCode="0.000E+00;\ࣰ"/>
    <numFmt numFmtId="180" formatCode="0.00E+00;\ࣰ"/>
    <numFmt numFmtId="181" formatCode="0.0E+00"/>
    <numFmt numFmtId="182" formatCode="0E+00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8"/>
      <name val="Geneva"/>
      <family val="0"/>
    </font>
    <font>
      <u val="single"/>
      <sz val="10"/>
      <name val="Geneva"/>
      <family val="0"/>
    </font>
    <font>
      <sz val="10"/>
      <color indexed="12"/>
      <name val="Geneva"/>
      <family val="0"/>
    </font>
    <font>
      <b/>
      <sz val="10"/>
      <color indexed="10"/>
      <name val="Geneva"/>
      <family val="0"/>
    </font>
    <font>
      <sz val="10"/>
      <color indexed="50"/>
      <name val="Geneva"/>
      <family val="0"/>
    </font>
    <font>
      <sz val="10"/>
      <color indexed="17"/>
      <name val="Geneva"/>
      <family val="0"/>
    </font>
    <font>
      <sz val="10"/>
      <color indexed="14"/>
      <name val="Geneva"/>
      <family val="0"/>
    </font>
    <font>
      <sz val="10"/>
      <color indexed="56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sz val="10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1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1" fontId="0" fillId="0" borderId="0" xfId="0" applyNumberFormat="1" applyBorder="1" applyAlignment="1">
      <alignment horizontal="left"/>
    </xf>
    <xf numFmtId="0" fontId="6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righ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11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164" fontId="10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1" fontId="12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0" fillId="0" borderId="1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/>
    </xf>
    <xf numFmtId="168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2" fontId="0" fillId="0" borderId="0" xfId="0" applyNumberFormat="1" applyAlignment="1">
      <alignment horizontal="left"/>
    </xf>
    <xf numFmtId="168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16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168" fontId="12" fillId="0" borderId="0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8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left"/>
    </xf>
    <xf numFmtId="11" fontId="4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83</xdr:row>
      <xdr:rowOff>152400</xdr:rowOff>
    </xdr:from>
    <xdr:ext cx="114300" cy="266700"/>
    <xdr:sp>
      <xdr:nvSpPr>
        <xdr:cNvPr id="1" name="TextBox 34"/>
        <xdr:cNvSpPr txBox="1">
          <a:spLocks noChangeArrowheads="1"/>
        </xdr:cNvSpPr>
      </xdr:nvSpPr>
      <xdr:spPr>
        <a:xfrm>
          <a:off x="14592300" y="136779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9"/>
  <sheetViews>
    <sheetView tabSelected="1" zoomScale="75" zoomScaleNormal="75" workbookViewId="0" topLeftCell="A1">
      <selection activeCell="A15" sqref="A15"/>
    </sheetView>
  </sheetViews>
  <sheetFormatPr defaultColWidth="9.00390625" defaultRowHeight="12.75"/>
  <cols>
    <col min="1" max="1" width="12.00390625" style="0" customWidth="1"/>
    <col min="2" max="2" width="19.875" style="0" customWidth="1"/>
    <col min="3" max="3" width="14.875" style="0" customWidth="1"/>
    <col min="4" max="4" width="17.125" style="0" customWidth="1"/>
    <col min="5" max="5" width="19.25390625" style="0" customWidth="1"/>
    <col min="6" max="6" width="12.125" style="0" customWidth="1"/>
    <col min="7" max="8" width="12.625" style="0" customWidth="1"/>
    <col min="9" max="9" width="16.00390625" style="0" customWidth="1"/>
    <col min="10" max="10" width="11.75390625" style="0" customWidth="1"/>
    <col min="11" max="11" width="9.625" style="0" customWidth="1"/>
    <col min="12" max="12" width="10.75390625" style="0" customWidth="1"/>
    <col min="13" max="13" width="10.375" style="0" customWidth="1"/>
    <col min="14" max="14" width="11.875" style="0" customWidth="1"/>
    <col min="15" max="15" width="8.625" style="0" customWidth="1"/>
    <col min="16" max="16" width="9.875" style="0" customWidth="1"/>
    <col min="17" max="17" width="9.25390625" style="0" customWidth="1"/>
    <col min="18" max="18" width="8.75390625" style="0" customWidth="1"/>
    <col min="19" max="19" width="8.125" style="0" customWidth="1"/>
    <col min="20" max="20" width="9.75390625" style="0" customWidth="1"/>
    <col min="21" max="16384" width="11.375" style="0" customWidth="1"/>
  </cols>
  <sheetData>
    <row r="1" spans="2:8" ht="15.75">
      <c r="B1" s="77" t="s">
        <v>118</v>
      </c>
      <c r="C1" s="16"/>
      <c r="D1" s="9"/>
      <c r="H1" s="12">
        <v>38274</v>
      </c>
    </row>
    <row r="2" spans="2:8" ht="15.75">
      <c r="B2" s="80" t="s">
        <v>106</v>
      </c>
      <c r="D2" s="9"/>
      <c r="H2" s="12"/>
    </row>
    <row r="3" spans="2:8" ht="12.75">
      <c r="B3" s="2" t="s">
        <v>117</v>
      </c>
      <c r="C3" s="9"/>
      <c r="D3" s="9"/>
      <c r="F3" s="9"/>
      <c r="H3" s="12"/>
    </row>
    <row r="4" spans="2:8" ht="12.75">
      <c r="B4" s="36" t="s">
        <v>156</v>
      </c>
      <c r="C4" s="24"/>
      <c r="D4" s="25"/>
      <c r="H4" s="12"/>
    </row>
    <row r="5" spans="2:10" ht="12.75">
      <c r="B5" t="s">
        <v>114</v>
      </c>
      <c r="G5" s="1" t="s">
        <v>100</v>
      </c>
      <c r="H5" s="75">
        <f>123740*0.5*2.54^2</f>
        <v>399160.492</v>
      </c>
      <c r="I5" t="s">
        <v>59</v>
      </c>
      <c r="J5" s="7"/>
    </row>
    <row r="6" spans="2:9" ht="12.75">
      <c r="B6" s="91" t="s">
        <v>116</v>
      </c>
      <c r="C6" s="92"/>
      <c r="G6" t="s">
        <v>101</v>
      </c>
      <c r="H6" s="2"/>
      <c r="I6" s="2"/>
    </row>
    <row r="7" spans="3:7" ht="12.75">
      <c r="C7" s="34" t="s">
        <v>14</v>
      </c>
      <c r="D7" s="101">
        <f>E54</f>
        <v>5.5114434475</v>
      </c>
      <c r="E7" t="s">
        <v>56</v>
      </c>
      <c r="G7" s="15"/>
    </row>
    <row r="8" spans="3:9" ht="12.75">
      <c r="C8" s="34" t="s">
        <v>5</v>
      </c>
      <c r="D8" s="87">
        <f>1.242*4.184</f>
        <v>5.196528</v>
      </c>
      <c r="E8" t="s">
        <v>46</v>
      </c>
      <c r="H8" s="1" t="s">
        <v>11</v>
      </c>
      <c r="I8" t="s">
        <v>12</v>
      </c>
    </row>
    <row r="9" spans="3:10" ht="12.75">
      <c r="C9" s="34" t="s">
        <v>7</v>
      </c>
      <c r="D9" s="53">
        <f>0.0032*300/623</f>
        <v>0.0015409309791332264</v>
      </c>
      <c r="E9" t="s">
        <v>47</v>
      </c>
      <c r="H9" s="1" t="s">
        <v>50</v>
      </c>
      <c r="I9" s="3">
        <f>32*3*2</f>
        <v>192</v>
      </c>
      <c r="J9" t="s">
        <v>97</v>
      </c>
    </row>
    <row r="10" spans="3:10" ht="12.75">
      <c r="C10" s="34" t="s">
        <v>10</v>
      </c>
      <c r="D10" s="53">
        <f>0.0016*0.145/0.098</f>
        <v>0.0023673469387755102</v>
      </c>
      <c r="E10" t="s">
        <v>54</v>
      </c>
      <c r="H10" s="1" t="s">
        <v>3</v>
      </c>
      <c r="I10" s="3">
        <f>980</f>
        <v>980</v>
      </c>
      <c r="J10" t="s">
        <v>4</v>
      </c>
    </row>
    <row r="11" spans="3:15" ht="12.75">
      <c r="C11" s="34" t="s">
        <v>13</v>
      </c>
      <c r="D11" s="4">
        <f>0.0000199*10*233/155</f>
        <v>0.000299141935483871</v>
      </c>
      <c r="E11" t="s">
        <v>48</v>
      </c>
      <c r="H11" s="1" t="s">
        <v>2</v>
      </c>
      <c r="I11" s="3">
        <f>3.14</f>
        <v>3.14</v>
      </c>
      <c r="O11" s="90"/>
    </row>
    <row r="12" spans="2:14" ht="12.75">
      <c r="B12" s="1" t="s">
        <v>124</v>
      </c>
      <c r="C12" s="34" t="s">
        <v>15</v>
      </c>
      <c r="D12" s="52">
        <f>k/(p*Cp)</f>
        <v>0.29564153677407756</v>
      </c>
      <c r="E12" s="15" t="s">
        <v>53</v>
      </c>
      <c r="F12" s="15"/>
      <c r="G12" s="10"/>
      <c r="H12" s="1" t="s">
        <v>55</v>
      </c>
      <c r="I12" s="3">
        <f>350</f>
        <v>350</v>
      </c>
      <c r="J12" t="s">
        <v>122</v>
      </c>
      <c r="N12" s="111" t="s">
        <v>157</v>
      </c>
    </row>
    <row r="13" spans="3:15" ht="12.75">
      <c r="C13" s="34" t="s">
        <v>6</v>
      </c>
      <c r="D13" s="47">
        <f>v/a</f>
        <v>0.6566420063973304</v>
      </c>
      <c r="E13" t="s">
        <v>49</v>
      </c>
      <c r="G13" s="7"/>
      <c r="H13" s="1" t="s">
        <v>113</v>
      </c>
      <c r="I13" s="3">
        <f>367</f>
        <v>367</v>
      </c>
      <c r="J13" s="2" t="s">
        <v>121</v>
      </c>
      <c r="N13" s="21">
        <f>16*B26^2*PI()*0.25</f>
        <v>0.7760016597705612</v>
      </c>
      <c r="O13" s="1"/>
    </row>
    <row r="14" spans="3:15" ht="12.75">
      <c r="C14" s="34" t="s">
        <v>8</v>
      </c>
      <c r="D14" s="19">
        <f>u/p</f>
        <v>0.19413065188172043</v>
      </c>
      <c r="E14" s="15" t="s">
        <v>9</v>
      </c>
      <c r="F14" s="15"/>
      <c r="G14" s="15"/>
      <c r="J14" s="2"/>
      <c r="N14" s="1"/>
      <c r="O14" s="1"/>
    </row>
    <row r="15" spans="1:15" ht="12.75">
      <c r="A15" s="93">
        <f>n*L*39.37/12</f>
        <v>3471.768456449199</v>
      </c>
      <c r="B15" t="s">
        <v>175</v>
      </c>
      <c r="C15" s="34" t="s">
        <v>0</v>
      </c>
      <c r="D15" s="3">
        <f>20</f>
        <v>20</v>
      </c>
      <c r="E15" t="s">
        <v>1</v>
      </c>
      <c r="H15" t="s">
        <v>123</v>
      </c>
      <c r="J15" s="2" t="s">
        <v>45</v>
      </c>
      <c r="M15" s="5"/>
      <c r="N15" s="5">
        <f>(N13*4/PI())^0.5</f>
        <v>0.994</v>
      </c>
      <c r="O15" t="s">
        <v>158</v>
      </c>
    </row>
    <row r="16" spans="3:18" ht="12.75">
      <c r="C16" s="34" t="s">
        <v>16</v>
      </c>
      <c r="D16" s="104">
        <v>0.7</v>
      </c>
      <c r="E16" s="33" t="s">
        <v>17</v>
      </c>
      <c r="F16" s="15"/>
      <c r="G16" s="15"/>
      <c r="H16" t="s">
        <v>19</v>
      </c>
      <c r="J16" s="2" t="s">
        <v>42</v>
      </c>
      <c r="N16" s="7"/>
      <c r="R16" s="5"/>
    </row>
    <row r="17" spans="3:18" ht="12.75">
      <c r="C17" s="1"/>
      <c r="D17" s="3">
        <f>Ro*16*2</f>
        <v>22.4</v>
      </c>
      <c r="E17" t="s">
        <v>115</v>
      </c>
      <c r="H17" t="s">
        <v>18</v>
      </c>
      <c r="I17" s="3"/>
      <c r="J17" s="2" t="s">
        <v>44</v>
      </c>
      <c r="R17" s="5"/>
    </row>
    <row r="18" spans="1:19" ht="12.75">
      <c r="A18">
        <v>1.049</v>
      </c>
      <c r="C18" s="1"/>
      <c r="D18" s="87">
        <f>Ro*16*2*1000*p</f>
        <v>34.51685393258427</v>
      </c>
      <c r="E18" t="s">
        <v>110</v>
      </c>
      <c r="H18" t="s">
        <v>41</v>
      </c>
      <c r="J18" s="2" t="s">
        <v>43</v>
      </c>
      <c r="N18" s="5"/>
      <c r="O18" s="5"/>
      <c r="P18" s="5"/>
      <c r="Q18" s="5"/>
      <c r="R18" s="5"/>
      <c r="S18" s="5"/>
    </row>
    <row r="19" spans="2:19" ht="12.75">
      <c r="B19" s="1"/>
      <c r="C19" s="1"/>
      <c r="D19" s="3"/>
      <c r="N19" s="5"/>
      <c r="O19" s="5"/>
      <c r="P19" s="5"/>
      <c r="Q19" s="5"/>
      <c r="R19" s="5"/>
      <c r="S19" s="5"/>
    </row>
    <row r="20" spans="2:19" ht="12.75">
      <c r="B20" s="20"/>
      <c r="C20" s="5"/>
      <c r="D20" s="5"/>
      <c r="E20" s="17"/>
      <c r="F20" s="18"/>
      <c r="G20" s="7"/>
      <c r="H20" s="14"/>
      <c r="N20" s="5"/>
      <c r="O20" s="5"/>
      <c r="P20" s="5"/>
      <c r="Q20" s="5"/>
      <c r="R20" s="5"/>
      <c r="S20" s="5"/>
    </row>
    <row r="21" spans="2:19" ht="12.75">
      <c r="B21" s="9" t="s">
        <v>120</v>
      </c>
      <c r="C21" s="5"/>
      <c r="D21" s="5"/>
      <c r="E21" s="17"/>
      <c r="F21" s="18"/>
      <c r="G21" s="7"/>
      <c r="H21" s="14"/>
      <c r="N21" s="5"/>
      <c r="O21" s="5"/>
      <c r="P21" s="5"/>
      <c r="Q21" s="5"/>
      <c r="R21" s="5"/>
      <c r="S21" s="5"/>
    </row>
    <row r="22" spans="3:19" ht="12.75">
      <c r="C22" s="1"/>
      <c r="D22" s="30"/>
      <c r="E22" s="1"/>
      <c r="F22" s="3"/>
      <c r="I22" s="5" t="s">
        <v>51</v>
      </c>
      <c r="J22" s="5"/>
      <c r="L22" s="5"/>
      <c r="M22" s="5" t="s">
        <v>37</v>
      </c>
      <c r="N22" s="5" t="s">
        <v>20</v>
      </c>
      <c r="O22" s="5" t="s">
        <v>20</v>
      </c>
      <c r="Q22" s="5"/>
      <c r="R22" s="5"/>
      <c r="S22" s="5"/>
    </row>
    <row r="23" spans="3:19" ht="12.75">
      <c r="C23" s="5"/>
      <c r="D23" s="5" t="s">
        <v>21</v>
      </c>
      <c r="E23" s="5" t="s">
        <v>22</v>
      </c>
      <c r="H23" s="5" t="s">
        <v>23</v>
      </c>
      <c r="I23" s="5" t="s">
        <v>24</v>
      </c>
      <c r="J23" s="5" t="s">
        <v>119</v>
      </c>
      <c r="L23" s="5" t="s">
        <v>25</v>
      </c>
      <c r="M23" s="5" t="s">
        <v>39</v>
      </c>
      <c r="N23" s="5" t="s">
        <v>26</v>
      </c>
      <c r="O23" s="5" t="s">
        <v>26</v>
      </c>
      <c r="P23" s="5" t="s">
        <v>58</v>
      </c>
      <c r="Q23" s="5" t="s">
        <v>58</v>
      </c>
      <c r="R23" s="5"/>
      <c r="S23" s="5"/>
    </row>
    <row r="24" spans="2:19" ht="12.75">
      <c r="B24" s="1" t="s">
        <v>60</v>
      </c>
      <c r="C24" s="5" t="s">
        <v>52</v>
      </c>
      <c r="D24" s="5" t="s">
        <v>27</v>
      </c>
      <c r="E24" s="5" t="s">
        <v>28</v>
      </c>
      <c r="F24" s="5"/>
      <c r="G24" s="5"/>
      <c r="H24" s="5" t="s">
        <v>29</v>
      </c>
      <c r="I24" s="5" t="s">
        <v>127</v>
      </c>
      <c r="J24" s="5" t="s">
        <v>129</v>
      </c>
      <c r="K24" s="5" t="s">
        <v>119</v>
      </c>
      <c r="L24" s="5" t="s">
        <v>107</v>
      </c>
      <c r="M24" s="5"/>
      <c r="N24" s="5" t="s">
        <v>57</v>
      </c>
      <c r="O24" s="5" t="s">
        <v>58</v>
      </c>
      <c r="P24" s="5" t="s">
        <v>62</v>
      </c>
      <c r="Q24" s="5" t="s">
        <v>62</v>
      </c>
      <c r="R24" s="5"/>
      <c r="S24" s="5"/>
    </row>
    <row r="25" spans="2:19" ht="12.75">
      <c r="B25" s="51" t="s">
        <v>61</v>
      </c>
      <c r="C25" s="6" t="s">
        <v>40</v>
      </c>
      <c r="D25" s="6" t="s">
        <v>30</v>
      </c>
      <c r="E25" s="6" t="s">
        <v>31</v>
      </c>
      <c r="F25" s="6" t="s">
        <v>32</v>
      </c>
      <c r="G25" s="6" t="s">
        <v>33</v>
      </c>
      <c r="H25" s="6" t="s">
        <v>34</v>
      </c>
      <c r="I25" s="6" t="s">
        <v>126</v>
      </c>
      <c r="J25" s="6" t="s">
        <v>130</v>
      </c>
      <c r="K25" s="6" t="s">
        <v>128</v>
      </c>
      <c r="L25" s="6" t="s">
        <v>35</v>
      </c>
      <c r="M25" s="6" t="s">
        <v>38</v>
      </c>
      <c r="N25" s="6" t="s">
        <v>36</v>
      </c>
      <c r="O25" s="6" t="s">
        <v>1</v>
      </c>
      <c r="P25" s="6" t="s">
        <v>63</v>
      </c>
      <c r="Q25" s="6" t="s">
        <v>149</v>
      </c>
      <c r="R25" s="5"/>
      <c r="S25" s="5"/>
    </row>
    <row r="26" spans="1:19" ht="12.75">
      <c r="A26" s="1" t="s">
        <v>159</v>
      </c>
      <c r="B26" s="89">
        <f>0.3125-2*0.032</f>
        <v>0.2485</v>
      </c>
      <c r="C26" s="37">
        <f>B26*2.54</f>
        <v>0.63119</v>
      </c>
      <c r="D26" s="37">
        <f>Ro*1000/(Pi*d^2*0.25*100)</f>
        <v>22.382477876227668</v>
      </c>
      <c r="E26" s="40">
        <f>Ro*1000*p</f>
        <v>1.0786516853932584</v>
      </c>
      <c r="F26" s="41">
        <f>vi*C26*100/v</f>
        <v>7277.365049649026</v>
      </c>
      <c r="G26" s="42">
        <f>0.316/Re^0.25</f>
        <v>0.03421318789145212</v>
      </c>
      <c r="H26" s="38">
        <f>0.023*Re^0.8*Pr^0.3*k/d</f>
        <v>0.09345608042031585</v>
      </c>
      <c r="I26" s="105">
        <f>17500/n</f>
        <v>91.14583333333333</v>
      </c>
      <c r="J26" s="43">
        <f>Qi/(h*PI()*d*L*100)</f>
        <v>0.8923884064643448</v>
      </c>
      <c r="K26" s="13">
        <f>Qi/(m*Cp)</f>
        <v>16.260815487977954</v>
      </c>
      <c r="L26" s="39">
        <f>Tf-K26</f>
        <v>350.73918451202206</v>
      </c>
      <c r="M26" s="37">
        <f>vi*(Th+273)/(Tf+273)</f>
        <v>21.813794527932224</v>
      </c>
      <c r="N26" s="38">
        <f>0.968*f*100*p*((vi+ve)*0.5*100)^2*10^-3/(2*d*g)</f>
        <v>0.020144068850253605</v>
      </c>
      <c r="O26" s="102">
        <f>N26*L</f>
        <v>0.11102289627071908</v>
      </c>
      <c r="P26" s="70">
        <f>Ro*n*60/28.316</f>
        <v>284.7859867212883</v>
      </c>
      <c r="Q26" s="11">
        <f>E26*n*3600/1000</f>
        <v>745.5640449438202</v>
      </c>
      <c r="R26" s="5"/>
      <c r="S26" s="5"/>
    </row>
    <row r="27" spans="1:19" ht="12.75">
      <c r="A27" s="119" t="s">
        <v>160</v>
      </c>
      <c r="B27" s="112">
        <f>1.38</f>
        <v>1.38</v>
      </c>
      <c r="C27" s="43">
        <f>B27*2.54</f>
        <v>3.5052</v>
      </c>
      <c r="D27" s="43">
        <f>16*Ro*1000/(Pi*d^2*0.25*100)</f>
        <v>11.612420663157156</v>
      </c>
      <c r="E27" s="113">
        <f>16*Ro*1000*p</f>
        <v>17.258426966292134</v>
      </c>
      <c r="F27" s="114">
        <f>vi*C27*100/v</f>
        <v>20967.248867684444</v>
      </c>
      <c r="G27" s="118">
        <f>0.026</f>
        <v>0.026</v>
      </c>
      <c r="H27" s="68" t="s">
        <v>171</v>
      </c>
      <c r="I27" s="105"/>
      <c r="J27" s="43"/>
      <c r="K27" s="13"/>
      <c r="L27" s="39"/>
      <c r="M27" s="43">
        <f>D27</f>
        <v>11.612420663157156</v>
      </c>
      <c r="N27" s="115">
        <f>0.968*f*100*p*((vi+ve)*0.5*100)^2*10^-3/(2*d*g)</f>
        <v>0.0007612171023144185</v>
      </c>
      <c r="O27" s="69"/>
      <c r="P27" s="116">
        <f>16*Ro*60/28.316</f>
        <v>23.73216556010736</v>
      </c>
      <c r="Q27" s="11">
        <f>E27*3600/1000</f>
        <v>62.130337078651685</v>
      </c>
      <c r="R27" s="5"/>
      <c r="S27" s="5"/>
    </row>
    <row r="28" spans="1:19" ht="12.75">
      <c r="A28" s="1" t="s">
        <v>161</v>
      </c>
      <c r="B28" s="117">
        <v>1.38</v>
      </c>
      <c r="C28" s="43">
        <f>B28*2.54</f>
        <v>3.5052</v>
      </c>
      <c r="D28" s="43">
        <f>8*Ro*1000/(Pi*d^2*0.25*100)</f>
        <v>5.806210331578578</v>
      </c>
      <c r="E28" s="113">
        <f>8*Ro*1000*p</f>
        <v>8.629213483146067</v>
      </c>
      <c r="F28" s="114">
        <f>vi*C28*100/v</f>
        <v>10483.624433842222</v>
      </c>
      <c r="G28" s="118">
        <f>0.032</f>
        <v>0.032</v>
      </c>
      <c r="H28" s="68" t="s">
        <v>171</v>
      </c>
      <c r="I28" s="105"/>
      <c r="J28" s="43"/>
      <c r="K28" s="13"/>
      <c r="L28" s="39"/>
      <c r="M28" s="43">
        <f>D28</f>
        <v>5.806210331578578</v>
      </c>
      <c r="N28" s="115">
        <f>0.968*f*100*p*((vi+ve)*0.5*100)^2*10^-3/(2*d*g)</f>
        <v>0.00023422064686597492</v>
      </c>
      <c r="O28" s="69"/>
      <c r="P28" s="116">
        <f>8*Ro*60/28.316</f>
        <v>11.86608278005368</v>
      </c>
      <c r="Q28" s="11">
        <f>E28*3600/1000</f>
        <v>31.065168539325843</v>
      </c>
      <c r="R28" s="5"/>
      <c r="S28" s="5"/>
    </row>
    <row r="29" spans="2:19" ht="12.75">
      <c r="B29" s="89"/>
      <c r="C29" s="27"/>
      <c r="D29" s="43"/>
      <c r="E29" s="113"/>
      <c r="F29" s="114"/>
      <c r="G29" s="115"/>
      <c r="H29" s="38"/>
      <c r="I29" s="105"/>
      <c r="J29" s="43"/>
      <c r="K29" s="13"/>
      <c r="L29" s="39"/>
      <c r="M29" s="43"/>
      <c r="N29" s="69"/>
      <c r="O29" s="69"/>
      <c r="P29" s="116"/>
      <c r="Q29" s="11"/>
      <c r="R29" s="5"/>
      <c r="S29" s="5"/>
    </row>
    <row r="30" spans="2:19" ht="12.75">
      <c r="B30" s="89"/>
      <c r="C30" s="43" t="s">
        <v>162</v>
      </c>
      <c r="D30" s="7" t="s">
        <v>166</v>
      </c>
      <c r="E30" s="11" t="s">
        <v>163</v>
      </c>
      <c r="F30" t="s">
        <v>168</v>
      </c>
      <c r="G30" s="8" t="s">
        <v>167</v>
      </c>
      <c r="H30" s="21" t="s">
        <v>164</v>
      </c>
      <c r="I30" s="29"/>
      <c r="J30" s="28"/>
      <c r="K30" s="22"/>
      <c r="L30" s="7"/>
      <c r="M30" s="35"/>
      <c r="N30" s="7"/>
      <c r="O30" s="14"/>
      <c r="Q30" s="5"/>
      <c r="R30" s="5"/>
      <c r="S30" s="5"/>
    </row>
    <row r="31" spans="2:19" ht="12.75">
      <c r="B31" s="89"/>
      <c r="C31" s="43" t="s">
        <v>165</v>
      </c>
      <c r="D31" s="7" t="s">
        <v>165</v>
      </c>
      <c r="E31" s="11" t="s">
        <v>165</v>
      </c>
      <c r="F31" s="5" t="s">
        <v>69</v>
      </c>
      <c r="G31" s="8" t="s">
        <v>165</v>
      </c>
      <c r="H31" s="21" t="s">
        <v>1</v>
      </c>
      <c r="I31" s="29"/>
      <c r="J31" s="28"/>
      <c r="K31" s="22"/>
      <c r="L31" s="7"/>
      <c r="M31" s="35"/>
      <c r="N31" s="7"/>
      <c r="O31" s="14"/>
      <c r="Q31" s="5"/>
      <c r="R31" s="5"/>
      <c r="S31" s="5"/>
    </row>
    <row r="32" spans="1:19" ht="12.75">
      <c r="A32" t="s">
        <v>169</v>
      </c>
      <c r="B32" s="89"/>
      <c r="C32" s="43">
        <f>0.5*C27/G27</f>
        <v>67.40769230769232</v>
      </c>
      <c r="D32" s="7">
        <f>1*C27/G27</f>
        <v>134.81538461538463</v>
      </c>
      <c r="E32" s="11">
        <f>58*C27</f>
        <v>203.30159999999998</v>
      </c>
      <c r="F32" s="5">
        <f>2*8*2.54</f>
        <v>40.64</v>
      </c>
      <c r="G32" s="8">
        <f>C32+D32+E32+F32</f>
        <v>446.1646769230769</v>
      </c>
      <c r="H32" s="35">
        <f>G32/100*N27</f>
        <v>0.0033962818252243326</v>
      </c>
      <c r="I32" s="29"/>
      <c r="J32" s="28"/>
      <c r="K32" s="22"/>
      <c r="L32" s="7"/>
      <c r="M32" s="35"/>
      <c r="N32" s="7"/>
      <c r="O32" s="14"/>
      <c r="Q32" s="5"/>
      <c r="R32" s="5"/>
      <c r="S32" s="5"/>
    </row>
    <row r="33" spans="2:19" ht="12.75">
      <c r="B33" s="89"/>
      <c r="C33" s="43">
        <f>0.5*C28/G28</f>
        <v>54.76875</v>
      </c>
      <c r="D33" s="7">
        <f>1*C28/G28</f>
        <v>109.5375</v>
      </c>
      <c r="E33" s="11">
        <f>58*C28</f>
        <v>203.30159999999998</v>
      </c>
      <c r="F33" s="5">
        <f>2*8*2.54</f>
        <v>40.64</v>
      </c>
      <c r="G33" s="8">
        <f>C33+D33+E33+F33</f>
        <v>408.24784999999997</v>
      </c>
      <c r="H33" s="35">
        <f>G33/100*N28</f>
        <v>0.0009562007550864349</v>
      </c>
      <c r="I33" s="29"/>
      <c r="J33" s="28"/>
      <c r="K33" s="22"/>
      <c r="L33" s="7"/>
      <c r="M33" s="35"/>
      <c r="N33" s="7"/>
      <c r="O33" s="14"/>
      <c r="Q33" s="5"/>
      <c r="R33" s="5"/>
      <c r="S33" s="5"/>
    </row>
    <row r="34" spans="2:19" ht="12.75">
      <c r="B34" s="9" t="s">
        <v>98</v>
      </c>
      <c r="C34" s="56"/>
      <c r="E34" s="95" t="s">
        <v>170</v>
      </c>
      <c r="G34" s="21"/>
      <c r="H34" s="7"/>
      <c r="I34" s="29"/>
      <c r="J34" s="28"/>
      <c r="K34" s="22"/>
      <c r="L34" s="7"/>
      <c r="M34" s="35"/>
      <c r="N34" s="7"/>
      <c r="O34" s="14"/>
      <c r="Q34" s="5"/>
      <c r="R34" s="5"/>
      <c r="S34" s="5"/>
    </row>
    <row r="35" spans="2:19" ht="12.75">
      <c r="B35" t="s">
        <v>95</v>
      </c>
      <c r="C35" s="5"/>
      <c r="E35" s="17"/>
      <c r="F35" s="54" t="s">
        <v>86</v>
      </c>
      <c r="G35" s="22" t="s">
        <v>112</v>
      </c>
      <c r="H35" s="13" t="s">
        <v>89</v>
      </c>
      <c r="K35" s="17" t="s">
        <v>88</v>
      </c>
      <c r="L35" s="5"/>
      <c r="M35" s="38"/>
      <c r="N35" s="26"/>
      <c r="P35" s="22" t="s">
        <v>20</v>
      </c>
      <c r="Q35" s="13" t="s">
        <v>92</v>
      </c>
      <c r="R35" s="5"/>
      <c r="S35" s="5"/>
    </row>
    <row r="36" spans="2:19" ht="12.75">
      <c r="B36" s="10" t="s">
        <v>64</v>
      </c>
      <c r="C36" s="10" t="s">
        <v>67</v>
      </c>
      <c r="D36" s="5" t="s">
        <v>65</v>
      </c>
      <c r="E36" s="5" t="s">
        <v>65</v>
      </c>
      <c r="F36" s="54" t="s">
        <v>96</v>
      </c>
      <c r="G36" s="22" t="s">
        <v>87</v>
      </c>
      <c r="H36" s="13" t="s">
        <v>90</v>
      </c>
      <c r="K36" s="5"/>
      <c r="L36" s="5" t="s">
        <v>119</v>
      </c>
      <c r="M36" s="17" t="s">
        <v>91</v>
      </c>
      <c r="N36" s="65" t="s">
        <v>37</v>
      </c>
      <c r="O36" s="17" t="s">
        <v>109</v>
      </c>
      <c r="P36" s="22" t="s">
        <v>26</v>
      </c>
      <c r="Q36" s="13" t="s">
        <v>93</v>
      </c>
      <c r="R36" s="5"/>
      <c r="S36" s="5"/>
    </row>
    <row r="37" spans="2:19" ht="12.75">
      <c r="B37" s="6" t="s">
        <v>66</v>
      </c>
      <c r="C37" s="6" t="s">
        <v>66</v>
      </c>
      <c r="D37" s="6" t="s">
        <v>68</v>
      </c>
      <c r="E37" s="6" t="s">
        <v>69</v>
      </c>
      <c r="F37" s="55" t="s">
        <v>1</v>
      </c>
      <c r="G37" s="59" t="s">
        <v>39</v>
      </c>
      <c r="H37" s="60"/>
      <c r="I37" s="6" t="s">
        <v>32</v>
      </c>
      <c r="J37" s="6" t="s">
        <v>33</v>
      </c>
      <c r="K37" s="6" t="s">
        <v>34</v>
      </c>
      <c r="L37" s="6" t="s">
        <v>99</v>
      </c>
      <c r="M37" s="63" t="s">
        <v>108</v>
      </c>
      <c r="N37" s="66" t="s">
        <v>39</v>
      </c>
      <c r="O37" s="94"/>
      <c r="P37" s="59" t="s">
        <v>94</v>
      </c>
      <c r="Q37" s="59" t="s">
        <v>1</v>
      </c>
      <c r="R37" s="5"/>
      <c r="S37" s="5"/>
    </row>
    <row r="38" spans="2:19" ht="12.75">
      <c r="B38" s="5">
        <v>1</v>
      </c>
      <c r="C38" s="5" t="s">
        <v>70</v>
      </c>
      <c r="D38" s="7">
        <v>180.618489</v>
      </c>
      <c r="E38" s="7">
        <f>D38*2.54</f>
        <v>458.77096206000004</v>
      </c>
      <c r="F38" s="102">
        <f>0.111</f>
        <v>0.111</v>
      </c>
      <c r="G38" s="43">
        <f>(F38*2*$C$26*g/(0.968*$G$26*E38*p*0.001))^0.5/100</f>
        <v>24.21840715265058</v>
      </c>
      <c r="H38" s="7">
        <f aca="true" t="shared" si="0" ref="H38:H53">G38*100*p*PI()*$C$26^2*0.25</f>
        <v>1.1677203889861412</v>
      </c>
      <c r="I38" s="61">
        <f>G38*$C$26*100/v</f>
        <v>7874.293040542202</v>
      </c>
      <c r="J38" s="35">
        <f>0.316/I38^0.25</f>
        <v>0.03354549381332162</v>
      </c>
      <c r="K38" s="35">
        <f aca="true" t="shared" si="1" ref="K38:K53">0.023*I38^0.8*Pr^0.3*k/$C$26</f>
        <v>0.09953996699801823</v>
      </c>
      <c r="L38" s="22">
        <f aca="true" t="shared" si="2" ref="L38:L53">$I$26/(H38*Cp)</f>
        <v>15.020510215810225</v>
      </c>
      <c r="M38" s="64">
        <f aca="true" t="shared" si="3" ref="M38:M53">Tf-L38</f>
        <v>351.97948978418975</v>
      </c>
      <c r="N38" s="43">
        <f>G38*(273+M38-0.5*L38)/(273+Tf)</f>
        <v>23.365814577540334</v>
      </c>
      <c r="O38" s="7">
        <f>N38*(Tf+273)/(Tf-L38+273)</f>
        <v>23.927379336543645</v>
      </c>
      <c r="P38" s="69">
        <f aca="true" t="shared" si="4" ref="P38:P53">0.968*J38*100*p*((O38+N38)*0.5*100)^2*10^-3/(2*$C$26*g)</f>
        <v>0.02261589870329135</v>
      </c>
      <c r="Q38" s="35">
        <f>P38*E38/100</f>
        <v>0.1037551760596048</v>
      </c>
      <c r="R38" s="5"/>
      <c r="S38" s="5"/>
    </row>
    <row r="39" spans="2:19" ht="12.75">
      <c r="B39" s="5">
        <v>2</v>
      </c>
      <c r="C39" s="5" t="s">
        <v>71</v>
      </c>
      <c r="D39" s="7">
        <v>173.798367</v>
      </c>
      <c r="E39" s="7">
        <f aca="true" t="shared" si="5" ref="E39:E53">D39*2.54</f>
        <v>441.44785218000004</v>
      </c>
      <c r="F39" s="67">
        <f>F38</f>
        <v>0.111</v>
      </c>
      <c r="G39" s="43">
        <f>(F39*2*$C$26*g/(0.968*$G$26*E39*p*0.001))^0.5/100</f>
        <v>24.6890189359937</v>
      </c>
      <c r="H39" s="7">
        <f t="shared" si="0"/>
        <v>1.190411516905623</v>
      </c>
      <c r="I39" s="61">
        <f aca="true" t="shared" si="6" ref="I39:I52">G39*$C$26*100/v</f>
        <v>8027.306203919064</v>
      </c>
      <c r="J39" s="35">
        <f aca="true" t="shared" si="7" ref="J39:J53">0.316/I39^0.25</f>
        <v>0.033384480708373576</v>
      </c>
      <c r="K39" s="35">
        <f t="shared" si="1"/>
        <v>0.10108439071305661</v>
      </c>
      <c r="L39" s="22">
        <f t="shared" si="2"/>
        <v>14.734195513808013</v>
      </c>
      <c r="M39" s="64">
        <f t="shared" si="3"/>
        <v>352.265804486192</v>
      </c>
      <c r="N39" s="43">
        <f aca="true" t="shared" si="8" ref="N39:N53">G39*(273+M39-0.5*L39)/(273+Tf)</f>
        <v>23.83642636088345</v>
      </c>
      <c r="O39" s="7">
        <f aca="true" t="shared" si="9" ref="O39:O52">N39*(Tf+273)/(Tf-L39+273)</f>
        <v>24.398124384079118</v>
      </c>
      <c r="P39" s="69">
        <f t="shared" si="4"/>
        <v>0.02341226721572171</v>
      </c>
      <c r="Q39" s="35">
        <f aca="true" t="shared" si="10" ref="Q39:Q53">P39*E39/100</f>
        <v>0.10335295077044578</v>
      </c>
      <c r="R39" s="5"/>
      <c r="S39" s="5"/>
    </row>
    <row r="40" spans="2:19" ht="12.75">
      <c r="B40" s="5">
        <v>3</v>
      </c>
      <c r="C40" s="5" t="s">
        <v>72</v>
      </c>
      <c r="D40" s="43">
        <v>171.546876</v>
      </c>
      <c r="E40" s="58">
        <f t="shared" si="5"/>
        <v>435.72906504</v>
      </c>
      <c r="F40" s="67">
        <f>F39</f>
        <v>0.111</v>
      </c>
      <c r="G40" s="58">
        <f aca="true" t="shared" si="11" ref="G40:G53">(F40*2*$C$26*g/(0.968*$G$26*E40*p*0.001))^0.5/100</f>
        <v>24.850508035114675</v>
      </c>
      <c r="H40" s="7">
        <f t="shared" si="0"/>
        <v>1.1981979131146707</v>
      </c>
      <c r="I40" s="61">
        <f t="shared" si="6"/>
        <v>8079.8122370911315</v>
      </c>
      <c r="J40" s="35">
        <f t="shared" si="7"/>
        <v>0.03333011142077383</v>
      </c>
      <c r="K40" s="35">
        <f t="shared" si="1"/>
        <v>0.10161299422349551</v>
      </c>
      <c r="L40" s="22">
        <f t="shared" si="2"/>
        <v>14.638446487010048</v>
      </c>
      <c r="M40" s="64">
        <f t="shared" si="3"/>
        <v>352.36155351298993</v>
      </c>
      <c r="N40" s="43">
        <f t="shared" si="8"/>
        <v>23.997915460004428</v>
      </c>
      <c r="O40" s="7">
        <f t="shared" si="9"/>
        <v>24.55965802202742</v>
      </c>
      <c r="P40" s="69">
        <f t="shared" si="4"/>
        <v>0.02368825605815502</v>
      </c>
      <c r="Q40" s="68">
        <f t="shared" si="10"/>
        <v>0.10321661664648003</v>
      </c>
      <c r="R40" s="5"/>
      <c r="S40" s="5"/>
    </row>
    <row r="41" spans="2:19" ht="12.75">
      <c r="B41" s="5">
        <v>4</v>
      </c>
      <c r="C41" s="5" t="s">
        <v>73</v>
      </c>
      <c r="D41" s="7">
        <v>191.635495</v>
      </c>
      <c r="E41" s="7">
        <f t="shared" si="5"/>
        <v>486.7541573</v>
      </c>
      <c r="F41" s="67">
        <f aca="true" t="shared" si="12" ref="F41:F53">F40</f>
        <v>0.111</v>
      </c>
      <c r="G41" s="43">
        <f t="shared" si="11"/>
        <v>23.511952848568743</v>
      </c>
      <c r="H41" s="7">
        <f t="shared" si="0"/>
        <v>1.1336578228741874</v>
      </c>
      <c r="I41" s="61">
        <f t="shared" si="6"/>
        <v>7644.598817671566</v>
      </c>
      <c r="J41" s="35">
        <f t="shared" si="7"/>
        <v>0.033794685400302324</v>
      </c>
      <c r="K41" s="35">
        <f t="shared" si="1"/>
        <v>0.09721023504119852</v>
      </c>
      <c r="L41" s="22">
        <f t="shared" si="2"/>
        <v>15.471825517427556</v>
      </c>
      <c r="M41" s="64">
        <f t="shared" si="3"/>
        <v>351.52817448257247</v>
      </c>
      <c r="N41" s="43">
        <f t="shared" si="8"/>
        <v>22.659360273458496</v>
      </c>
      <c r="O41" s="7">
        <f t="shared" si="9"/>
        <v>23.220714721202892</v>
      </c>
      <c r="P41" s="69">
        <f t="shared" si="4"/>
        <v>0.021442677679528913</v>
      </c>
      <c r="Q41" s="35">
        <f t="shared" si="10"/>
        <v>0.10437312504154615</v>
      </c>
      <c r="R41" s="5"/>
      <c r="S41" s="5"/>
    </row>
    <row r="42" spans="2:19" ht="12.75">
      <c r="B42" s="5">
        <v>5</v>
      </c>
      <c r="C42" s="5" t="s">
        <v>74</v>
      </c>
      <c r="D42" s="7">
        <v>190.612713</v>
      </c>
      <c r="E42" s="7">
        <f t="shared" si="5"/>
        <v>484.15629102</v>
      </c>
      <c r="F42" s="67">
        <f t="shared" si="12"/>
        <v>0.111</v>
      </c>
      <c r="G42" s="43">
        <f t="shared" si="11"/>
        <v>23.57494820082905</v>
      </c>
      <c r="H42" s="7">
        <f t="shared" si="0"/>
        <v>1.136695221526463</v>
      </c>
      <c r="I42" s="61">
        <f t="shared" si="6"/>
        <v>7665.080918776038</v>
      </c>
      <c r="J42" s="35">
        <f t="shared" si="7"/>
        <v>0.033772086785290575</v>
      </c>
      <c r="K42" s="35">
        <f t="shared" si="1"/>
        <v>0.09741854284286623</v>
      </c>
      <c r="L42" s="22">
        <f t="shared" si="2"/>
        <v>15.430482771293928</v>
      </c>
      <c r="M42" s="64">
        <f t="shared" si="3"/>
        <v>351.56951722870605</v>
      </c>
      <c r="N42" s="43">
        <f t="shared" si="8"/>
        <v>22.722355625718798</v>
      </c>
      <c r="O42" s="7">
        <f t="shared" si="9"/>
        <v>23.283729351675838</v>
      </c>
      <c r="P42" s="69">
        <f t="shared" si="4"/>
        <v>0.021546206731156405</v>
      </c>
      <c r="Q42" s="35">
        <f t="shared" si="10"/>
        <v>0.10431731536506844</v>
      </c>
      <c r="R42" s="35"/>
      <c r="S42" s="5"/>
    </row>
    <row r="43" spans="2:19" ht="12.75">
      <c r="B43" s="5">
        <v>6</v>
      </c>
      <c r="C43" s="5" t="s">
        <v>75</v>
      </c>
      <c r="D43" s="7">
        <v>194.749661</v>
      </c>
      <c r="E43" s="7">
        <f t="shared" si="5"/>
        <v>494.66413894000004</v>
      </c>
      <c r="F43" s="67">
        <f t="shared" si="12"/>
        <v>0.111</v>
      </c>
      <c r="G43" s="43">
        <f t="shared" si="11"/>
        <v>23.323210038054683</v>
      </c>
      <c r="H43" s="7">
        <f t="shared" si="0"/>
        <v>1.124557355336309</v>
      </c>
      <c r="I43" s="61">
        <f t="shared" si="6"/>
        <v>7583.231602647246</v>
      </c>
      <c r="J43" s="35">
        <f t="shared" si="7"/>
        <v>0.0338628496669735</v>
      </c>
      <c r="K43" s="35">
        <f t="shared" si="1"/>
        <v>0.096585446133711</v>
      </c>
      <c r="L43" s="22">
        <f t="shared" si="2"/>
        <v>15.597031088495081</v>
      </c>
      <c r="M43" s="64">
        <f t="shared" si="3"/>
        <v>351.4029689115049</v>
      </c>
      <c r="N43" s="43">
        <f t="shared" si="8"/>
        <v>22.470617462944436</v>
      </c>
      <c r="O43" s="7">
        <f t="shared" si="9"/>
        <v>23.03191351148532</v>
      </c>
      <c r="P43" s="69">
        <f t="shared" si="4"/>
        <v>0.021133770251508206</v>
      </c>
      <c r="Q43" s="35">
        <f t="shared" si="10"/>
        <v>0.10454118264018096</v>
      </c>
      <c r="R43" s="5"/>
      <c r="S43" s="5"/>
    </row>
    <row r="44" spans="2:19" ht="12.75">
      <c r="B44" s="5">
        <v>7</v>
      </c>
      <c r="C44" s="5" t="s">
        <v>76</v>
      </c>
      <c r="D44" s="7">
        <v>207.522776</v>
      </c>
      <c r="E44" s="7">
        <f t="shared" si="5"/>
        <v>527.10785104</v>
      </c>
      <c r="F44" s="67">
        <f t="shared" si="12"/>
        <v>0.111</v>
      </c>
      <c r="G44" s="43">
        <f t="shared" si="11"/>
        <v>22.594034855764217</v>
      </c>
      <c r="H44" s="7">
        <f t="shared" si="0"/>
        <v>1.089399274041517</v>
      </c>
      <c r="I44" s="61">
        <f t="shared" si="6"/>
        <v>7346.149988358774</v>
      </c>
      <c r="J44" s="35">
        <f t="shared" si="7"/>
        <v>0.03413281719631783</v>
      </c>
      <c r="K44" s="35">
        <f t="shared" si="1"/>
        <v>0.09416208513938108</v>
      </c>
      <c r="L44" s="22">
        <f t="shared" si="2"/>
        <v>16.10039261996771</v>
      </c>
      <c r="M44" s="64">
        <f t="shared" si="3"/>
        <v>350.8996073800323</v>
      </c>
      <c r="N44" s="43">
        <f t="shared" si="8"/>
        <v>21.741442280653967</v>
      </c>
      <c r="O44" s="7">
        <f t="shared" si="9"/>
        <v>22.302503311470858</v>
      </c>
      <c r="P44" s="69">
        <f t="shared" si="4"/>
        <v>0.01995845600729367</v>
      </c>
      <c r="Q44" s="35">
        <f t="shared" si="10"/>
        <v>0.10520258856080945</v>
      </c>
      <c r="R44" s="5"/>
      <c r="S44" s="5"/>
    </row>
    <row r="45" spans="2:19" ht="12.75">
      <c r="B45" s="5">
        <v>8</v>
      </c>
      <c r="C45" s="5" t="s">
        <v>77</v>
      </c>
      <c r="D45" s="7">
        <v>215.935967</v>
      </c>
      <c r="E45" s="58">
        <f>D45*2.54</f>
        <v>548.47735618</v>
      </c>
      <c r="F45" s="67">
        <f t="shared" si="12"/>
        <v>0.111</v>
      </c>
      <c r="G45" s="58">
        <f t="shared" si="11"/>
        <v>22.1495131911769</v>
      </c>
      <c r="H45" s="7">
        <f t="shared" si="0"/>
        <v>1.067966113395861</v>
      </c>
      <c r="I45" s="61">
        <f t="shared" si="6"/>
        <v>7201.619680161066</v>
      </c>
      <c r="J45" s="35">
        <f t="shared" si="7"/>
        <v>0.03430279729943946</v>
      </c>
      <c r="K45" s="68">
        <f t="shared" si="1"/>
        <v>0.09267708812544405</v>
      </c>
      <c r="L45" s="22">
        <f t="shared" si="2"/>
        <v>16.423513641462137</v>
      </c>
      <c r="M45" s="103">
        <f t="shared" si="3"/>
        <v>350.57648635853786</v>
      </c>
      <c r="N45" s="58">
        <f t="shared" si="8"/>
        <v>21.296920616066654</v>
      </c>
      <c r="O45" s="58">
        <f t="shared" si="9"/>
        <v>21.857830582864214</v>
      </c>
      <c r="P45" s="68">
        <f t="shared" si="4"/>
        <v>0.019256135910400055</v>
      </c>
      <c r="Q45" s="68">
        <f t="shared" si="10"/>
        <v>0.10561554514378979</v>
      </c>
      <c r="R45" s="5"/>
      <c r="S45" s="5"/>
    </row>
    <row r="46" spans="2:19" ht="12.75">
      <c r="B46" s="5">
        <v>9</v>
      </c>
      <c r="C46" s="5" t="s">
        <v>78</v>
      </c>
      <c r="D46" s="7">
        <v>245.262422</v>
      </c>
      <c r="E46" s="7">
        <f t="shared" si="5"/>
        <v>622.96655188</v>
      </c>
      <c r="F46" s="67">
        <f t="shared" si="12"/>
        <v>0.111</v>
      </c>
      <c r="G46" s="43">
        <f t="shared" si="11"/>
        <v>20.783140434491852</v>
      </c>
      <c r="H46" s="7">
        <f t="shared" si="0"/>
        <v>1.0020847646812445</v>
      </c>
      <c r="I46" s="61">
        <f t="shared" si="6"/>
        <v>6757.36174771591</v>
      </c>
      <c r="J46" s="35">
        <f t="shared" si="7"/>
        <v>0.03485321058797286</v>
      </c>
      <c r="K46" s="35">
        <f t="shared" si="1"/>
        <v>0.08807445597240744</v>
      </c>
      <c r="L46" s="22">
        <f t="shared" si="2"/>
        <v>17.50326584154334</v>
      </c>
      <c r="M46" s="64">
        <f t="shared" si="3"/>
        <v>349.49673415845666</v>
      </c>
      <c r="N46" s="43">
        <f t="shared" si="8"/>
        <v>19.930547859381605</v>
      </c>
      <c r="O46" s="7">
        <f t="shared" si="9"/>
        <v>20.49095188788139</v>
      </c>
      <c r="P46" s="69">
        <f t="shared" si="4"/>
        <v>0.0171652450450802</v>
      </c>
      <c r="Q46" s="35">
        <f t="shared" si="10"/>
        <v>0.10693373517908868</v>
      </c>
      <c r="R46" s="5"/>
      <c r="S46" s="5"/>
    </row>
    <row r="47" spans="2:19" ht="12.75">
      <c r="B47" s="5">
        <v>10</v>
      </c>
      <c r="C47" s="5" t="s">
        <v>79</v>
      </c>
      <c r="D47" s="7">
        <v>246.159937</v>
      </c>
      <c r="E47" s="7">
        <f t="shared" si="5"/>
        <v>625.24623998</v>
      </c>
      <c r="F47" s="67">
        <f t="shared" si="12"/>
        <v>0.111</v>
      </c>
      <c r="G47" s="43">
        <f t="shared" si="11"/>
        <v>20.745217500613357</v>
      </c>
      <c r="H47" s="7">
        <f t="shared" si="0"/>
        <v>1.0002562636233108</v>
      </c>
      <c r="I47" s="61">
        <f t="shared" si="6"/>
        <v>6745.031610046898</v>
      </c>
      <c r="J47" s="35">
        <f t="shared" si="7"/>
        <v>0.03486912788191457</v>
      </c>
      <c r="K47" s="35">
        <f t="shared" si="1"/>
        <v>0.08794586513956583</v>
      </c>
      <c r="L47" s="22">
        <f t="shared" si="2"/>
        <v>17.53526238210248</v>
      </c>
      <c r="M47" s="64">
        <f t="shared" si="3"/>
        <v>349.4647376178975</v>
      </c>
      <c r="N47" s="43">
        <f t="shared" si="8"/>
        <v>19.892624925503107</v>
      </c>
      <c r="O47" s="7">
        <f t="shared" si="9"/>
        <v>20.453013934641763</v>
      </c>
      <c r="P47" s="69">
        <f t="shared" si="4"/>
        <v>0.017108685782767603</v>
      </c>
      <c r="Q47" s="35">
        <f t="shared" si="10"/>
        <v>0.10697141456674726</v>
      </c>
      <c r="R47" s="5"/>
      <c r="S47" s="5"/>
    </row>
    <row r="48" spans="2:19" ht="12.75">
      <c r="B48" s="5">
        <v>11</v>
      </c>
      <c r="C48" s="5" t="s">
        <v>80</v>
      </c>
      <c r="D48" s="7">
        <v>256.115759</v>
      </c>
      <c r="E48" s="7">
        <f t="shared" si="5"/>
        <v>650.53402786</v>
      </c>
      <c r="F48" s="67">
        <f t="shared" si="12"/>
        <v>0.111</v>
      </c>
      <c r="G48" s="43">
        <f t="shared" si="11"/>
        <v>20.338013330573748</v>
      </c>
      <c r="H48" s="7">
        <f t="shared" si="0"/>
        <v>0.9806224120310773</v>
      </c>
      <c r="I48" s="61">
        <f t="shared" si="6"/>
        <v>6612.634588970648</v>
      </c>
      <c r="J48" s="35">
        <f t="shared" si="7"/>
        <v>0.0350423684371086</v>
      </c>
      <c r="K48" s="35">
        <f t="shared" si="1"/>
        <v>0.08656211389916432</v>
      </c>
      <c r="L48" s="22">
        <f t="shared" si="2"/>
        <v>17.88635035951061</v>
      </c>
      <c r="M48" s="64">
        <f t="shared" si="3"/>
        <v>349.11364964048937</v>
      </c>
      <c r="N48" s="43">
        <f t="shared" si="8"/>
        <v>19.4854207554635</v>
      </c>
      <c r="O48" s="7">
        <f t="shared" si="9"/>
        <v>20.045644860393697</v>
      </c>
      <c r="P48" s="69">
        <f t="shared" si="4"/>
        <v>0.01650641903013944</v>
      </c>
      <c r="Q48" s="35">
        <f t="shared" si="10"/>
        <v>0.10737987257221565</v>
      </c>
      <c r="R48" s="5"/>
      <c r="S48" s="5"/>
    </row>
    <row r="49" spans="2:19" ht="12.75">
      <c r="B49" s="5">
        <v>12</v>
      </c>
      <c r="C49" s="5" t="s">
        <v>81</v>
      </c>
      <c r="D49" s="7">
        <v>232.114606</v>
      </c>
      <c r="E49" s="7">
        <f t="shared" si="5"/>
        <v>589.5710992400001</v>
      </c>
      <c r="F49" s="67">
        <f t="shared" si="12"/>
        <v>0.111</v>
      </c>
      <c r="G49" s="43">
        <f t="shared" si="11"/>
        <v>21.363649478200692</v>
      </c>
      <c r="H49" s="7">
        <f t="shared" si="0"/>
        <v>1.0300747246343074</v>
      </c>
      <c r="I49" s="61">
        <f t="shared" si="6"/>
        <v>6946.1065439379045</v>
      </c>
      <c r="J49" s="35">
        <f t="shared" si="7"/>
        <v>0.03461399467168473</v>
      </c>
      <c r="K49" s="35">
        <f t="shared" si="1"/>
        <v>0.09003707679812893</v>
      </c>
      <c r="L49" s="22">
        <f t="shared" si="2"/>
        <v>17.027654025976716</v>
      </c>
      <c r="M49" s="64">
        <f t="shared" si="3"/>
        <v>349.97234597402326</v>
      </c>
      <c r="N49" s="43">
        <f t="shared" si="8"/>
        <v>20.51105690309044</v>
      </c>
      <c r="O49" s="7">
        <f t="shared" si="9"/>
        <v>21.071684004614315</v>
      </c>
      <c r="P49" s="69">
        <f t="shared" si="4"/>
        <v>0.01804098802877842</v>
      </c>
      <c r="Q49" s="35">
        <f t="shared" si="10"/>
        <v>0.10636445143502575</v>
      </c>
      <c r="R49" s="5"/>
      <c r="S49" s="5"/>
    </row>
    <row r="50" spans="2:19" ht="12.75">
      <c r="B50" s="5">
        <v>13</v>
      </c>
      <c r="C50" s="5" t="s">
        <v>82</v>
      </c>
      <c r="D50" s="7">
        <v>215.553193</v>
      </c>
      <c r="E50" s="7">
        <f t="shared" si="5"/>
        <v>547.50511022</v>
      </c>
      <c r="F50" s="67">
        <f t="shared" si="12"/>
        <v>0.111</v>
      </c>
      <c r="G50" s="43">
        <f t="shared" si="11"/>
        <v>22.16917074556674</v>
      </c>
      <c r="H50" s="7">
        <f t="shared" si="0"/>
        <v>1.068913926640305</v>
      </c>
      <c r="I50" s="61">
        <f t="shared" si="6"/>
        <v>7208.011072573884</v>
      </c>
      <c r="J50" s="35">
        <f t="shared" si="7"/>
        <v>0.034295190638760194</v>
      </c>
      <c r="K50" s="35">
        <f t="shared" si="1"/>
        <v>0.09274288255652229</v>
      </c>
      <c r="L50" s="22">
        <f t="shared" si="2"/>
        <v>16.408950800281268</v>
      </c>
      <c r="M50" s="64">
        <f t="shared" si="3"/>
        <v>350.5910491997187</v>
      </c>
      <c r="N50" s="43">
        <f t="shared" si="8"/>
        <v>21.31657817045649</v>
      </c>
      <c r="O50" s="7">
        <f t="shared" si="9"/>
        <v>21.877494948973855</v>
      </c>
      <c r="P50" s="69">
        <f t="shared" si="4"/>
        <v>0.019286965823386813</v>
      </c>
      <c r="Q50" s="35">
        <f t="shared" si="10"/>
        <v>0.10559712348942771</v>
      </c>
      <c r="R50" s="5"/>
      <c r="S50" s="5"/>
    </row>
    <row r="51" spans="2:19" ht="12.75">
      <c r="B51" s="5">
        <v>14</v>
      </c>
      <c r="C51" s="5" t="s">
        <v>83</v>
      </c>
      <c r="D51" s="7">
        <v>251.687568</v>
      </c>
      <c r="E51" s="7">
        <f t="shared" si="5"/>
        <v>639.28642272</v>
      </c>
      <c r="F51" s="67">
        <f t="shared" si="12"/>
        <v>0.111</v>
      </c>
      <c r="G51" s="43">
        <f t="shared" si="11"/>
        <v>20.51614672754799</v>
      </c>
      <c r="H51" s="7">
        <f t="shared" si="0"/>
        <v>0.989211333601975</v>
      </c>
      <c r="I51" s="61">
        <f t="shared" si="6"/>
        <v>6670.552294261555</v>
      </c>
      <c r="J51" s="35">
        <f t="shared" si="7"/>
        <v>0.034966054835701914</v>
      </c>
      <c r="K51" s="35">
        <f t="shared" si="1"/>
        <v>0.08716811782912043</v>
      </c>
      <c r="L51" s="22">
        <f t="shared" si="2"/>
        <v>17.731050419842465</v>
      </c>
      <c r="M51" s="64">
        <f t="shared" si="3"/>
        <v>349.26894958015754</v>
      </c>
      <c r="N51" s="43">
        <f t="shared" si="8"/>
        <v>19.663554152437747</v>
      </c>
      <c r="O51" s="7">
        <f t="shared" si="9"/>
        <v>20.223851223897622</v>
      </c>
      <c r="P51" s="69">
        <f t="shared" si="4"/>
        <v>0.016768745733284775</v>
      </c>
      <c r="Q51" s="35">
        <f t="shared" si="10"/>
        <v>0.10720031473332887</v>
      </c>
      <c r="R51" s="5"/>
      <c r="S51" s="5"/>
    </row>
    <row r="52" spans="2:19" ht="12.75">
      <c r="B52" s="5">
        <v>15</v>
      </c>
      <c r="C52" s="5" t="s">
        <v>84</v>
      </c>
      <c r="D52" s="43">
        <v>262.241339</v>
      </c>
      <c r="E52" s="58">
        <f t="shared" si="5"/>
        <v>666.09300106</v>
      </c>
      <c r="F52" s="67">
        <f t="shared" si="12"/>
        <v>0.111</v>
      </c>
      <c r="G52" s="58">
        <f t="shared" si="11"/>
        <v>20.09907643011234</v>
      </c>
      <c r="H52" s="7">
        <f t="shared" si="0"/>
        <v>0.969101774501478</v>
      </c>
      <c r="I52" s="61">
        <f t="shared" si="6"/>
        <v>6534.947433057669</v>
      </c>
      <c r="J52" s="35">
        <f t="shared" si="7"/>
        <v>0.0351460528696369</v>
      </c>
      <c r="K52" s="35">
        <f t="shared" si="1"/>
        <v>0.08574758804983963</v>
      </c>
      <c r="L52" s="22">
        <f t="shared" si="2"/>
        <v>18.098982473743753</v>
      </c>
      <c r="M52" s="64">
        <f t="shared" si="3"/>
        <v>348.9010175262562</v>
      </c>
      <c r="N52" s="43">
        <f t="shared" si="8"/>
        <v>19.246483855002094</v>
      </c>
      <c r="O52" s="7">
        <f t="shared" si="9"/>
        <v>19.806607997198352</v>
      </c>
      <c r="P52" s="69">
        <f t="shared" si="4"/>
        <v>0.016157336692943326</v>
      </c>
      <c r="Q52" s="68">
        <f t="shared" si="10"/>
        <v>0.10762288886939476</v>
      </c>
      <c r="R52" s="5"/>
      <c r="S52" s="5"/>
    </row>
    <row r="53" spans="2:19" ht="12.75">
      <c r="B53" s="5">
        <v>16</v>
      </c>
      <c r="C53" s="5" t="s">
        <v>85</v>
      </c>
      <c r="D53" s="57">
        <v>236.220232</v>
      </c>
      <c r="E53" s="57">
        <f t="shared" si="5"/>
        <v>599.9993892800001</v>
      </c>
      <c r="F53" s="67">
        <f t="shared" si="12"/>
        <v>0.111</v>
      </c>
      <c r="G53" s="43">
        <f t="shared" si="11"/>
        <v>21.177180227924943</v>
      </c>
      <c r="H53" s="7">
        <f t="shared" si="0"/>
        <v>1.0210838796091373</v>
      </c>
      <c r="I53" s="61">
        <f>G53*$C$26*100/v</f>
        <v>6885.478546792321</v>
      </c>
      <c r="J53" s="35">
        <f t="shared" si="7"/>
        <v>0.034689940124823085</v>
      </c>
      <c r="K53" s="35">
        <f t="shared" si="1"/>
        <v>0.0894078265653487</v>
      </c>
      <c r="L53" s="22">
        <f t="shared" si="2"/>
        <v>17.177585879321</v>
      </c>
      <c r="M53" s="64">
        <f t="shared" si="3"/>
        <v>349.822414120679</v>
      </c>
      <c r="N53" s="43">
        <f t="shared" si="8"/>
        <v>20.324587652814692</v>
      </c>
      <c r="O53" s="7">
        <f>N53*(Tf+L53+273)/(Tf+273)</f>
        <v>20.870099136983463</v>
      </c>
      <c r="P53" s="100">
        <f t="shared" si="4"/>
        <v>0.017744686540315125</v>
      </c>
      <c r="Q53" s="73">
        <f t="shared" si="10"/>
        <v>0.10646801087154112</v>
      </c>
      <c r="R53" s="5"/>
      <c r="S53" s="5"/>
    </row>
    <row r="54" spans="3:19" ht="12.75">
      <c r="C54" s="1"/>
      <c r="D54" s="1" t="s">
        <v>103</v>
      </c>
      <c r="E54" s="27">
        <f>SUM(E38:E53)/(16*100)</f>
        <v>5.5114434475</v>
      </c>
      <c r="F54" s="35"/>
      <c r="G54" s="1" t="s">
        <v>111</v>
      </c>
      <c r="H54" s="7">
        <f>SUM(H38:H53)</f>
        <v>17.169954685503605</v>
      </c>
      <c r="J54" s="1" t="s">
        <v>104</v>
      </c>
      <c r="K54" s="35">
        <f>SUM(K38:K53)/16</f>
        <v>0.09299854225170429</v>
      </c>
      <c r="L54" s="7">
        <f>SUM(L38:L53)/16</f>
        <v>16.42409375234977</v>
      </c>
      <c r="P54" s="21">
        <f>SUM(P38:P53)/16</f>
        <v>0.019489546327109444</v>
      </c>
      <c r="Q54" s="68">
        <f>SUM(Q38:Q53)/16</f>
        <v>0.10555701949654345</v>
      </c>
      <c r="R54" s="5"/>
      <c r="S54" s="5"/>
    </row>
    <row r="55" spans="3:19" ht="12.75">
      <c r="C55" s="1"/>
      <c r="D55" s="1" t="s">
        <v>105</v>
      </c>
      <c r="E55" s="13">
        <f>E54*n</f>
        <v>1058.19714192</v>
      </c>
      <c r="F55" s="35"/>
      <c r="G55" s="1" t="s">
        <v>102</v>
      </c>
      <c r="H55" s="7">
        <f>H54/16</f>
        <v>1.0731221678439753</v>
      </c>
      <c r="K55" s="1"/>
      <c r="L55" s="7"/>
      <c r="P55" s="62"/>
      <c r="Q55" s="5"/>
      <c r="R55" s="5"/>
      <c r="S55" s="5"/>
    </row>
    <row r="56" spans="2:19" ht="12.75">
      <c r="B56" s="83"/>
      <c r="C56" s="51"/>
      <c r="D56" s="1"/>
      <c r="E56" s="7"/>
      <c r="F56" s="35"/>
      <c r="H56" s="7"/>
      <c r="K56" s="1"/>
      <c r="L56" s="7"/>
      <c r="P56" s="62"/>
      <c r="Q56" s="5"/>
      <c r="R56" s="5"/>
      <c r="S56" s="5"/>
    </row>
    <row r="57" spans="2:19" ht="12.75">
      <c r="B57" s="71" t="s">
        <v>125</v>
      </c>
      <c r="C57" s="72">
        <f>L54*H54*Cp*12*0.001</f>
        <v>17.585109710454034</v>
      </c>
      <c r="D57" s="2"/>
      <c r="E57" s="7"/>
      <c r="F57" s="7"/>
      <c r="H57" s="7"/>
      <c r="K57" s="1"/>
      <c r="L57" s="7"/>
      <c r="P57" s="62"/>
      <c r="Q57" s="5"/>
      <c r="R57" s="5"/>
      <c r="S57" s="5"/>
    </row>
    <row r="58" spans="2:19" ht="12.75">
      <c r="B58" s="88" t="s">
        <v>148</v>
      </c>
      <c r="C58" s="82"/>
      <c r="D58" s="2"/>
      <c r="E58" s="7"/>
      <c r="F58" s="7"/>
      <c r="H58" s="7"/>
      <c r="K58" s="84"/>
      <c r="L58" s="7"/>
      <c r="P58" s="62"/>
      <c r="Q58" s="5"/>
      <c r="R58" s="5"/>
      <c r="S58" s="5"/>
    </row>
    <row r="59" spans="2:19" ht="12.75">
      <c r="B59" s="108" t="s">
        <v>174</v>
      </c>
      <c r="C59" s="109">
        <f>17000/(K54*1920*PI()*C26*1.25*2.54)</f>
        <v>15.122299656982241</v>
      </c>
      <c r="D59" s="2"/>
      <c r="E59" s="7"/>
      <c r="F59" s="7"/>
      <c r="H59" s="7"/>
      <c r="K59" s="1"/>
      <c r="L59" s="7"/>
      <c r="P59" s="62"/>
      <c r="Q59" s="5"/>
      <c r="R59" s="5"/>
      <c r="S59" s="5"/>
    </row>
    <row r="60" spans="2:19" ht="12.75">
      <c r="B60" s="120" t="s">
        <v>173</v>
      </c>
      <c r="C60" s="72">
        <f>C59+L54+350</f>
        <v>381.54639340933204</v>
      </c>
      <c r="D60" s="2"/>
      <c r="E60" s="74"/>
      <c r="F60" s="7"/>
      <c r="H60" s="7"/>
      <c r="K60" s="1"/>
      <c r="L60" s="7"/>
      <c r="P60" s="62"/>
      <c r="Q60" s="5"/>
      <c r="R60" s="5"/>
      <c r="S60" s="5"/>
    </row>
    <row r="61" spans="2:19" ht="12.75">
      <c r="B61" s="71"/>
      <c r="C61" s="96"/>
      <c r="D61" s="2"/>
      <c r="E61" s="74"/>
      <c r="F61" s="97"/>
      <c r="H61" s="7"/>
      <c r="K61" s="1"/>
      <c r="L61" s="7"/>
      <c r="P61" s="62"/>
      <c r="Q61" s="5"/>
      <c r="R61" s="5"/>
      <c r="S61" s="5"/>
    </row>
    <row r="62" spans="2:19" ht="12.75">
      <c r="B62" s="1"/>
      <c r="C62" s="30"/>
      <c r="D62" s="2"/>
      <c r="E62" s="7"/>
      <c r="F62" s="35"/>
      <c r="H62" s="7"/>
      <c r="K62" s="1"/>
      <c r="L62" s="7"/>
      <c r="M62" s="93"/>
      <c r="P62" s="62"/>
      <c r="Q62" s="5"/>
      <c r="R62" s="5"/>
      <c r="S62" s="5"/>
    </row>
    <row r="63" spans="2:19" ht="12.75">
      <c r="B63" s="2" t="s">
        <v>151</v>
      </c>
      <c r="C63" s="13"/>
      <c r="D63" s="2"/>
      <c r="E63" s="7"/>
      <c r="F63" s="35"/>
      <c r="H63" s="7"/>
      <c r="K63" s="1"/>
      <c r="L63" s="7"/>
      <c r="P63" s="62"/>
      <c r="Q63" s="5"/>
      <c r="R63" s="5"/>
      <c r="S63" s="5"/>
    </row>
    <row r="64" spans="2:19" ht="13.5" customHeight="1">
      <c r="B64" s="95"/>
      <c r="C64" s="76"/>
      <c r="D64" s="77"/>
      <c r="E64" s="78"/>
      <c r="F64" s="79"/>
      <c r="G64" s="80"/>
      <c r="H64" s="78"/>
      <c r="I64" s="80"/>
      <c r="K64" s="1"/>
      <c r="L64" s="7"/>
      <c r="N64" s="32"/>
      <c r="P64" s="62"/>
      <c r="Q64" s="5"/>
      <c r="R64" s="5"/>
      <c r="S64" s="5"/>
    </row>
    <row r="65" spans="3:20" ht="12.75">
      <c r="C65" t="s">
        <v>172</v>
      </c>
      <c r="Q65" s="21"/>
      <c r="R65" s="23"/>
      <c r="T65" s="7"/>
    </row>
    <row r="66" spans="2:4" ht="12.75">
      <c r="B66" s="9"/>
      <c r="C66" s="110">
        <f>24000/2.2</f>
        <v>10909.090909090908</v>
      </c>
      <c r="D66" t="s">
        <v>150</v>
      </c>
    </row>
    <row r="67" spans="2:6" ht="12.75">
      <c r="B67" s="9"/>
      <c r="C67" s="1" t="s">
        <v>155</v>
      </c>
      <c r="D67" s="2">
        <f>(350-20)*C66*1000*0.4/1000000</f>
        <v>1440</v>
      </c>
      <c r="E67" s="2" t="s">
        <v>152</v>
      </c>
      <c r="F67" s="31"/>
    </row>
    <row r="68" spans="3:7" ht="12.75">
      <c r="C68" s="1" t="s">
        <v>153</v>
      </c>
      <c r="D68" s="45">
        <f>D67*1000000/(17500*0.5*3600)</f>
        <v>45.714285714285715</v>
      </c>
      <c r="E68" s="2" t="s">
        <v>154</v>
      </c>
      <c r="F68" s="46"/>
      <c r="G68" s="2"/>
    </row>
    <row r="69" spans="2:6" ht="12.75">
      <c r="B69" s="1"/>
      <c r="C69" s="98"/>
      <c r="E69" s="1"/>
      <c r="F69" s="99"/>
    </row>
    <row r="71" ht="12.75">
      <c r="B71" s="9"/>
    </row>
    <row r="72" ht="12.75">
      <c r="B72" s="9"/>
    </row>
    <row r="73" spans="3:4" ht="12.75">
      <c r="C73" s="1"/>
      <c r="D73" s="2"/>
    </row>
    <row r="74" spans="4:5" ht="12.75">
      <c r="D74" s="1"/>
      <c r="E74" s="45"/>
    </row>
    <row r="75" spans="2:7" ht="12.75">
      <c r="B75" s="1"/>
      <c r="C75" s="3"/>
      <c r="G75" s="81"/>
    </row>
    <row r="76" spans="2:3" ht="12.75">
      <c r="B76" s="1"/>
      <c r="C76" s="31"/>
    </row>
    <row r="77" spans="2:3" ht="12.75">
      <c r="B77" s="1"/>
      <c r="C77" s="3"/>
    </row>
    <row r="78" spans="3:11" ht="12.75">
      <c r="C78" s="5"/>
      <c r="D78" s="5"/>
      <c r="H78" s="5"/>
      <c r="K78" s="5"/>
    </row>
    <row r="79" spans="3:11" ht="12.75">
      <c r="C79" s="10"/>
      <c r="D79" s="10"/>
      <c r="E79" s="10"/>
      <c r="G79" s="10"/>
      <c r="H79" s="10"/>
      <c r="I79" s="10"/>
      <c r="J79" s="10"/>
      <c r="K79" s="10"/>
    </row>
    <row r="80" spans="3:11" ht="12.75">
      <c r="C80" s="10"/>
      <c r="D80" s="10"/>
      <c r="E80" s="10"/>
      <c r="G80" s="5"/>
      <c r="H80" s="10"/>
      <c r="I80" s="5"/>
      <c r="J80" s="10"/>
      <c r="K80" s="10"/>
    </row>
    <row r="81" spans="3:13" ht="12.75">
      <c r="C81" s="86"/>
      <c r="D81" s="50"/>
      <c r="E81" s="35"/>
      <c r="G81" s="5"/>
      <c r="H81" s="10"/>
      <c r="I81" s="49"/>
      <c r="J81" s="35"/>
      <c r="K81" s="44"/>
      <c r="M81" s="35"/>
    </row>
    <row r="82" spans="3:11" ht="12.75">
      <c r="C82" s="5"/>
      <c r="D82" s="7"/>
      <c r="E82" s="35"/>
      <c r="G82" s="35"/>
      <c r="H82" s="5"/>
      <c r="I82" s="49"/>
      <c r="J82" s="35"/>
      <c r="K82" s="13"/>
    </row>
    <row r="83" spans="3:11" ht="12.75">
      <c r="C83" s="5"/>
      <c r="D83" s="7"/>
      <c r="E83" s="35"/>
      <c r="G83" s="35"/>
      <c r="H83" s="5"/>
      <c r="I83" s="49"/>
      <c r="J83" s="35"/>
      <c r="K83" s="13"/>
    </row>
    <row r="84" spans="3:11" ht="12.75">
      <c r="C84" s="5"/>
      <c r="D84" s="7"/>
      <c r="E84" s="35"/>
      <c r="G84" s="35"/>
      <c r="H84" s="5"/>
      <c r="I84" s="49"/>
      <c r="J84" s="35"/>
      <c r="K84" s="13"/>
    </row>
    <row r="85" spans="3:11" ht="12.75">
      <c r="C85" s="5"/>
      <c r="D85" s="7"/>
      <c r="E85" s="35"/>
      <c r="G85" s="35"/>
      <c r="H85" s="5"/>
      <c r="I85" s="49"/>
      <c r="J85" s="35"/>
      <c r="K85" s="13"/>
    </row>
    <row r="86" spans="3:13" ht="12.75">
      <c r="C86" s="5"/>
      <c r="D86" s="7"/>
      <c r="E86" s="35"/>
      <c r="G86" s="35"/>
      <c r="H86" s="5"/>
      <c r="I86" s="49"/>
      <c r="J86" s="35"/>
      <c r="K86" s="13"/>
      <c r="M86" s="32"/>
    </row>
    <row r="87" spans="3:11" ht="12.75">
      <c r="C87" s="5"/>
      <c r="D87" s="7"/>
      <c r="E87" s="35"/>
      <c r="G87" s="35"/>
      <c r="H87" s="5"/>
      <c r="I87" s="49"/>
      <c r="J87" s="35"/>
      <c r="K87" s="13"/>
    </row>
    <row r="88" spans="3:11" ht="12.75">
      <c r="C88" s="5"/>
      <c r="D88" s="7"/>
      <c r="E88" s="35"/>
      <c r="G88" s="35"/>
      <c r="H88" s="5"/>
      <c r="I88" s="49"/>
      <c r="J88" s="35"/>
      <c r="K88" s="13"/>
    </row>
    <row r="89" spans="3:11" ht="12.75">
      <c r="C89" s="5"/>
      <c r="D89" s="7"/>
      <c r="E89" s="35"/>
      <c r="G89" s="35"/>
      <c r="H89" s="5"/>
      <c r="I89" s="49"/>
      <c r="J89" s="35"/>
      <c r="K89" s="13"/>
    </row>
    <row r="90" spans="3:11" ht="12.75">
      <c r="C90" s="5"/>
      <c r="D90" s="7"/>
      <c r="E90" s="35"/>
      <c r="G90" s="35"/>
      <c r="H90" s="5"/>
      <c r="I90" s="49"/>
      <c r="J90" s="35"/>
      <c r="K90" s="13"/>
    </row>
    <row r="91" spans="3:11" ht="12.75">
      <c r="C91" s="85"/>
      <c r="D91" s="7"/>
      <c r="E91" s="35"/>
      <c r="G91" s="35"/>
      <c r="H91" s="5"/>
      <c r="I91" s="5"/>
      <c r="J91" s="10"/>
      <c r="K91" s="13"/>
    </row>
    <row r="92" spans="3:11" ht="12.75">
      <c r="C92" s="10"/>
      <c r="D92" s="7"/>
      <c r="E92" s="35"/>
      <c r="G92" s="35"/>
      <c r="H92" s="10"/>
      <c r="I92" s="49"/>
      <c r="J92" s="35"/>
      <c r="K92" s="13"/>
    </row>
    <row r="93" spans="3:11" ht="12.75">
      <c r="C93" s="10"/>
      <c r="D93" s="7"/>
      <c r="E93" s="35"/>
      <c r="G93" s="35"/>
      <c r="H93" s="10"/>
      <c r="I93" s="49"/>
      <c r="J93" s="35"/>
      <c r="K93" s="13"/>
    </row>
    <row r="94" spans="3:11" ht="12.75">
      <c r="C94" s="10"/>
      <c r="D94" s="7"/>
      <c r="E94" s="35"/>
      <c r="G94" s="35"/>
      <c r="H94" s="10"/>
      <c r="I94" s="49"/>
      <c r="J94" s="35"/>
      <c r="K94" s="13"/>
    </row>
    <row r="95" spans="3:11" ht="12.75">
      <c r="C95" s="5"/>
      <c r="D95" s="7"/>
      <c r="E95" s="35"/>
      <c r="G95" s="35"/>
      <c r="H95" s="5"/>
      <c r="I95" s="49"/>
      <c r="J95" s="35"/>
      <c r="K95" s="13"/>
    </row>
    <row r="96" spans="3:11" ht="12.75">
      <c r="C96" s="5"/>
      <c r="D96" s="7"/>
      <c r="E96" s="35"/>
      <c r="G96" s="35"/>
      <c r="H96" s="5"/>
      <c r="I96" s="49"/>
      <c r="J96" s="35"/>
      <c r="K96" s="13"/>
    </row>
    <row r="97" spans="3:11" ht="12.75">
      <c r="C97" s="5"/>
      <c r="D97" s="7"/>
      <c r="E97" s="35"/>
      <c r="G97" s="35"/>
      <c r="H97" s="5"/>
      <c r="I97" s="49"/>
      <c r="J97" s="35"/>
      <c r="K97" s="13"/>
    </row>
    <row r="98" spans="3:11" ht="12.75">
      <c r="C98" s="5"/>
      <c r="D98" s="7"/>
      <c r="E98" s="35"/>
      <c r="G98" s="35"/>
      <c r="H98" s="5"/>
      <c r="I98" s="49"/>
      <c r="J98" s="35"/>
      <c r="K98" s="13"/>
    </row>
    <row r="99" spans="3:11" ht="12.75">
      <c r="C99" s="5"/>
      <c r="D99" s="7"/>
      <c r="E99" s="35"/>
      <c r="G99" s="35"/>
      <c r="H99" s="5"/>
      <c r="I99" s="49"/>
      <c r="J99" s="35"/>
      <c r="K99" s="13"/>
    </row>
    <row r="100" spans="3:11" ht="12.75">
      <c r="C100" s="5"/>
      <c r="D100" s="7"/>
      <c r="E100" s="35"/>
      <c r="G100" s="35"/>
      <c r="H100" s="5"/>
      <c r="I100" s="49"/>
      <c r="J100" s="35"/>
      <c r="K100" s="13"/>
    </row>
    <row r="101" spans="3:11" ht="12.75">
      <c r="C101" s="5"/>
      <c r="D101" s="7"/>
      <c r="E101" s="35"/>
      <c r="G101" s="35"/>
      <c r="H101" s="5"/>
      <c r="I101" s="49"/>
      <c r="J101" s="35"/>
      <c r="K101" s="13"/>
    </row>
    <row r="102" spans="3:11" ht="12.75">
      <c r="C102" s="58"/>
      <c r="D102" s="7"/>
      <c r="E102" s="35"/>
      <c r="G102" s="35"/>
      <c r="H102" s="7"/>
      <c r="I102" s="5"/>
      <c r="J102" s="48"/>
      <c r="K102" s="13"/>
    </row>
    <row r="103" spans="3:11" ht="12.75">
      <c r="C103" s="7"/>
      <c r="D103" s="7"/>
      <c r="E103" s="35"/>
      <c r="G103" s="35"/>
      <c r="H103" s="50"/>
      <c r="I103" s="49"/>
      <c r="J103" s="35"/>
      <c r="K103" s="13"/>
    </row>
    <row r="104" spans="3:11" ht="12.75">
      <c r="C104" s="7"/>
      <c r="D104" s="7"/>
      <c r="E104" s="35"/>
      <c r="G104" s="35"/>
      <c r="H104" s="10"/>
      <c r="I104" s="49"/>
      <c r="J104" s="35"/>
      <c r="K104" s="13"/>
    </row>
    <row r="105" spans="3:11" ht="12.75">
      <c r="C105" s="7"/>
      <c r="D105" s="7"/>
      <c r="E105" s="35"/>
      <c r="G105" s="35"/>
      <c r="H105" s="10"/>
      <c r="I105" s="49"/>
      <c r="J105" s="35"/>
      <c r="K105" s="13"/>
    </row>
    <row r="106" spans="3:11" ht="12.75">
      <c r="C106" s="7"/>
      <c r="D106" s="7"/>
      <c r="E106" s="35"/>
      <c r="G106" s="35"/>
      <c r="H106" s="5"/>
      <c r="I106" s="49"/>
      <c r="J106" s="35"/>
      <c r="K106" s="13"/>
    </row>
    <row r="107" spans="3:11" ht="12.75">
      <c r="C107" s="7"/>
      <c r="D107" s="7"/>
      <c r="E107" s="35"/>
      <c r="G107" s="14"/>
      <c r="H107" s="5"/>
      <c r="I107" s="49"/>
      <c r="J107" s="35"/>
      <c r="K107" s="13"/>
    </row>
    <row r="108" spans="3:11" ht="12.75">
      <c r="C108" s="7"/>
      <c r="D108" s="7"/>
      <c r="E108" s="35"/>
      <c r="G108" s="35"/>
      <c r="H108" s="5"/>
      <c r="I108" s="49"/>
      <c r="J108" s="35"/>
      <c r="K108" s="13"/>
    </row>
    <row r="109" spans="3:11" ht="12.75">
      <c r="C109" s="7"/>
      <c r="D109" s="7"/>
      <c r="E109" s="35"/>
      <c r="G109" s="35"/>
      <c r="H109" s="5"/>
      <c r="I109" s="49"/>
      <c r="J109" s="35"/>
      <c r="K109" s="13"/>
    </row>
    <row r="110" spans="3:11" ht="12.75">
      <c r="C110" s="5"/>
      <c r="D110" s="7"/>
      <c r="E110" s="35"/>
      <c r="G110" s="35"/>
      <c r="H110" s="5"/>
      <c r="I110" s="49"/>
      <c r="J110" s="35"/>
      <c r="K110" s="13"/>
    </row>
    <row r="111" spans="3:11" ht="12.75">
      <c r="C111" s="7"/>
      <c r="D111" s="7"/>
      <c r="E111" s="35"/>
      <c r="G111" s="35"/>
      <c r="H111" s="5"/>
      <c r="I111" s="49"/>
      <c r="J111" s="35"/>
      <c r="K111" s="13"/>
    </row>
    <row r="112" spans="3:11" ht="12.75">
      <c r="C112" s="58"/>
      <c r="D112" s="7"/>
      <c r="E112" s="35"/>
      <c r="G112" s="35"/>
      <c r="H112" s="5"/>
      <c r="I112" s="5"/>
      <c r="J112" s="14"/>
      <c r="K112" s="13"/>
    </row>
    <row r="113" spans="3:11" ht="12.75">
      <c r="C113" s="7"/>
      <c r="D113" s="7"/>
      <c r="E113" s="35"/>
      <c r="G113" s="35"/>
      <c r="H113" s="50"/>
      <c r="I113" s="49"/>
      <c r="J113" s="35"/>
      <c r="K113" s="13"/>
    </row>
    <row r="114" spans="3:11" ht="12.75">
      <c r="C114" s="7"/>
      <c r="D114" s="7"/>
      <c r="E114" s="35"/>
      <c r="G114" s="5"/>
      <c r="H114" s="10"/>
      <c r="I114" s="49"/>
      <c r="J114" s="35"/>
      <c r="K114" s="13"/>
    </row>
    <row r="115" spans="3:11" ht="12.75">
      <c r="C115" s="7"/>
      <c r="D115" s="7"/>
      <c r="E115" s="35"/>
      <c r="G115" s="35"/>
      <c r="H115" s="10"/>
      <c r="I115" s="49"/>
      <c r="J115" s="35"/>
      <c r="K115" s="13"/>
    </row>
    <row r="116" spans="3:11" ht="12.75">
      <c r="C116" s="7"/>
      <c r="D116" s="7"/>
      <c r="E116" s="35"/>
      <c r="G116" s="35"/>
      <c r="H116" s="5"/>
      <c r="I116" s="49"/>
      <c r="J116" s="35"/>
      <c r="K116" s="13"/>
    </row>
    <row r="117" spans="3:11" ht="12.75">
      <c r="C117" s="7"/>
      <c r="D117" s="7"/>
      <c r="E117" s="35"/>
      <c r="G117" s="35"/>
      <c r="H117" s="5"/>
      <c r="I117" s="49"/>
      <c r="J117" s="35"/>
      <c r="K117" s="13"/>
    </row>
    <row r="118" spans="3:11" ht="12.75">
      <c r="C118" s="7"/>
      <c r="D118" s="7"/>
      <c r="E118" s="35"/>
      <c r="G118" s="35"/>
      <c r="H118" s="5"/>
      <c r="I118" s="49"/>
      <c r="J118" s="35"/>
      <c r="K118" s="13"/>
    </row>
    <row r="119" spans="3:11" ht="12.75">
      <c r="C119" s="7"/>
      <c r="D119" s="7"/>
      <c r="E119" s="35"/>
      <c r="G119" s="35"/>
      <c r="H119" s="5"/>
      <c r="I119" s="49"/>
      <c r="J119" s="35"/>
      <c r="K119" s="13"/>
    </row>
    <row r="120" spans="3:11" ht="12.75">
      <c r="C120" s="7"/>
      <c r="D120" s="7"/>
      <c r="E120" s="35"/>
      <c r="G120" s="5"/>
      <c r="H120" s="5"/>
      <c r="I120" s="49"/>
      <c r="J120" s="35"/>
      <c r="K120" s="13"/>
    </row>
    <row r="121" spans="3:11" ht="12.75">
      <c r="C121" s="5"/>
      <c r="D121" s="7"/>
      <c r="E121" s="35"/>
      <c r="G121" s="35"/>
      <c r="H121" s="5"/>
      <c r="I121" s="49"/>
      <c r="J121" s="35"/>
      <c r="K121" s="13"/>
    </row>
    <row r="122" spans="3:11" ht="12.75">
      <c r="C122" s="5"/>
      <c r="D122" s="7"/>
      <c r="E122" s="35"/>
      <c r="G122" s="35"/>
      <c r="H122" s="5"/>
      <c r="I122" s="49"/>
      <c r="J122" s="35"/>
      <c r="K122" s="13"/>
    </row>
    <row r="123" spans="3:11" ht="12.75">
      <c r="C123" s="58"/>
      <c r="D123" s="7"/>
      <c r="E123" s="35"/>
      <c r="G123" s="35"/>
      <c r="H123" s="7"/>
      <c r="I123" s="5"/>
      <c r="J123" s="14"/>
      <c r="K123" s="13"/>
    </row>
    <row r="124" spans="3:11" ht="12.75">
      <c r="C124" s="7"/>
      <c r="D124" s="7"/>
      <c r="E124" s="35"/>
      <c r="G124" s="35"/>
      <c r="H124" s="50"/>
      <c r="I124" s="49"/>
      <c r="J124" s="35"/>
      <c r="K124" s="13"/>
    </row>
    <row r="125" spans="3:11" ht="12.75">
      <c r="C125" s="7"/>
      <c r="D125" s="7"/>
      <c r="E125" s="35"/>
      <c r="G125" s="35"/>
      <c r="H125" s="10"/>
      <c r="I125" s="49"/>
      <c r="J125" s="35"/>
      <c r="K125" s="13"/>
    </row>
    <row r="126" spans="3:11" ht="12.75">
      <c r="C126" s="7"/>
      <c r="D126" s="7"/>
      <c r="E126" s="35"/>
      <c r="G126" s="35"/>
      <c r="H126" s="10"/>
      <c r="I126" s="49"/>
      <c r="J126" s="35"/>
      <c r="K126" s="13"/>
    </row>
    <row r="127" spans="3:11" ht="12.75">
      <c r="C127" s="7"/>
      <c r="D127" s="7"/>
      <c r="E127" s="35"/>
      <c r="G127" s="5"/>
      <c r="H127" s="5"/>
      <c r="I127" s="49"/>
      <c r="J127" s="35"/>
      <c r="K127" s="13"/>
    </row>
    <row r="128" spans="3:11" ht="12.75">
      <c r="C128" s="7"/>
      <c r="D128" s="7"/>
      <c r="E128" s="35"/>
      <c r="G128" s="35"/>
      <c r="H128" s="5"/>
      <c r="I128" s="49"/>
      <c r="J128" s="35"/>
      <c r="K128" s="13"/>
    </row>
    <row r="129" spans="3:11" ht="12.75">
      <c r="C129" s="7"/>
      <c r="D129" s="7"/>
      <c r="E129" s="35"/>
      <c r="G129" s="35"/>
      <c r="H129" s="5"/>
      <c r="I129" s="49"/>
      <c r="J129" s="35"/>
      <c r="K129" s="13"/>
    </row>
    <row r="130" spans="3:11" ht="12.75">
      <c r="C130" s="7"/>
      <c r="D130" s="7"/>
      <c r="E130" s="35"/>
      <c r="G130" s="35"/>
      <c r="H130" s="5"/>
      <c r="I130" s="49"/>
      <c r="J130" s="35"/>
      <c r="K130" s="13"/>
    </row>
    <row r="131" spans="3:11" ht="12.75">
      <c r="C131" s="7"/>
      <c r="D131" s="7"/>
      <c r="E131" s="35"/>
      <c r="G131" s="35"/>
      <c r="H131" s="5"/>
      <c r="I131" s="49"/>
      <c r="J131" s="35"/>
      <c r="K131" s="13"/>
    </row>
    <row r="132" spans="3:11" ht="12.75">
      <c r="C132" s="7"/>
      <c r="D132" s="7"/>
      <c r="E132" s="35"/>
      <c r="G132" s="35"/>
      <c r="H132" s="5"/>
      <c r="I132" s="49"/>
      <c r="J132" s="35"/>
      <c r="K132" s="13"/>
    </row>
    <row r="133" spans="3:11" ht="12.75">
      <c r="C133" s="58"/>
      <c r="D133" s="7"/>
      <c r="E133" s="35"/>
      <c r="G133" s="14"/>
      <c r="H133" s="5"/>
      <c r="I133" s="5"/>
      <c r="J133" s="14"/>
      <c r="K133" s="13"/>
    </row>
    <row r="134" spans="3:11" ht="12.75">
      <c r="C134" s="7"/>
      <c r="D134" s="7"/>
      <c r="E134" s="35"/>
      <c r="G134" s="35"/>
      <c r="H134" s="50"/>
      <c r="I134" s="49"/>
      <c r="J134" s="35"/>
      <c r="K134" s="13"/>
    </row>
    <row r="135" spans="3:11" ht="12.75">
      <c r="C135" s="7"/>
      <c r="D135" s="7"/>
      <c r="E135" s="35"/>
      <c r="G135" s="35"/>
      <c r="H135" s="10"/>
      <c r="I135" s="49"/>
      <c r="J135" s="35"/>
      <c r="K135" s="13"/>
    </row>
    <row r="136" spans="3:11" ht="12.75">
      <c r="C136" s="7"/>
      <c r="D136" s="7"/>
      <c r="E136" s="35"/>
      <c r="G136" s="35"/>
      <c r="H136" s="10"/>
      <c r="I136" s="49"/>
      <c r="J136" s="35"/>
      <c r="K136" s="13"/>
    </row>
    <row r="137" spans="3:11" ht="12.75">
      <c r="C137" s="7"/>
      <c r="D137" s="7"/>
      <c r="E137" s="35"/>
      <c r="G137" s="35"/>
      <c r="H137" s="5"/>
      <c r="I137" s="49"/>
      <c r="J137" s="35"/>
      <c r="K137" s="13"/>
    </row>
    <row r="138" spans="3:11" ht="12.75">
      <c r="C138" s="7"/>
      <c r="D138" s="7"/>
      <c r="E138" s="35"/>
      <c r="G138" s="35"/>
      <c r="H138" s="5"/>
      <c r="I138" s="49"/>
      <c r="J138" s="35"/>
      <c r="K138" s="13"/>
    </row>
    <row r="139" spans="3:11" ht="12.75">
      <c r="C139" s="7"/>
      <c r="D139" s="7"/>
      <c r="E139" s="35"/>
      <c r="G139" s="14"/>
      <c r="H139" s="5"/>
      <c r="I139" s="49"/>
      <c r="J139" s="35"/>
      <c r="K139" s="13"/>
    </row>
    <row r="140" spans="3:11" ht="12.75">
      <c r="C140" s="5"/>
      <c r="D140" s="7"/>
      <c r="E140" s="35"/>
      <c r="G140" s="35"/>
      <c r="H140" s="5"/>
      <c r="I140" s="49"/>
      <c r="J140" s="35"/>
      <c r="K140" s="13"/>
    </row>
    <row r="141" spans="3:11" ht="12.75">
      <c r="C141" s="5"/>
      <c r="D141" s="7"/>
      <c r="E141" s="35"/>
      <c r="G141" s="35"/>
      <c r="H141" s="5"/>
      <c r="I141" s="49"/>
      <c r="J141" s="35"/>
      <c r="K141" s="13"/>
    </row>
    <row r="142" spans="3:11" ht="12.75">
      <c r="C142" s="5"/>
      <c r="D142" s="7"/>
      <c r="E142" s="35"/>
      <c r="G142" s="35"/>
      <c r="H142" s="5"/>
      <c r="I142" s="49"/>
      <c r="J142" s="35"/>
      <c r="K142" s="13"/>
    </row>
    <row r="143" spans="3:11" ht="12.75">
      <c r="C143" s="85"/>
      <c r="D143" s="13"/>
      <c r="E143" s="35"/>
      <c r="G143" s="35"/>
      <c r="H143" s="5"/>
      <c r="I143" s="5"/>
      <c r="J143" s="14"/>
      <c r="K143" s="13"/>
    </row>
    <row r="144" spans="3:11" ht="12.75">
      <c r="C144" s="5"/>
      <c r="D144" s="7"/>
      <c r="E144" s="35"/>
      <c r="G144" s="35"/>
      <c r="H144" s="50"/>
      <c r="I144" s="49"/>
      <c r="J144" s="35"/>
      <c r="K144" s="13"/>
    </row>
    <row r="145" spans="3:11" ht="12.75">
      <c r="C145" s="5"/>
      <c r="D145" s="7"/>
      <c r="E145" s="35"/>
      <c r="G145" s="35"/>
      <c r="H145" s="10"/>
      <c r="I145" s="49"/>
      <c r="J145" s="35"/>
      <c r="K145" s="13"/>
    </row>
    <row r="146" spans="3:11" ht="12.75">
      <c r="C146" s="5"/>
      <c r="D146" s="7"/>
      <c r="E146" s="35"/>
      <c r="G146" s="5"/>
      <c r="H146" s="10"/>
      <c r="I146" s="49"/>
      <c r="J146" s="35"/>
      <c r="K146" s="13"/>
    </row>
    <row r="147" spans="3:11" ht="12.75">
      <c r="C147" s="5"/>
      <c r="D147" s="7"/>
      <c r="E147" s="35"/>
      <c r="G147" s="35"/>
      <c r="H147" s="5"/>
      <c r="I147" s="49"/>
      <c r="J147" s="35"/>
      <c r="K147" s="13"/>
    </row>
    <row r="148" spans="3:11" ht="12.75">
      <c r="C148" s="5"/>
      <c r="D148" s="7"/>
      <c r="E148" s="35"/>
      <c r="G148" s="35"/>
      <c r="H148" s="5"/>
      <c r="I148" s="49"/>
      <c r="J148" s="35"/>
      <c r="K148" s="13"/>
    </row>
    <row r="149" spans="3:11" ht="12.75">
      <c r="C149" s="5"/>
      <c r="D149" s="7"/>
      <c r="E149" s="35"/>
      <c r="G149" s="35"/>
      <c r="H149" s="5"/>
      <c r="I149" s="49"/>
      <c r="J149" s="35"/>
      <c r="K149" s="13"/>
    </row>
    <row r="150" spans="3:11" ht="12.75">
      <c r="C150" s="5"/>
      <c r="D150" s="7"/>
      <c r="E150" s="35"/>
      <c r="G150" s="35"/>
      <c r="H150" s="5"/>
      <c r="I150" s="49"/>
      <c r="J150" s="35"/>
      <c r="K150" s="13"/>
    </row>
    <row r="151" spans="3:11" ht="12.75">
      <c r="C151" s="5"/>
      <c r="D151" s="7"/>
      <c r="E151" s="35"/>
      <c r="G151" s="35"/>
      <c r="H151" s="5"/>
      <c r="I151" s="49"/>
      <c r="J151" s="35"/>
      <c r="K151" s="13"/>
    </row>
    <row r="152" spans="3:11" ht="12.75">
      <c r="C152" s="7"/>
      <c r="D152" s="7"/>
      <c r="E152" s="35"/>
      <c r="G152" s="14"/>
      <c r="H152" s="5"/>
      <c r="I152" s="49"/>
      <c r="J152" s="35"/>
      <c r="K152" s="13"/>
    </row>
    <row r="153" spans="3:11" ht="12.75">
      <c r="C153" s="7"/>
      <c r="D153" s="7"/>
      <c r="E153" s="35"/>
      <c r="G153" s="35"/>
      <c r="H153" s="7"/>
      <c r="I153" s="49"/>
      <c r="J153" s="35"/>
      <c r="K153" s="13"/>
    </row>
    <row r="154" spans="3:11" ht="12.75">
      <c r="C154" s="85"/>
      <c r="D154" s="13"/>
      <c r="E154" s="35"/>
      <c r="G154" s="35"/>
      <c r="H154" s="5"/>
      <c r="I154" s="14"/>
      <c r="J154" s="5"/>
      <c r="K154" s="13"/>
    </row>
    <row r="155" spans="3:11" ht="12.75">
      <c r="C155" s="5"/>
      <c r="D155" s="7"/>
      <c r="E155" s="35"/>
      <c r="G155" s="35"/>
      <c r="H155" s="50"/>
      <c r="I155" s="49"/>
      <c r="J155" s="35"/>
      <c r="K155" s="13"/>
    </row>
    <row r="156" spans="3:11" ht="12.75">
      <c r="C156" s="5"/>
      <c r="D156" s="7"/>
      <c r="E156" s="35"/>
      <c r="G156" s="35"/>
      <c r="H156" s="50"/>
      <c r="I156" s="49"/>
      <c r="J156" s="35"/>
      <c r="K156" s="13"/>
    </row>
    <row r="157" spans="3:11" ht="12.75">
      <c r="C157" s="5"/>
      <c r="D157" s="7"/>
      <c r="E157" s="35"/>
      <c r="G157" s="35"/>
      <c r="H157" s="50"/>
      <c r="I157" s="49"/>
      <c r="J157" s="35"/>
      <c r="K157" s="13"/>
    </row>
    <row r="158" spans="3:11" ht="12.75">
      <c r="C158" s="5"/>
      <c r="D158" s="7"/>
      <c r="E158" s="35"/>
      <c r="G158" s="35"/>
      <c r="H158" s="50"/>
      <c r="I158" s="49"/>
      <c r="J158" s="35"/>
      <c r="K158" s="13"/>
    </row>
    <row r="159" spans="3:11" ht="12.75">
      <c r="C159" s="5"/>
      <c r="D159" s="7"/>
      <c r="E159" s="35"/>
      <c r="G159" s="5"/>
      <c r="H159" s="50"/>
      <c r="I159" s="49"/>
      <c r="J159" s="35"/>
      <c r="K159" s="13"/>
    </row>
    <row r="160" spans="3:11" ht="12.75">
      <c r="C160" s="5"/>
      <c r="D160" s="7"/>
      <c r="E160" s="35"/>
      <c r="G160" s="35"/>
      <c r="H160" s="50"/>
      <c r="I160" s="49"/>
      <c r="J160" s="35"/>
      <c r="K160" s="13"/>
    </row>
    <row r="161" spans="3:11" ht="12.75">
      <c r="C161" s="5"/>
      <c r="D161" s="7"/>
      <c r="E161" s="35"/>
      <c r="G161" s="35"/>
      <c r="H161" s="50"/>
      <c r="I161" s="49"/>
      <c r="J161" s="35"/>
      <c r="K161" s="13"/>
    </row>
    <row r="162" spans="3:11" ht="12.75">
      <c r="C162" s="5"/>
      <c r="D162" s="7"/>
      <c r="E162" s="35"/>
      <c r="G162" s="35"/>
      <c r="H162" s="50"/>
      <c r="I162" s="49"/>
      <c r="J162" s="35"/>
      <c r="K162" s="13"/>
    </row>
    <row r="163" spans="3:11" ht="12.75">
      <c r="C163" s="7"/>
      <c r="D163" s="7"/>
      <c r="E163" s="35"/>
      <c r="G163" s="35"/>
      <c r="H163" s="50"/>
      <c r="I163" s="49"/>
      <c r="J163" s="35"/>
      <c r="K163" s="13"/>
    </row>
    <row r="164" spans="3:11" ht="12.75">
      <c r="C164" s="7"/>
      <c r="D164" s="7"/>
      <c r="E164" s="35"/>
      <c r="G164" s="35"/>
      <c r="H164" s="7"/>
      <c r="I164" s="49"/>
      <c r="J164" s="35"/>
      <c r="K164" s="13"/>
    </row>
    <row r="165" spans="3:11" ht="12.75">
      <c r="C165" s="85"/>
      <c r="D165" s="13"/>
      <c r="E165" s="35"/>
      <c r="G165" s="35"/>
      <c r="H165" s="7"/>
      <c r="I165" s="5"/>
      <c r="J165" s="5"/>
      <c r="K165" s="13"/>
    </row>
    <row r="166" spans="3:11" ht="12.75">
      <c r="C166" s="5"/>
      <c r="D166" s="7"/>
      <c r="E166" s="35"/>
      <c r="G166" s="5"/>
      <c r="H166" s="50"/>
      <c r="I166" s="49"/>
      <c r="J166" s="35"/>
      <c r="K166" s="13"/>
    </row>
    <row r="167" spans="3:11" ht="12.75">
      <c r="C167" s="5"/>
      <c r="D167" s="7"/>
      <c r="E167" s="35"/>
      <c r="H167" s="50"/>
      <c r="I167" s="49"/>
      <c r="J167" s="35"/>
      <c r="K167" s="13"/>
    </row>
    <row r="168" spans="3:11" ht="12.75">
      <c r="C168" s="5"/>
      <c r="D168" s="7"/>
      <c r="E168" s="35"/>
      <c r="H168" s="50"/>
      <c r="I168" s="49"/>
      <c r="J168" s="35"/>
      <c r="K168" s="13"/>
    </row>
    <row r="169" spans="3:11" ht="12.75">
      <c r="C169" s="5"/>
      <c r="D169" s="7"/>
      <c r="E169" s="35"/>
      <c r="H169" s="50"/>
      <c r="I169" s="49"/>
      <c r="J169" s="35"/>
      <c r="K169" s="13"/>
    </row>
    <row r="170" spans="3:11" ht="12.75">
      <c r="C170" s="5"/>
      <c r="D170" s="7"/>
      <c r="E170" s="35"/>
      <c r="H170" s="50"/>
      <c r="I170" s="49"/>
      <c r="J170" s="35"/>
      <c r="K170" s="13"/>
    </row>
    <row r="171" spans="3:11" ht="12.75">
      <c r="C171" s="5"/>
      <c r="D171" s="7"/>
      <c r="E171" s="35"/>
      <c r="H171" s="50"/>
      <c r="I171" s="49"/>
      <c r="J171" s="35"/>
      <c r="K171" s="13"/>
    </row>
    <row r="172" spans="3:11" ht="12.75">
      <c r="C172" s="5"/>
      <c r="D172" s="7"/>
      <c r="E172" s="35"/>
      <c r="H172" s="50"/>
      <c r="I172" s="49"/>
      <c r="J172" s="35"/>
      <c r="K172" s="13"/>
    </row>
    <row r="173" spans="3:11" ht="12.75">
      <c r="C173" s="5"/>
      <c r="D173" s="7"/>
      <c r="E173" s="35"/>
      <c r="H173" s="50"/>
      <c r="I173" s="49"/>
      <c r="J173" s="35"/>
      <c r="K173" s="13"/>
    </row>
    <row r="174" spans="3:11" ht="12.75">
      <c r="C174" s="7"/>
      <c r="D174" s="7"/>
      <c r="E174" s="35"/>
      <c r="H174" s="50"/>
      <c r="I174" s="49"/>
      <c r="J174" s="35"/>
      <c r="K174" s="13"/>
    </row>
    <row r="175" spans="3:11" ht="12.75">
      <c r="C175" s="7"/>
      <c r="D175" s="49"/>
      <c r="E175" s="35"/>
      <c r="F175" s="13"/>
      <c r="H175" s="7"/>
      <c r="I175" s="49"/>
      <c r="J175" s="35"/>
      <c r="K175" s="13"/>
    </row>
    <row r="176" spans="3:11" ht="12.75">
      <c r="C176" s="5"/>
      <c r="D176" s="49"/>
      <c r="E176" s="35"/>
      <c r="F176" s="13"/>
      <c r="H176" s="7"/>
      <c r="I176" s="5"/>
      <c r="J176" s="5"/>
      <c r="K176" s="13"/>
    </row>
    <row r="177" spans="3:11" ht="12.75">
      <c r="C177" s="5"/>
      <c r="D177" s="49"/>
      <c r="E177" s="35"/>
      <c r="F177" s="13"/>
      <c r="H177" s="50"/>
      <c r="I177" s="49"/>
      <c r="J177" s="35"/>
      <c r="K177" s="13"/>
    </row>
    <row r="178" spans="3:11" ht="12.75">
      <c r="C178" s="5"/>
      <c r="D178" s="49"/>
      <c r="E178" s="35"/>
      <c r="F178" s="13"/>
      <c r="H178" s="50"/>
      <c r="I178" s="49"/>
      <c r="J178" s="35"/>
      <c r="K178" s="13"/>
    </row>
    <row r="179" spans="3:11" ht="12.75">
      <c r="C179" s="5"/>
      <c r="D179" s="49"/>
      <c r="E179" s="35"/>
      <c r="F179" s="13"/>
      <c r="H179" s="50"/>
      <c r="I179" s="49"/>
      <c r="J179" s="35"/>
      <c r="K179" s="13"/>
    </row>
    <row r="180" spans="3:11" ht="12.75">
      <c r="C180" s="5"/>
      <c r="D180" s="49"/>
      <c r="E180" s="35"/>
      <c r="F180" s="13"/>
      <c r="H180" s="50"/>
      <c r="I180" s="49"/>
      <c r="J180" s="35"/>
      <c r="K180" s="13"/>
    </row>
    <row r="181" spans="3:11" ht="12.75">
      <c r="C181" s="5"/>
      <c r="D181" s="49"/>
      <c r="E181" s="35"/>
      <c r="F181" s="13"/>
      <c r="H181" s="50"/>
      <c r="I181" s="49"/>
      <c r="J181" s="35"/>
      <c r="K181" s="13"/>
    </row>
    <row r="182" spans="3:11" ht="12.75">
      <c r="C182" s="5"/>
      <c r="D182" s="49"/>
      <c r="E182" s="35"/>
      <c r="F182" s="13"/>
      <c r="H182" s="50"/>
      <c r="I182" s="49"/>
      <c r="J182" s="35"/>
      <c r="K182" s="13"/>
    </row>
    <row r="183" spans="3:11" ht="12.75">
      <c r="C183" s="5"/>
      <c r="D183" s="49"/>
      <c r="H183" s="50"/>
      <c r="I183" s="49"/>
      <c r="J183" s="35"/>
      <c r="K183" s="13"/>
    </row>
    <row r="184" spans="3:11" ht="12.75">
      <c r="C184" s="5"/>
      <c r="D184" s="49"/>
      <c r="H184" s="50"/>
      <c r="I184" s="49"/>
      <c r="J184" s="35"/>
      <c r="K184" s="13"/>
    </row>
    <row r="185" spans="8:11" ht="12.75">
      <c r="H185" s="50"/>
      <c r="I185" s="49"/>
      <c r="J185" s="35"/>
      <c r="K185" s="13"/>
    </row>
    <row r="186" spans="8:11" ht="12.75">
      <c r="H186" s="7"/>
      <c r="I186" s="49"/>
      <c r="J186" s="35"/>
      <c r="K186" s="13"/>
    </row>
    <row r="187" spans="8:11" ht="12.75">
      <c r="H187" s="7"/>
      <c r="I187" s="14"/>
      <c r="J187" s="14"/>
      <c r="K187" s="13"/>
    </row>
    <row r="188" spans="8:11" ht="12.75">
      <c r="H188" s="50"/>
      <c r="I188" s="49"/>
      <c r="J188" s="35"/>
      <c r="K188" s="13"/>
    </row>
    <row r="189" spans="8:11" ht="12.75">
      <c r="H189" s="50"/>
      <c r="I189" s="49"/>
      <c r="J189" s="35"/>
      <c r="K189" s="13"/>
    </row>
    <row r="190" spans="8:11" ht="12.75">
      <c r="H190" s="50"/>
      <c r="I190" s="49"/>
      <c r="J190" s="35"/>
      <c r="K190" s="13"/>
    </row>
    <row r="191" spans="8:11" ht="12.75">
      <c r="H191" s="50"/>
      <c r="I191" s="49"/>
      <c r="J191" s="35"/>
      <c r="K191" s="13"/>
    </row>
    <row r="192" spans="8:11" ht="12.75">
      <c r="H192" s="50"/>
      <c r="I192" s="49"/>
      <c r="J192" s="35"/>
      <c r="K192" s="13"/>
    </row>
    <row r="193" spans="8:11" ht="12.75">
      <c r="H193" s="50"/>
      <c r="I193" s="49"/>
      <c r="J193" s="35"/>
      <c r="K193" s="13"/>
    </row>
    <row r="194" spans="8:11" ht="12.75">
      <c r="H194" s="50"/>
      <c r="I194" s="49"/>
      <c r="J194" s="35"/>
      <c r="K194" s="13"/>
    </row>
    <row r="195" spans="8:11" ht="12.75">
      <c r="H195" s="50"/>
      <c r="I195" s="49"/>
      <c r="J195" s="35"/>
      <c r="K195" s="13"/>
    </row>
    <row r="196" spans="8:11" ht="12.75">
      <c r="H196" s="50"/>
      <c r="I196" s="49"/>
      <c r="J196" s="35"/>
      <c r="K196" s="13"/>
    </row>
    <row r="197" spans="8:11" ht="12.75">
      <c r="H197" s="50"/>
      <c r="I197" s="49"/>
      <c r="J197" s="35"/>
      <c r="K197" s="13"/>
    </row>
    <row r="198" spans="8:11" ht="12.75">
      <c r="H198" s="5"/>
      <c r="I198" s="5"/>
      <c r="J198" s="5"/>
      <c r="K198" s="13"/>
    </row>
    <row r="199" spans="8:11" ht="12.75">
      <c r="H199" s="50"/>
      <c r="I199" s="49"/>
      <c r="J199" s="35"/>
      <c r="K199" s="13"/>
    </row>
    <row r="200" spans="8:11" ht="12.75">
      <c r="H200" s="50"/>
      <c r="I200" s="49"/>
      <c r="J200" s="35"/>
      <c r="K200" s="13"/>
    </row>
    <row r="201" spans="8:11" ht="12.75">
      <c r="H201" s="50"/>
      <c r="I201" s="49"/>
      <c r="J201" s="35"/>
      <c r="K201" s="13"/>
    </row>
    <row r="202" spans="8:11" ht="12.75">
      <c r="H202" s="50"/>
      <c r="I202" s="49"/>
      <c r="J202" s="35"/>
      <c r="K202" s="13"/>
    </row>
    <row r="203" spans="8:11" ht="12.75">
      <c r="H203" s="50"/>
      <c r="I203" s="49"/>
      <c r="J203" s="35"/>
      <c r="K203" s="13"/>
    </row>
    <row r="204" spans="8:11" ht="12.75">
      <c r="H204" s="50"/>
      <c r="I204" s="49"/>
      <c r="J204" s="35"/>
      <c r="K204" s="13"/>
    </row>
    <row r="205" spans="8:11" ht="12.75">
      <c r="H205" s="50"/>
      <c r="I205" s="49"/>
      <c r="J205" s="35"/>
      <c r="K205" s="13"/>
    </row>
    <row r="206" spans="8:11" ht="12.75">
      <c r="H206" s="50"/>
      <c r="I206" s="49"/>
      <c r="J206" s="35"/>
      <c r="K206" s="13"/>
    </row>
    <row r="207" spans="8:11" ht="12.75">
      <c r="H207" s="50"/>
      <c r="I207" s="49"/>
      <c r="J207" s="35"/>
      <c r="K207" s="13"/>
    </row>
    <row r="208" spans="8:11" ht="12.75">
      <c r="H208" s="50"/>
      <c r="I208" s="49"/>
      <c r="J208" s="35"/>
      <c r="K208" s="13"/>
    </row>
    <row r="209" spans="8:11" ht="12.75">
      <c r="H209" s="5"/>
      <c r="I209" s="5"/>
      <c r="J209" s="5"/>
      <c r="K209" s="13"/>
    </row>
    <row r="210" spans="8:11" ht="12.75">
      <c r="H210" s="50"/>
      <c r="I210" s="49"/>
      <c r="J210" s="35"/>
      <c r="K210" s="13"/>
    </row>
    <row r="211" spans="8:11" ht="12.75">
      <c r="H211" s="50"/>
      <c r="I211" s="49"/>
      <c r="J211" s="35"/>
      <c r="K211" s="13"/>
    </row>
    <row r="212" spans="8:11" ht="12.75">
      <c r="H212" s="50"/>
      <c r="I212" s="49"/>
      <c r="J212" s="35"/>
      <c r="K212" s="13"/>
    </row>
    <row r="213" spans="8:11" ht="12.75">
      <c r="H213" s="50"/>
      <c r="I213" s="49"/>
      <c r="J213" s="35"/>
      <c r="K213" s="13"/>
    </row>
    <row r="214" spans="8:11" ht="12.75">
      <c r="H214" s="50"/>
      <c r="I214" s="49"/>
      <c r="J214" s="35"/>
      <c r="K214" s="13"/>
    </row>
    <row r="215" spans="8:11" ht="12.75">
      <c r="H215" s="50"/>
      <c r="I215" s="49"/>
      <c r="J215" s="35"/>
      <c r="K215" s="13"/>
    </row>
    <row r="216" spans="8:11" ht="12.75">
      <c r="H216" s="50"/>
      <c r="I216" s="49"/>
      <c r="J216" s="35"/>
      <c r="K216" s="13"/>
    </row>
    <row r="217" spans="8:11" ht="12.75">
      <c r="H217" s="50"/>
      <c r="I217" s="49"/>
      <c r="J217" s="35"/>
      <c r="K217" s="13"/>
    </row>
    <row r="218" spans="8:11" ht="12.75">
      <c r="H218" s="50"/>
      <c r="I218" s="49"/>
      <c r="J218" s="35"/>
      <c r="K218" s="13"/>
    </row>
    <row r="219" spans="8:11" ht="12.75">
      <c r="H219" s="50"/>
      <c r="I219" s="49"/>
      <c r="J219" s="35"/>
      <c r="K219" s="13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R44"/>
  <sheetViews>
    <sheetView zoomScale="75" zoomScaleNormal="75" workbookViewId="0" topLeftCell="A1">
      <selection activeCell="I18" sqref="I18"/>
    </sheetView>
  </sheetViews>
  <sheetFormatPr defaultColWidth="9.00390625" defaultRowHeight="12.75"/>
  <cols>
    <col min="1" max="2" width="11.375" style="0" customWidth="1"/>
    <col min="3" max="3" width="4.75390625" style="0" customWidth="1"/>
    <col min="4" max="4" width="13.25390625" style="0" customWidth="1"/>
    <col min="5" max="5" width="7.25390625" style="0" customWidth="1"/>
    <col min="6" max="6" width="6.625" style="0" customWidth="1"/>
    <col min="7" max="7" width="8.25390625" style="0" customWidth="1"/>
    <col min="8" max="8" width="9.625" style="0" customWidth="1"/>
    <col min="9" max="9" width="6.00390625" style="0" customWidth="1"/>
    <col min="10" max="10" width="6.25390625" style="0" customWidth="1"/>
    <col min="11" max="11" width="9.75390625" style="0" customWidth="1"/>
    <col min="12" max="12" width="9.375" style="0" customWidth="1"/>
    <col min="13" max="13" width="7.375" style="0" customWidth="1"/>
    <col min="14" max="14" width="6.75390625" style="0" customWidth="1"/>
    <col min="15" max="15" width="7.00390625" style="0" customWidth="1"/>
    <col min="16" max="16" width="6.875" style="0" customWidth="1"/>
    <col min="17" max="17" width="9.00390625" style="0" customWidth="1"/>
    <col min="18" max="18" width="8.875" style="0" customWidth="1"/>
    <col min="19" max="16384" width="11.375" style="0" customWidth="1"/>
  </cols>
  <sheetData>
    <row r="4" ht="12.75">
      <c r="B4" s="13"/>
    </row>
    <row r="24" spans="3:18" ht="12.75">
      <c r="C24" s="5"/>
      <c r="D24" s="5"/>
      <c r="E24" s="5"/>
      <c r="F24" s="5"/>
      <c r="G24" s="5" t="s">
        <v>137</v>
      </c>
      <c r="I24" s="5"/>
      <c r="J24" s="5"/>
      <c r="K24" s="5" t="s">
        <v>147</v>
      </c>
      <c r="L24" s="5"/>
      <c r="M24" s="5"/>
      <c r="N24" s="5"/>
      <c r="O24" s="5"/>
      <c r="Q24" s="5"/>
      <c r="R24" s="5"/>
    </row>
    <row r="25" spans="3:18" ht="12.75">
      <c r="C25" s="5" t="s">
        <v>135</v>
      </c>
      <c r="D25" s="5" t="s">
        <v>133</v>
      </c>
      <c r="E25" s="5" t="s">
        <v>136</v>
      </c>
      <c r="F25" s="5" t="s">
        <v>136</v>
      </c>
      <c r="G25" s="5" t="s">
        <v>145</v>
      </c>
      <c r="H25" s="5" t="s">
        <v>89</v>
      </c>
      <c r="I25" s="5"/>
      <c r="J25" s="5"/>
      <c r="K25" s="5" t="s">
        <v>29</v>
      </c>
      <c r="L25" s="5" t="s">
        <v>138</v>
      </c>
      <c r="M25" s="5" t="s">
        <v>139</v>
      </c>
      <c r="N25" s="5" t="s">
        <v>140</v>
      </c>
      <c r="O25" s="5" t="s">
        <v>141</v>
      </c>
      <c r="Q25" s="5"/>
      <c r="R25" s="5"/>
    </row>
    <row r="26" spans="3:18" ht="12.75">
      <c r="C26" s="6" t="s">
        <v>134</v>
      </c>
      <c r="D26" s="6" t="s">
        <v>134</v>
      </c>
      <c r="E26" s="6" t="s">
        <v>68</v>
      </c>
      <c r="F26" s="6" t="s">
        <v>69</v>
      </c>
      <c r="G26" s="6" t="s">
        <v>143</v>
      </c>
      <c r="H26" s="6" t="s">
        <v>90</v>
      </c>
      <c r="I26" s="6" t="s">
        <v>32</v>
      </c>
      <c r="J26" s="6" t="s">
        <v>33</v>
      </c>
      <c r="K26" s="6" t="s">
        <v>34</v>
      </c>
      <c r="L26" s="6" t="s">
        <v>142</v>
      </c>
      <c r="M26" s="6" t="s">
        <v>108</v>
      </c>
      <c r="N26" s="6" t="s">
        <v>144</v>
      </c>
      <c r="O26" s="6" t="s">
        <v>144</v>
      </c>
      <c r="Q26" s="10"/>
      <c r="R26" s="10"/>
    </row>
    <row r="27" spans="3:18" ht="12.75">
      <c r="C27" s="5">
        <v>1</v>
      </c>
      <c r="D27" t="s">
        <v>70</v>
      </c>
      <c r="E27" s="13">
        <v>180.618489</v>
      </c>
      <c r="F27" s="13">
        <v>458.77096206000004</v>
      </c>
      <c r="G27" s="35">
        <v>0.099</v>
      </c>
      <c r="H27" s="13">
        <v>1.33446376529183</v>
      </c>
      <c r="I27" s="14">
        <v>6587.652309303878</v>
      </c>
      <c r="J27" s="35">
        <v>0.035075543989884314</v>
      </c>
      <c r="K27" s="35">
        <v>0.11723750632409535</v>
      </c>
      <c r="L27" s="13">
        <v>15.87498760510756</v>
      </c>
      <c r="M27" s="13">
        <v>351.12501239489245</v>
      </c>
      <c r="N27" s="13">
        <v>19.05436220084609</v>
      </c>
      <c r="O27" s="13">
        <v>19.539021135761956</v>
      </c>
      <c r="Q27" s="35"/>
      <c r="R27" s="7"/>
    </row>
    <row r="28" spans="3:18" ht="12.75">
      <c r="C28" s="5">
        <v>2</v>
      </c>
      <c r="D28" t="s">
        <v>71</v>
      </c>
      <c r="E28" s="13">
        <v>173.798367</v>
      </c>
      <c r="F28" s="13">
        <v>441.44785218000004</v>
      </c>
      <c r="G28" s="35">
        <v>0.099</v>
      </c>
      <c r="H28" s="13">
        <v>1.3603950484035694</v>
      </c>
      <c r="I28" s="14">
        <v>6715.663486165548</v>
      </c>
      <c r="J28" s="35">
        <v>0.03490718688424794</v>
      </c>
      <c r="K28" s="35">
        <v>0.11905651822976053</v>
      </c>
      <c r="L28" s="13">
        <v>15.216866492846803</v>
      </c>
      <c r="M28" s="13">
        <v>351.7831335071532</v>
      </c>
      <c r="N28" s="13">
        <v>19.455746131959664</v>
      </c>
      <c r="O28" s="13">
        <v>19.92959933882662</v>
      </c>
      <c r="Q28" s="35"/>
      <c r="R28" s="7"/>
    </row>
    <row r="29" spans="3:18" ht="12.75">
      <c r="C29" s="5">
        <v>3</v>
      </c>
      <c r="D29" t="s">
        <v>72</v>
      </c>
      <c r="E29" s="13">
        <v>171.546876</v>
      </c>
      <c r="F29" s="13">
        <v>435.72906504</v>
      </c>
      <c r="G29" s="35">
        <v>0.099</v>
      </c>
      <c r="H29" s="13">
        <v>1.3692932946799758</v>
      </c>
      <c r="I29" s="14">
        <v>6759.5901585534675</v>
      </c>
      <c r="J29" s="35">
        <v>0.03485033774828005</v>
      </c>
      <c r="K29" s="35">
        <v>0.11967910390330454</v>
      </c>
      <c r="L29" s="13">
        <v>15.000165978864953</v>
      </c>
      <c r="M29" s="13">
        <v>351.99983402113503</v>
      </c>
      <c r="N29" s="13">
        <v>19.593318657747524</v>
      </c>
      <c r="O29" s="13">
        <v>20.063563633737495</v>
      </c>
      <c r="Q29" s="35"/>
      <c r="R29" s="7"/>
    </row>
    <row r="30" spans="3:18" ht="12.75">
      <c r="C30" s="5">
        <v>4</v>
      </c>
      <c r="D30" t="s">
        <v>73</v>
      </c>
      <c r="E30" s="13">
        <v>191.635495</v>
      </c>
      <c r="F30" s="13">
        <v>486.7541573</v>
      </c>
      <c r="G30" s="35">
        <v>0.099</v>
      </c>
      <c r="H30" s="13">
        <v>1.2955372717082716</v>
      </c>
      <c r="I30" s="14">
        <v>6395.4895754639265</v>
      </c>
      <c r="J30" s="35">
        <v>0.03533610150379934</v>
      </c>
      <c r="K30" s="35">
        <v>0.114493563631945</v>
      </c>
      <c r="L30" s="13">
        <v>16.943320176252538</v>
      </c>
      <c r="M30" s="13">
        <v>350.05667982374746</v>
      </c>
      <c r="N30" s="13">
        <v>18.45043524427099</v>
      </c>
      <c r="O30" s="13">
        <v>18.952173917265124</v>
      </c>
      <c r="Q30" s="35"/>
      <c r="R30" s="7"/>
    </row>
    <row r="31" spans="3:18" ht="12.75">
      <c r="C31" s="5">
        <v>5</v>
      </c>
      <c r="D31" t="s">
        <v>74</v>
      </c>
      <c r="E31" s="13">
        <v>190.612713</v>
      </c>
      <c r="F31" s="13">
        <v>484.15629102</v>
      </c>
      <c r="G31" s="35">
        <v>0.099</v>
      </c>
      <c r="H31" s="13">
        <v>1.2990083924324092</v>
      </c>
      <c r="I31" s="14">
        <v>6412.624950023338</v>
      </c>
      <c r="J31" s="35">
        <v>0.03531247213887283</v>
      </c>
      <c r="K31" s="35">
        <v>0.11473890716532052</v>
      </c>
      <c r="L31" s="13">
        <v>16.843875341454776</v>
      </c>
      <c r="M31" s="13">
        <v>350.1561246585452</v>
      </c>
      <c r="N31" s="13">
        <v>18.504359463500244</v>
      </c>
      <c r="O31" s="13">
        <v>19.004531269157216</v>
      </c>
      <c r="Q31" s="35"/>
      <c r="R31" s="7"/>
    </row>
    <row r="32" spans="3:18" ht="12.75">
      <c r="C32" s="5">
        <v>6</v>
      </c>
      <c r="D32" t="s">
        <v>75</v>
      </c>
      <c r="E32" s="13">
        <v>194.749661</v>
      </c>
      <c r="F32" s="13">
        <v>494.66413894000004</v>
      </c>
      <c r="G32" s="35">
        <v>0.099</v>
      </c>
      <c r="H32" s="13">
        <v>1.285137312701769</v>
      </c>
      <c r="I32" s="14">
        <v>6344.149617236683</v>
      </c>
      <c r="J32" s="35">
        <v>0.03540737482436717</v>
      </c>
      <c r="K32" s="35">
        <v>0.11375769144209143</v>
      </c>
      <c r="L32" s="13">
        <v>17.24643559902738</v>
      </c>
      <c r="M32" s="13">
        <v>349.7535644009726</v>
      </c>
      <c r="N32" s="13">
        <v>18.288783744806175</v>
      </c>
      <c r="O32" s="13">
        <v>18.79527033768941</v>
      </c>
      <c r="Q32" s="35"/>
      <c r="R32" s="7"/>
    </row>
    <row r="33" spans="3:18" ht="12.75">
      <c r="C33" s="5">
        <v>7</v>
      </c>
      <c r="D33" t="s">
        <v>76</v>
      </c>
      <c r="E33" s="13">
        <v>207.522776</v>
      </c>
      <c r="F33" s="13">
        <v>527.10785104</v>
      </c>
      <c r="G33" s="35">
        <v>0.099</v>
      </c>
      <c r="H33" s="13">
        <v>1.2449588710237742</v>
      </c>
      <c r="I33" s="14">
        <v>6145.806574144472</v>
      </c>
      <c r="J33" s="35">
        <v>0.03568965589627665</v>
      </c>
      <c r="K33" s="35">
        <v>0.11090347309677104</v>
      </c>
      <c r="L33" s="13">
        <v>18.494701006554937</v>
      </c>
      <c r="M33" s="13">
        <v>348.5052989934451</v>
      </c>
      <c r="N33" s="13">
        <v>17.662987823133243</v>
      </c>
      <c r="O33" s="13">
        <v>18.188601489179742</v>
      </c>
      <c r="Q33" s="35"/>
      <c r="R33" s="7"/>
    </row>
    <row r="34" spans="3:18" ht="12.75">
      <c r="C34" s="5">
        <v>8</v>
      </c>
      <c r="D34" t="s">
        <v>77</v>
      </c>
      <c r="E34" s="13">
        <v>215.935967</v>
      </c>
      <c r="F34" s="13">
        <v>548.47735618</v>
      </c>
      <c r="G34" s="35">
        <v>0.099</v>
      </c>
      <c r="H34" s="13">
        <v>1.2204651852689679</v>
      </c>
      <c r="I34" s="14">
        <v>6024.892174126479</v>
      </c>
      <c r="J34" s="35">
        <v>0.035867388995620086</v>
      </c>
      <c r="K34" s="35">
        <v>0.10915445356157097</v>
      </c>
      <c r="L34" s="13">
        <v>19.321126950419647</v>
      </c>
      <c r="M34" s="13">
        <v>347.6788730495804</v>
      </c>
      <c r="N34" s="13">
        <v>17.280422361842888</v>
      </c>
      <c r="O34" s="13">
        <v>17.818345027986812</v>
      </c>
      <c r="Q34" s="35"/>
      <c r="R34" s="7"/>
    </row>
    <row r="35" spans="3:18" ht="12.75">
      <c r="C35" s="5">
        <v>9</v>
      </c>
      <c r="D35" t="s">
        <v>78</v>
      </c>
      <c r="E35" s="13">
        <v>245.262422</v>
      </c>
      <c r="F35" s="13">
        <v>622.96655188</v>
      </c>
      <c r="G35" s="35">
        <v>0.099</v>
      </c>
      <c r="H35" s="13">
        <v>1.1451763802627086</v>
      </c>
      <c r="I35" s="14">
        <v>5653.224929901419</v>
      </c>
      <c r="J35" s="35">
        <v>0.036442907293904994</v>
      </c>
      <c r="K35" s="35">
        <v>0.1037335042441994</v>
      </c>
      <c r="L35" s="13">
        <v>22.226397831888928</v>
      </c>
      <c r="M35" s="13">
        <v>344.7736021681111</v>
      </c>
      <c r="N35" s="13">
        <v>16.098772560903765</v>
      </c>
      <c r="O35" s="13">
        <v>16.67797782685874</v>
      </c>
      <c r="Q35" s="35"/>
      <c r="R35" s="7"/>
    </row>
    <row r="36" spans="3:18" ht="12.75">
      <c r="C36" s="5">
        <v>10</v>
      </c>
      <c r="D36" t="s">
        <v>79</v>
      </c>
      <c r="E36" s="13">
        <v>246.159937</v>
      </c>
      <c r="F36" s="13">
        <v>625.24623998</v>
      </c>
      <c r="G36" s="35">
        <v>0.099</v>
      </c>
      <c r="H36" s="13">
        <v>1.1430867803639442</v>
      </c>
      <c r="I36" s="14">
        <v>5642.9095073649305</v>
      </c>
      <c r="J36" s="35">
        <v>0.03645955059470002</v>
      </c>
      <c r="K36" s="35">
        <v>0.10358205082269276</v>
      </c>
      <c r="L36" s="13">
        <v>22.31588316112717</v>
      </c>
      <c r="M36" s="13">
        <v>344.68411683887285</v>
      </c>
      <c r="N36" s="13">
        <v>16.065841708868422</v>
      </c>
      <c r="O36" s="13">
        <v>16.646273416089727</v>
      </c>
      <c r="Q36" s="35"/>
      <c r="R36" s="7"/>
    </row>
    <row r="37" spans="3:18" ht="12.75">
      <c r="C37" s="5">
        <v>11</v>
      </c>
      <c r="D37" t="s">
        <v>80</v>
      </c>
      <c r="E37" s="13">
        <v>256.115759</v>
      </c>
      <c r="F37" s="13">
        <v>650.53402786</v>
      </c>
      <c r="G37" s="35">
        <v>0.099</v>
      </c>
      <c r="H37" s="13">
        <v>1.1206493340625212</v>
      </c>
      <c r="I37" s="14">
        <v>5532.145844246566</v>
      </c>
      <c r="J37" s="35">
        <v>0.03664069285924248</v>
      </c>
      <c r="K37" s="35">
        <v>0.10195227788132964</v>
      </c>
      <c r="L37" s="13">
        <v>23.310677797806022</v>
      </c>
      <c r="M37" s="13">
        <v>343.689322202194</v>
      </c>
      <c r="N37" s="13">
        <v>15.711738397484599</v>
      </c>
      <c r="O37" s="13">
        <v>16.305637559090474</v>
      </c>
      <c r="Q37" s="35"/>
      <c r="R37" s="7"/>
    </row>
    <row r="38" spans="3:18" ht="12.75">
      <c r="C38" s="5">
        <v>12</v>
      </c>
      <c r="D38" t="s">
        <v>81</v>
      </c>
      <c r="E38" s="13">
        <v>232.114606</v>
      </c>
      <c r="F38" s="13">
        <v>589.5710992400001</v>
      </c>
      <c r="G38" s="35">
        <v>0.099</v>
      </c>
      <c r="H38" s="13">
        <v>1.1771631364259385</v>
      </c>
      <c r="I38" s="14">
        <v>5811.129275891479</v>
      </c>
      <c r="J38" s="35">
        <v>0.03619278045297854</v>
      </c>
      <c r="K38" s="35">
        <v>0.106045065905375</v>
      </c>
      <c r="L38" s="13">
        <v>20.919325920477604</v>
      </c>
      <c r="M38" s="13">
        <v>346.0806740795224</v>
      </c>
      <c r="N38" s="13">
        <v>16.60192043247458</v>
      </c>
      <c r="O38" s="13">
        <v>17.162915144430585</v>
      </c>
      <c r="Q38" s="35"/>
      <c r="R38" s="7"/>
    </row>
    <row r="39" spans="3:18" ht="12.75">
      <c r="C39" s="5">
        <v>13</v>
      </c>
      <c r="D39" t="s">
        <v>82</v>
      </c>
      <c r="E39" s="13">
        <v>215.553193</v>
      </c>
      <c r="F39" s="13">
        <v>547.50511022</v>
      </c>
      <c r="G39" s="35">
        <v>0.099</v>
      </c>
      <c r="H39" s="13">
        <v>1.2215483404856653</v>
      </c>
      <c r="I39" s="14">
        <v>6030.2392282392975</v>
      </c>
      <c r="J39" s="35">
        <v>0.035859435386030786</v>
      </c>
      <c r="K39" s="35">
        <v>0.10923194580174599</v>
      </c>
      <c r="L39" s="13">
        <v>19.283456217523643</v>
      </c>
      <c r="M39" s="13">
        <v>347.7165437824764</v>
      </c>
      <c r="N39" s="13">
        <v>17.297358115602965</v>
      </c>
      <c r="O39" s="13">
        <v>17.834725535953122</v>
      </c>
      <c r="Q39" s="35"/>
      <c r="R39" s="7"/>
    </row>
    <row r="40" spans="3:18" ht="12.75">
      <c r="C40" s="5">
        <v>14</v>
      </c>
      <c r="D40" t="s">
        <v>83</v>
      </c>
      <c r="E40" s="13">
        <v>251.687568</v>
      </c>
      <c r="F40" s="13">
        <v>639.28642272</v>
      </c>
      <c r="G40" s="35">
        <v>0.099</v>
      </c>
      <c r="H40" s="13">
        <v>1.1304647014461873</v>
      </c>
      <c r="I40" s="14">
        <v>5580.599934416286</v>
      </c>
      <c r="J40" s="35">
        <v>0.03656089850301499</v>
      </c>
      <c r="K40" s="35">
        <v>0.10266602525048518</v>
      </c>
      <c r="L40" s="13">
        <v>22.867722338174975</v>
      </c>
      <c r="M40" s="13">
        <v>344.132277661825</v>
      </c>
      <c r="N40" s="13">
        <v>15.866757266046235</v>
      </c>
      <c r="O40" s="13">
        <v>16.45469702013246</v>
      </c>
      <c r="Q40" s="35"/>
      <c r="R40" s="7"/>
    </row>
    <row r="41" spans="3:18" ht="12.75">
      <c r="C41" s="5">
        <v>15</v>
      </c>
      <c r="D41" t="s">
        <v>84</v>
      </c>
      <c r="E41" s="13">
        <v>262.241339</v>
      </c>
      <c r="F41" s="13">
        <v>666.09300106</v>
      </c>
      <c r="G41" s="35">
        <v>0.099</v>
      </c>
      <c r="H41" s="13">
        <v>1.1074836194947908</v>
      </c>
      <c r="I41" s="14">
        <v>5467.152584608093</v>
      </c>
      <c r="J41" s="35">
        <v>0.03674910646300253</v>
      </c>
      <c r="K41" s="35">
        <v>0.10099293479240494</v>
      </c>
      <c r="L41" s="13">
        <v>23.92468556718665</v>
      </c>
      <c r="M41" s="13">
        <v>343.07531443281334</v>
      </c>
      <c r="N41" s="13">
        <v>15.503516147956546</v>
      </c>
      <c r="O41" s="13">
        <v>16.10558011698141</v>
      </c>
      <c r="Q41" s="35"/>
      <c r="R41" s="7"/>
    </row>
    <row r="42" spans="3:18" ht="12.75">
      <c r="C42" s="6">
        <v>16</v>
      </c>
      <c r="D42" s="94" t="s">
        <v>85</v>
      </c>
      <c r="E42" s="60">
        <v>236.220232</v>
      </c>
      <c r="F42" s="60">
        <v>599.9993892800001</v>
      </c>
      <c r="G42" s="73">
        <v>0.099</v>
      </c>
      <c r="H42" s="60">
        <v>1.1668884533608765</v>
      </c>
      <c r="I42" s="106">
        <v>5760.407749101938</v>
      </c>
      <c r="J42" s="73">
        <v>0.03627218986925392</v>
      </c>
      <c r="K42" s="73">
        <v>0.10530393919647767</v>
      </c>
      <c r="L42" s="60">
        <v>21.326705434763404</v>
      </c>
      <c r="M42" s="60">
        <v>345.6732945652366</v>
      </c>
      <c r="N42" s="60">
        <v>16.44048997058639</v>
      </c>
      <c r="O42" s="60">
        <v>16.988336043720576</v>
      </c>
      <c r="Q42" s="107"/>
      <c r="R42" s="50"/>
    </row>
    <row r="43" spans="5:18" ht="12.75">
      <c r="E43" s="1" t="s">
        <v>132</v>
      </c>
      <c r="F43" s="13">
        <v>1058.19714192</v>
      </c>
      <c r="G43" s="74" t="s">
        <v>58</v>
      </c>
      <c r="H43" s="13">
        <v>19.62</v>
      </c>
      <c r="I43" s="7"/>
      <c r="J43" s="74" t="s">
        <v>104</v>
      </c>
      <c r="K43" s="35">
        <v>0.11</v>
      </c>
      <c r="L43" s="13">
        <v>19.4</v>
      </c>
      <c r="M43" s="7"/>
      <c r="N43" s="7"/>
      <c r="O43" s="7"/>
      <c r="Q43" s="7"/>
      <c r="R43" s="7"/>
    </row>
    <row r="44" spans="5:18" ht="12.75">
      <c r="E44" s="1" t="s">
        <v>131</v>
      </c>
      <c r="F44" s="7">
        <v>5.5114434475</v>
      </c>
      <c r="G44" s="74" t="s">
        <v>146</v>
      </c>
      <c r="H44" s="7">
        <v>1.23</v>
      </c>
      <c r="I44" s="7"/>
      <c r="J44" s="7"/>
      <c r="K44" s="7"/>
      <c r="L44" s="7"/>
      <c r="M44" s="7"/>
      <c r="N44" s="7"/>
      <c r="O44" s="7"/>
      <c r="Q44" s="7"/>
      <c r="R44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L. Goranson</dc:creator>
  <cp:keywords/>
  <dc:description/>
  <cp:lastModifiedBy>ORNL</cp:lastModifiedBy>
  <dcterms:created xsi:type="dcterms:W3CDTF">2000-08-07T13:53:44Z</dcterms:created>
  <dcterms:modified xsi:type="dcterms:W3CDTF">2005-07-13T17:40:54Z</dcterms:modified>
  <cp:category/>
  <cp:version/>
  <cp:contentType/>
  <cp:contentStatus/>
</cp:coreProperties>
</file>