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670" windowHeight="11625" activeTab="0"/>
  </bookViews>
  <sheets>
    <sheet name="Sheet1" sheetId="1" r:id="rId1"/>
    <sheet name="Sheet2" sheetId="2" r:id="rId2"/>
    <sheet name="Sheet3" sheetId="3" r:id="rId3"/>
  </sheets>
  <definedNames>
    <definedName name="b">'Sheet1'!$F$6</definedName>
    <definedName name="Cp">'Sheet1'!$F$11</definedName>
    <definedName name="dT">'Sheet1'!$C$7</definedName>
    <definedName name="dTlin">'Sheet1'!$H$61</definedName>
    <definedName name="k">'Sheet1'!$C$6</definedName>
    <definedName name="Ki">'Sheet1'!$C$8</definedName>
    <definedName name="L">'Sheet1'!$C$9</definedName>
    <definedName name="Le">'Sheet1'!$F$10</definedName>
    <definedName name="Li">'Sheet1'!$F$8</definedName>
    <definedName name="m">'Sheet1'!$C$10</definedName>
    <definedName name="n">'Sheet1'!$F$5</definedName>
    <definedName name="p">'Sheet1'!$F$7</definedName>
    <definedName name="qc">'Sheet1'!#REF!</definedName>
    <definedName name="Re">'Sheet1'!$F$4</definedName>
    <definedName name="Ri">'Sheet1'!$F$9</definedName>
    <definedName name="Ta">'Sheet1'!$C$4</definedName>
    <definedName name="To">'Sheet1'!$C$5</definedName>
  </definedNames>
  <calcPr fullCalcOnLoad="1"/>
</workbook>
</file>

<file path=xl/sharedStrings.xml><?xml version="1.0" encoding="utf-8"?>
<sst xmlns="http://schemas.openxmlformats.org/spreadsheetml/2006/main" count="108" uniqueCount="80">
  <si>
    <t>Q=A*dT*k/L</t>
  </si>
  <si>
    <t>A</t>
  </si>
  <si>
    <t>k=</t>
  </si>
  <si>
    <t>To=</t>
  </si>
  <si>
    <t>(cm)</t>
  </si>
  <si>
    <t>Ta=</t>
  </si>
  <si>
    <t>Q</t>
  </si>
  <si>
    <t>(w)</t>
  </si>
  <si>
    <t>(cm^2)</t>
  </si>
  <si>
    <t>dT=</t>
  </si>
  <si>
    <t xml:space="preserve">Dia </t>
  </si>
  <si>
    <t>cm</t>
  </si>
  <si>
    <t>ELEMENT</t>
  </si>
  <si>
    <t>Ki=</t>
  </si>
  <si>
    <t>n=</t>
  </si>
  <si>
    <t>number of elements</t>
  </si>
  <si>
    <t>L=</t>
  </si>
  <si>
    <t>Li=</t>
  </si>
  <si>
    <t>Ri=</t>
  </si>
  <si>
    <t>Le=</t>
  </si>
  <si>
    <t>p=</t>
  </si>
  <si>
    <t>Inconel(g/cm^3)</t>
  </si>
  <si>
    <t>m=</t>
  </si>
  <si>
    <t>Cp=</t>
  </si>
  <si>
    <t>(C)</t>
  </si>
  <si>
    <t>Port length(cm)</t>
  </si>
  <si>
    <t>Inconel</t>
  </si>
  <si>
    <t>b=</t>
  </si>
  <si>
    <t>(cm)Inconel</t>
  </si>
  <si>
    <t>Accumulative</t>
  </si>
  <si>
    <t>total heat</t>
  </si>
  <si>
    <t>Tc(K)</t>
  </si>
  <si>
    <t>Tb(K)</t>
  </si>
  <si>
    <t>loss</t>
  </si>
  <si>
    <t>Re=</t>
  </si>
  <si>
    <t>therm resist along length</t>
  </si>
  <si>
    <t>therm resist thru side</t>
  </si>
  <si>
    <t>Q(w) =</t>
  </si>
  <si>
    <t>Approx. side losses - assuming end temp clamped to 150 C, ignore end loss.</t>
  </si>
  <si>
    <t>Approx. side losses - assuming no clamping or end losses.</t>
  </si>
  <si>
    <t>Qi(w)</t>
  </si>
  <si>
    <t>Td(K)</t>
  </si>
  <si>
    <t>Model is calculated in reverse, starting at flange, adding heat.</t>
  </si>
  <si>
    <t>Approx. end losses - assuming end temp clamped to 150 C, ignore side loss.</t>
  </si>
  <si>
    <t>insulation(cm)</t>
  </si>
  <si>
    <t>Insulation(w/cm-k)</t>
  </si>
  <si>
    <t>K</t>
  </si>
  <si>
    <t>Heater(w)=</t>
  </si>
  <si>
    <t>PORT</t>
  </si>
  <si>
    <t>CONCLUSIONS</t>
  </si>
  <si>
    <t>Operation losses - determine gradient assuming VV at</t>
  </si>
  <si>
    <t>Bakeout losses - determine gradient assuming VV at</t>
  </si>
  <si>
    <t>Bakeout losses - determine gradient assuming port flange</t>
  </si>
  <si>
    <t>Heaters are represented by negative input value.</t>
  </si>
  <si>
    <t>8 inch</t>
  </si>
  <si>
    <t>Port style</t>
  </si>
  <si>
    <t>Loss out end is negligible.</t>
  </si>
  <si>
    <t>1-D Finite Differences analysis.</t>
  </si>
  <si>
    <t>HEAT LOSSES FROM VACUUM VESSEL PORTS TO CRYOSTAT DURING BAKEOUT.</t>
  </si>
  <si>
    <t>Port element</t>
  </si>
  <si>
    <t>clamped to 150 C and heat input distrib.along port. VV at 350 C.</t>
  </si>
  <si>
    <t>Total port side loss(w)=</t>
  </si>
  <si>
    <t>Max  port  side loss(w)=</t>
  </si>
  <si>
    <t>Max  port side loss(w)=</t>
  </si>
  <si>
    <t>Heater(we)=</t>
  </si>
  <si>
    <t>Heat input distributed.</t>
  </si>
  <si>
    <t>w total heating</t>
  </si>
  <si>
    <t>350 C and port end floats. No port heaters.</t>
  </si>
  <si>
    <t>20 C and port end maintained at 293 K.</t>
  </si>
  <si>
    <t>Port</t>
  </si>
  <si>
    <t>Vessel</t>
  </si>
  <si>
    <t>Li</t>
  </si>
  <si>
    <t xml:space="preserve">1. The ports will require heaters.  </t>
  </si>
  <si>
    <t>Gradients due to intermitent configuration of heater tapes.</t>
  </si>
  <si>
    <t>delta T = Qv*L^2/(2*k)</t>
  </si>
  <si>
    <t>Qv=Qi/(Le*1*b)</t>
  </si>
  <si>
    <t>deltaT=</t>
  </si>
  <si>
    <t>degees C</t>
  </si>
  <si>
    <t>PLG 4/05/06</t>
  </si>
  <si>
    <t>Let distance between tapes be 7.5 cm (L=3.75 cm)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</si>
</sst>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.7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" fontId="1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6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HEATED PORT TEMPERATURE DISTRIBUTION 
Operation at room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13775"/>
          <c:w val="0.8745"/>
          <c:h val="0.76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Sheet1!$A$92:$A$111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Sheet1!$E$92:$E$111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56245295"/>
        <c:axId val="36445608"/>
      </c:scatterChart>
      <c:val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ELEMENT (5 cm each)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crossBetween val="midCat"/>
        <c:dispUnits/>
      </c:valAx>
      <c:valAx>
        <c:axId val="36445608"/>
        <c:scaling>
          <c:orientation val="minMax"/>
          <c:max val="3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4529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HEATED PORT TEMPERATURE DISTRIBUTION
Bakeout at 350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525"/>
          <c:w val="0.80925"/>
          <c:h val="0.80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Sheet1!$A$38:$A$57</c:f>
              <c:numCache/>
            </c:numRef>
          </c:xVal>
          <c:yVal>
            <c:numRef>
              <c:f>Sheet1!$E$38:$E$57</c:f>
              <c:numCache/>
            </c:numRef>
          </c:yVal>
          <c:smooth val="1"/>
        </c:ser>
        <c:axId val="59575017"/>
        <c:axId val="66413106"/>
      </c:scatterChart>
      <c:val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ELEMENT (5 cm each)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13106"/>
        <c:crosses val="autoZero"/>
        <c:crossBetween val="midCat"/>
        <c:dispUnits/>
      </c:valAx>
      <c:valAx>
        <c:axId val="6641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PORT 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75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Sheet1!$E$65:$E$84</c:f>
              <c:numCache/>
            </c:numRef>
          </c:val>
          <c:smooth val="0"/>
        </c:ser>
        <c:marker val="1"/>
        <c:axId val="60847043"/>
        <c:axId val="10752476"/>
      </c:line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2476"/>
        <c:crosses val="autoZero"/>
        <c:auto val="1"/>
        <c:lblOffset val="100"/>
        <c:noMultiLvlLbl val="0"/>
      </c:catAx>
      <c:valAx>
        <c:axId val="10752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4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17</xdr:row>
      <xdr:rowOff>9525</xdr:rowOff>
    </xdr:from>
    <xdr:to>
      <xdr:col>12</xdr:col>
      <xdr:colOff>57150</xdr:colOff>
      <xdr:row>20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48550" y="2762250"/>
          <a:ext cx="3971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14</xdr:row>
      <xdr:rowOff>0</xdr:rowOff>
    </xdr:from>
    <xdr:to>
      <xdr:col>12</xdr:col>
      <xdr:colOff>47625</xdr:colOff>
      <xdr:row>17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7448550" y="2266950"/>
          <a:ext cx="39624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14</xdr:row>
      <xdr:rowOff>0</xdr:rowOff>
    </xdr:from>
    <xdr:to>
      <xdr:col>9</xdr:col>
      <xdr:colOff>409575</xdr:colOff>
      <xdr:row>20</xdr:row>
      <xdr:rowOff>19050</xdr:rowOff>
    </xdr:to>
    <xdr:sp>
      <xdr:nvSpPr>
        <xdr:cNvPr id="3" name="Line 3"/>
        <xdr:cNvSpPr>
          <a:spLocks/>
        </xdr:cNvSpPr>
      </xdr:nvSpPr>
      <xdr:spPr>
        <a:xfrm>
          <a:off x="8972550" y="22669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14</xdr:row>
      <xdr:rowOff>0</xdr:rowOff>
    </xdr:from>
    <xdr:to>
      <xdr:col>10</xdr:col>
      <xdr:colOff>171450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>
          <a:off x="9686925" y="22669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14</xdr:row>
      <xdr:rowOff>0</xdr:rowOff>
    </xdr:from>
    <xdr:to>
      <xdr:col>9</xdr:col>
      <xdr:colOff>600075</xdr:colOff>
      <xdr:row>17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9163050" y="2266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523875</xdr:colOff>
      <xdr:row>13</xdr:row>
      <xdr:rowOff>0</xdr:rowOff>
    </xdr:from>
    <xdr:ext cx="209550" cy="209550"/>
    <xdr:sp>
      <xdr:nvSpPr>
        <xdr:cNvPr id="6" name="TextBox 6"/>
        <xdr:cNvSpPr txBox="1">
          <a:spLocks noChangeArrowheads="1"/>
        </xdr:cNvSpPr>
      </xdr:nvSpPr>
      <xdr:spPr>
        <a:xfrm>
          <a:off x="9086850" y="210502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Qi</a:t>
          </a:r>
        </a:p>
      </xdr:txBody>
    </xdr:sp>
    <xdr:clientData/>
  </xdr:oneCellAnchor>
  <xdr:oneCellAnchor>
    <xdr:from>
      <xdr:col>6</xdr:col>
      <xdr:colOff>1419225</xdr:colOff>
      <xdr:row>20</xdr:row>
      <xdr:rowOff>76200</xdr:rowOff>
    </xdr:from>
    <xdr:ext cx="257175" cy="209550"/>
    <xdr:sp>
      <xdr:nvSpPr>
        <xdr:cNvPr id="7" name="TextBox 7"/>
        <xdr:cNvSpPr txBox="1">
          <a:spLocks noChangeArrowheads="1"/>
        </xdr:cNvSpPr>
      </xdr:nvSpPr>
      <xdr:spPr>
        <a:xfrm>
          <a:off x="7010400" y="33147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</a:t>
          </a:r>
        </a:p>
      </xdr:txBody>
    </xdr:sp>
    <xdr:clientData/>
  </xdr:oneCellAnchor>
  <xdr:twoCellAnchor>
    <xdr:from>
      <xdr:col>7</xdr:col>
      <xdr:colOff>9525</xdr:colOff>
      <xdr:row>18</xdr:row>
      <xdr:rowOff>57150</xdr:rowOff>
    </xdr:from>
    <xdr:to>
      <xdr:col>7</xdr:col>
      <xdr:colOff>209550</xdr:colOff>
      <xdr:row>20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7239000" y="2971800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17</xdr:row>
      <xdr:rowOff>28575</xdr:rowOff>
    </xdr:from>
    <xdr:to>
      <xdr:col>12</xdr:col>
      <xdr:colOff>419100</xdr:colOff>
      <xdr:row>17</xdr:row>
      <xdr:rowOff>28575</xdr:rowOff>
    </xdr:to>
    <xdr:sp>
      <xdr:nvSpPr>
        <xdr:cNvPr id="9" name="Line 9"/>
        <xdr:cNvSpPr>
          <a:spLocks/>
        </xdr:cNvSpPr>
      </xdr:nvSpPr>
      <xdr:spPr>
        <a:xfrm>
          <a:off x="11477625" y="2781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20</xdr:row>
      <xdr:rowOff>9525</xdr:rowOff>
    </xdr:from>
    <xdr:to>
      <xdr:col>12</xdr:col>
      <xdr:colOff>561975</xdr:colOff>
      <xdr:row>20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1458575" y="3248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14</xdr:row>
      <xdr:rowOff>0</xdr:rowOff>
    </xdr:from>
    <xdr:to>
      <xdr:col>12</xdr:col>
      <xdr:colOff>600075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11449050" y="2266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17</xdr:row>
      <xdr:rowOff>114300</xdr:rowOff>
    </xdr:from>
    <xdr:ext cx="161925" cy="209550"/>
    <xdr:sp>
      <xdr:nvSpPr>
        <xdr:cNvPr id="12" name="TextBox 12"/>
        <xdr:cNvSpPr txBox="1">
          <a:spLocks noChangeArrowheads="1"/>
        </xdr:cNvSpPr>
      </xdr:nvSpPr>
      <xdr:spPr>
        <a:xfrm>
          <a:off x="11544300" y="28670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12</xdr:col>
      <xdr:colOff>180975</xdr:colOff>
      <xdr:row>15</xdr:row>
      <xdr:rowOff>0</xdr:rowOff>
    </xdr:from>
    <xdr:ext cx="190500" cy="209550"/>
    <xdr:sp>
      <xdr:nvSpPr>
        <xdr:cNvPr id="13" name="TextBox 13"/>
        <xdr:cNvSpPr txBox="1">
          <a:spLocks noChangeArrowheads="1"/>
        </xdr:cNvSpPr>
      </xdr:nvSpPr>
      <xdr:spPr>
        <a:xfrm>
          <a:off x="11544300" y="2428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</a:t>
          </a:r>
        </a:p>
      </xdr:txBody>
    </xdr:sp>
    <xdr:clientData/>
  </xdr:oneCellAnchor>
  <xdr:twoCellAnchor>
    <xdr:from>
      <xdr:col>12</xdr:col>
      <xdr:colOff>390525</xdr:colOff>
      <xdr:row>14</xdr:row>
      <xdr:rowOff>0</xdr:rowOff>
    </xdr:from>
    <xdr:to>
      <xdr:col>12</xdr:col>
      <xdr:colOff>390525</xdr:colOff>
      <xdr:row>14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11753850" y="22669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15</xdr:row>
      <xdr:rowOff>114300</xdr:rowOff>
    </xdr:from>
    <xdr:to>
      <xdr:col>12</xdr:col>
      <xdr:colOff>400050</xdr:colOff>
      <xdr:row>17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11763375" y="2543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17</xdr:row>
      <xdr:rowOff>28575</xdr:rowOff>
    </xdr:from>
    <xdr:to>
      <xdr:col>12</xdr:col>
      <xdr:colOff>409575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1772900" y="2781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17</xdr:row>
      <xdr:rowOff>152400</xdr:rowOff>
    </xdr:from>
    <xdr:to>
      <xdr:col>12</xdr:col>
      <xdr:colOff>409575</xdr:colOff>
      <xdr:row>20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1772900" y="2905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20</xdr:row>
      <xdr:rowOff>76200</xdr:rowOff>
    </xdr:from>
    <xdr:to>
      <xdr:col>9</xdr:col>
      <xdr:colOff>409575</xdr:colOff>
      <xdr:row>22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8972550" y="3314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20</xdr:row>
      <xdr:rowOff>66675</xdr:rowOff>
    </xdr:from>
    <xdr:to>
      <xdr:col>10</xdr:col>
      <xdr:colOff>171450</xdr:colOff>
      <xdr:row>22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686925" y="330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647700</xdr:colOff>
      <xdr:row>21</xdr:row>
      <xdr:rowOff>66675</xdr:rowOff>
    </xdr:from>
    <xdr:ext cx="228600" cy="209550"/>
    <xdr:sp>
      <xdr:nvSpPr>
        <xdr:cNvPr id="20" name="TextBox 20"/>
        <xdr:cNvSpPr txBox="1">
          <a:spLocks noChangeArrowheads="1"/>
        </xdr:cNvSpPr>
      </xdr:nvSpPr>
      <xdr:spPr>
        <a:xfrm>
          <a:off x="9210675" y="34671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</a:t>
          </a:r>
        </a:p>
      </xdr:txBody>
    </xdr:sp>
    <xdr:clientData/>
  </xdr:oneCellAnchor>
  <xdr:twoCellAnchor>
    <xdr:from>
      <xdr:col>9</xdr:col>
      <xdr:colOff>95250</xdr:colOff>
      <xdr:row>21</xdr:row>
      <xdr:rowOff>142875</xdr:rowOff>
    </xdr:from>
    <xdr:to>
      <xdr:col>9</xdr:col>
      <xdr:colOff>419100</xdr:colOff>
      <xdr:row>21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8658225" y="3543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21</xdr:row>
      <xdr:rowOff>142875</xdr:rowOff>
    </xdr:from>
    <xdr:to>
      <xdr:col>10</xdr:col>
      <xdr:colOff>466725</xdr:colOff>
      <xdr:row>21</xdr:row>
      <xdr:rowOff>142875</xdr:rowOff>
    </xdr:to>
    <xdr:sp>
      <xdr:nvSpPr>
        <xdr:cNvPr id="22" name="Line 23"/>
        <xdr:cNvSpPr>
          <a:spLocks/>
        </xdr:cNvSpPr>
      </xdr:nvSpPr>
      <xdr:spPr>
        <a:xfrm flipH="1">
          <a:off x="9705975" y="3543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47625</xdr:colOff>
      <xdr:row>17</xdr:row>
      <xdr:rowOff>47625</xdr:rowOff>
    </xdr:from>
    <xdr:ext cx="247650" cy="219075"/>
    <xdr:sp>
      <xdr:nvSpPr>
        <xdr:cNvPr id="23" name="TextBox 25"/>
        <xdr:cNvSpPr txBox="1">
          <a:spLocks noChangeArrowheads="1"/>
        </xdr:cNvSpPr>
      </xdr:nvSpPr>
      <xdr:spPr>
        <a:xfrm>
          <a:off x="8610600" y="280035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</a:t>
          </a:r>
        </a:p>
      </xdr:txBody>
    </xdr:sp>
    <xdr:clientData/>
  </xdr:oneCellAnchor>
  <xdr:oneCellAnchor>
    <xdr:from>
      <xdr:col>10</xdr:col>
      <xdr:colOff>447675</xdr:colOff>
      <xdr:row>18</xdr:row>
      <xdr:rowOff>76200</xdr:rowOff>
    </xdr:from>
    <xdr:ext cx="238125" cy="209550"/>
    <xdr:sp>
      <xdr:nvSpPr>
        <xdr:cNvPr id="24" name="TextBox 26"/>
        <xdr:cNvSpPr txBox="1">
          <a:spLocks noChangeArrowheads="1"/>
        </xdr:cNvSpPr>
      </xdr:nvSpPr>
      <xdr:spPr>
        <a:xfrm>
          <a:off x="9963150" y="29908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oneCellAnchor>
  <xdr:oneCellAnchor>
    <xdr:from>
      <xdr:col>10</xdr:col>
      <xdr:colOff>714375</xdr:colOff>
      <xdr:row>14</xdr:row>
      <xdr:rowOff>0</xdr:rowOff>
    </xdr:from>
    <xdr:ext cx="333375" cy="209550"/>
    <xdr:sp>
      <xdr:nvSpPr>
        <xdr:cNvPr id="25" name="TextBox 27"/>
        <xdr:cNvSpPr txBox="1">
          <a:spLocks noChangeArrowheads="1"/>
        </xdr:cNvSpPr>
      </xdr:nvSpPr>
      <xdr:spPr>
        <a:xfrm>
          <a:off x="10229850" y="226695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 K</a:t>
          </a:r>
        </a:p>
      </xdr:txBody>
    </xdr:sp>
    <xdr:clientData/>
  </xdr:oneCellAnchor>
  <xdr:twoCellAnchor>
    <xdr:from>
      <xdr:col>11</xdr:col>
      <xdr:colOff>57150</xdr:colOff>
      <xdr:row>14</xdr:row>
      <xdr:rowOff>0</xdr:rowOff>
    </xdr:from>
    <xdr:to>
      <xdr:col>11</xdr:col>
      <xdr:colOff>180975</xdr:colOff>
      <xdr:row>14</xdr:row>
      <xdr:rowOff>0</xdr:rowOff>
    </xdr:to>
    <xdr:sp>
      <xdr:nvSpPr>
        <xdr:cNvPr id="26" name="Line 28"/>
        <xdr:cNvSpPr>
          <a:spLocks/>
        </xdr:cNvSpPr>
      </xdr:nvSpPr>
      <xdr:spPr>
        <a:xfrm>
          <a:off x="10591800" y="2266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18</xdr:row>
      <xdr:rowOff>0</xdr:rowOff>
    </xdr:from>
    <xdr:to>
      <xdr:col>9</xdr:col>
      <xdr:colOff>400050</xdr:colOff>
      <xdr:row>18</xdr:row>
      <xdr:rowOff>9525</xdr:rowOff>
    </xdr:to>
    <xdr:sp>
      <xdr:nvSpPr>
        <xdr:cNvPr id="27" name="Line 29"/>
        <xdr:cNvSpPr>
          <a:spLocks/>
        </xdr:cNvSpPr>
      </xdr:nvSpPr>
      <xdr:spPr>
        <a:xfrm>
          <a:off x="8896350" y="2914650"/>
          <a:ext cx="66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38100</xdr:rowOff>
    </xdr:from>
    <xdr:to>
      <xdr:col>10</xdr:col>
      <xdr:colOff>419100</xdr:colOff>
      <xdr:row>19</xdr:row>
      <xdr:rowOff>38100</xdr:rowOff>
    </xdr:to>
    <xdr:sp>
      <xdr:nvSpPr>
        <xdr:cNvPr id="28" name="Line 30"/>
        <xdr:cNvSpPr>
          <a:spLocks/>
        </xdr:cNvSpPr>
      </xdr:nvSpPr>
      <xdr:spPr>
        <a:xfrm flipH="1" flipV="1">
          <a:off x="9677400" y="3114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523875</xdr:colOff>
      <xdr:row>14</xdr:row>
      <xdr:rowOff>114300</xdr:rowOff>
    </xdr:from>
    <xdr:ext cx="609600" cy="209550"/>
    <xdr:sp>
      <xdr:nvSpPr>
        <xdr:cNvPr id="29" name="TextBox 32"/>
        <xdr:cNvSpPr txBox="1">
          <a:spLocks noChangeArrowheads="1"/>
        </xdr:cNvSpPr>
      </xdr:nvSpPr>
      <xdr:spPr>
        <a:xfrm>
          <a:off x="7753350" y="238125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Insulation</a:t>
          </a:r>
        </a:p>
      </xdr:txBody>
    </xdr:sp>
    <xdr:clientData/>
  </xdr:oneCellAnchor>
  <xdr:oneCellAnchor>
    <xdr:from>
      <xdr:col>7</xdr:col>
      <xdr:colOff>657225</xdr:colOff>
      <xdr:row>17</xdr:row>
      <xdr:rowOff>104775</xdr:rowOff>
    </xdr:from>
    <xdr:ext cx="342900" cy="209550"/>
    <xdr:sp>
      <xdr:nvSpPr>
        <xdr:cNvPr id="30" name="TextBox 33"/>
        <xdr:cNvSpPr txBox="1">
          <a:spLocks noChangeArrowheads="1"/>
        </xdr:cNvSpPr>
      </xdr:nvSpPr>
      <xdr:spPr>
        <a:xfrm>
          <a:off x="7886700" y="285750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</a:t>
          </a:r>
        </a:p>
      </xdr:txBody>
    </xdr:sp>
    <xdr:clientData/>
  </xdr:oneCellAnchor>
  <xdr:twoCellAnchor>
    <xdr:from>
      <xdr:col>10</xdr:col>
      <xdr:colOff>190500</xdr:colOff>
      <xdr:row>18</xdr:row>
      <xdr:rowOff>19050</xdr:rowOff>
    </xdr:from>
    <xdr:to>
      <xdr:col>12</xdr:col>
      <xdr:colOff>47625</xdr:colOff>
      <xdr:row>18</xdr:row>
      <xdr:rowOff>19050</xdr:rowOff>
    </xdr:to>
    <xdr:sp>
      <xdr:nvSpPr>
        <xdr:cNvPr id="31" name="Line 34"/>
        <xdr:cNvSpPr>
          <a:spLocks/>
        </xdr:cNvSpPr>
      </xdr:nvSpPr>
      <xdr:spPr>
        <a:xfrm>
          <a:off x="9705975" y="29337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228600</xdr:colOff>
      <xdr:row>17</xdr:row>
      <xdr:rowOff>28575</xdr:rowOff>
    </xdr:from>
    <xdr:ext cx="219075" cy="209550"/>
    <xdr:sp>
      <xdr:nvSpPr>
        <xdr:cNvPr id="32" name="TextBox 35"/>
        <xdr:cNvSpPr txBox="1">
          <a:spLocks noChangeArrowheads="1"/>
        </xdr:cNvSpPr>
      </xdr:nvSpPr>
      <xdr:spPr>
        <a:xfrm>
          <a:off x="10763250" y="278130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Qj</a:t>
          </a:r>
        </a:p>
      </xdr:txBody>
    </xdr:sp>
    <xdr:clientData/>
  </xdr:oneCellAnchor>
  <xdr:twoCellAnchor>
    <xdr:from>
      <xdr:col>6</xdr:col>
      <xdr:colOff>200025</xdr:colOff>
      <xdr:row>91</xdr:row>
      <xdr:rowOff>76200</xdr:rowOff>
    </xdr:from>
    <xdr:to>
      <xdr:col>14</xdr:col>
      <xdr:colOff>581025</xdr:colOff>
      <xdr:row>112</xdr:row>
      <xdr:rowOff>123825</xdr:rowOff>
    </xdr:to>
    <xdr:grpSp>
      <xdr:nvGrpSpPr>
        <xdr:cNvPr id="33" name="Group 53"/>
        <xdr:cNvGrpSpPr>
          <a:grpSpLocks/>
        </xdr:cNvGrpSpPr>
      </xdr:nvGrpSpPr>
      <xdr:grpSpPr>
        <a:xfrm>
          <a:off x="5791200" y="14811375"/>
          <a:ext cx="7991475" cy="3448050"/>
          <a:chOff x="608" y="1555"/>
          <a:chExt cx="839" cy="362"/>
        </a:xfrm>
        <a:solidFill>
          <a:srgbClr val="FFFFFF"/>
        </a:solidFill>
      </xdr:grpSpPr>
      <xdr:graphicFrame>
        <xdr:nvGraphicFramePr>
          <xdr:cNvPr id="34" name="Chart 43"/>
          <xdr:cNvGraphicFramePr/>
        </xdr:nvGraphicFramePr>
        <xdr:xfrm>
          <a:off x="608" y="1555"/>
          <a:ext cx="839" cy="3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5" name="TextBox 44"/>
          <xdr:cNvSpPr txBox="1">
            <a:spLocks noChangeArrowheads="1"/>
          </xdr:cNvSpPr>
        </xdr:nvSpPr>
        <xdr:spPr>
          <a:xfrm>
            <a:off x="800" y="1661"/>
            <a:ext cx="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flg</a:t>
            </a:r>
          </a:p>
        </xdr:txBody>
      </xdr:sp>
      <xdr:sp>
        <xdr:nvSpPr>
          <xdr:cNvPr id="36" name="TextBox 45"/>
          <xdr:cNvSpPr txBox="1">
            <a:spLocks noChangeArrowheads="1"/>
          </xdr:cNvSpPr>
        </xdr:nvSpPr>
        <xdr:spPr>
          <a:xfrm>
            <a:off x="1311" y="1649"/>
            <a:ext cx="2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VV</a:t>
            </a:r>
          </a:p>
        </xdr:txBody>
      </xdr:sp>
      <xdr:sp>
        <xdr:nvSpPr>
          <xdr:cNvPr id="37" name="TextBox 47"/>
          <xdr:cNvSpPr txBox="1">
            <a:spLocks noChangeArrowheads="1"/>
          </xdr:cNvSpPr>
        </xdr:nvSpPr>
        <xdr:spPr>
          <a:xfrm>
            <a:off x="950" y="1692"/>
            <a:ext cx="17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Heat distributed evenly</a:t>
            </a:r>
          </a:p>
        </xdr:txBody>
      </xdr:sp>
    </xdr:grpSp>
    <xdr:clientData/>
  </xdr:twoCellAnchor>
  <xdr:twoCellAnchor>
    <xdr:from>
      <xdr:col>6</xdr:col>
      <xdr:colOff>752475</xdr:colOff>
      <xdr:row>36</xdr:row>
      <xdr:rowOff>28575</xdr:rowOff>
    </xdr:from>
    <xdr:to>
      <xdr:col>15</xdr:col>
      <xdr:colOff>28575</xdr:colOff>
      <xdr:row>68</xdr:row>
      <xdr:rowOff>28575</xdr:rowOff>
    </xdr:to>
    <xdr:grpSp>
      <xdr:nvGrpSpPr>
        <xdr:cNvPr id="38" name="Group 52"/>
        <xdr:cNvGrpSpPr>
          <a:grpSpLocks/>
        </xdr:cNvGrpSpPr>
      </xdr:nvGrpSpPr>
      <xdr:grpSpPr>
        <a:xfrm>
          <a:off x="6343650" y="5857875"/>
          <a:ext cx="7724775" cy="5181600"/>
          <a:chOff x="666" y="615"/>
          <a:chExt cx="811" cy="544"/>
        </a:xfrm>
        <a:solidFill>
          <a:srgbClr val="FFFFFF"/>
        </a:solidFill>
      </xdr:grpSpPr>
      <xdr:graphicFrame>
        <xdr:nvGraphicFramePr>
          <xdr:cNvPr id="39" name="Chart 39"/>
          <xdr:cNvGraphicFramePr/>
        </xdr:nvGraphicFramePr>
        <xdr:xfrm>
          <a:off x="666" y="615"/>
          <a:ext cx="811" cy="54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0" name="TextBox 40"/>
          <xdr:cNvSpPr txBox="1">
            <a:spLocks noChangeArrowheads="1"/>
          </xdr:cNvSpPr>
        </xdr:nvSpPr>
        <xdr:spPr>
          <a:xfrm>
            <a:off x="1220" y="714"/>
            <a:ext cx="2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VV</a:t>
            </a:r>
          </a:p>
        </xdr:txBody>
      </xdr:sp>
      <xdr:sp>
        <xdr:nvSpPr>
          <xdr:cNvPr id="41" name="TextBox 41"/>
          <xdr:cNvSpPr txBox="1">
            <a:spLocks noChangeArrowheads="1"/>
          </xdr:cNvSpPr>
        </xdr:nvSpPr>
        <xdr:spPr>
          <a:xfrm>
            <a:off x="788" y="810"/>
            <a:ext cx="4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
flange</a:t>
            </a:r>
          </a:p>
        </xdr:txBody>
      </xdr:sp>
      <xdr:sp>
        <xdr:nvSpPr>
          <xdr:cNvPr id="42" name="TextBox 46"/>
          <xdr:cNvSpPr txBox="1">
            <a:spLocks noChangeArrowheads="1"/>
          </xdr:cNvSpPr>
        </xdr:nvSpPr>
        <xdr:spPr>
          <a:xfrm>
            <a:off x="806" y="712"/>
            <a:ext cx="17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Heat distributed evenly</a:t>
            </a:r>
          </a:p>
        </xdr:txBody>
      </xdr:sp>
      <xdr:sp>
        <xdr:nvSpPr>
          <xdr:cNvPr id="43" name="Line 50"/>
          <xdr:cNvSpPr>
            <a:spLocks/>
          </xdr:cNvSpPr>
        </xdr:nvSpPr>
        <xdr:spPr>
          <a:xfrm flipV="1">
            <a:off x="1003" y="706"/>
            <a:ext cx="0" cy="37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1143000</xdr:colOff>
      <xdr:row>69</xdr:row>
      <xdr:rowOff>104775</xdr:rowOff>
    </xdr:from>
    <xdr:to>
      <xdr:col>14</xdr:col>
      <xdr:colOff>200025</xdr:colOff>
      <xdr:row>89</xdr:row>
      <xdr:rowOff>142875</xdr:rowOff>
    </xdr:to>
    <xdr:graphicFrame>
      <xdr:nvGraphicFramePr>
        <xdr:cNvPr id="44" name="Chart 51"/>
        <xdr:cNvGraphicFramePr/>
      </xdr:nvGraphicFramePr>
      <xdr:xfrm>
        <a:off x="6734175" y="11277600"/>
        <a:ext cx="66675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="75" zoomScaleNormal="75" workbookViewId="0" topLeftCell="A1">
      <selection activeCell="F9" sqref="F9"/>
    </sheetView>
  </sheetViews>
  <sheetFormatPr defaultColWidth="9.140625" defaultRowHeight="12.75"/>
  <cols>
    <col min="1" max="1" width="10.8515625" style="0" customWidth="1"/>
    <col min="2" max="2" width="11.00390625" style="0" customWidth="1"/>
    <col min="3" max="3" width="12.421875" style="0" customWidth="1"/>
    <col min="4" max="4" width="21.421875" style="0" customWidth="1"/>
    <col min="5" max="5" width="14.00390625" style="0" customWidth="1"/>
    <col min="6" max="6" width="14.140625" style="0" customWidth="1"/>
    <col min="7" max="7" width="24.57421875" style="0" customWidth="1"/>
    <col min="8" max="8" width="10.8515625" style="0" customWidth="1"/>
    <col min="10" max="10" width="14.28125" style="0" customWidth="1"/>
    <col min="11" max="11" width="15.28125" style="0" customWidth="1"/>
    <col min="12" max="12" width="12.421875" style="0" customWidth="1"/>
    <col min="13" max="13" width="12.140625" style="0" customWidth="1"/>
    <col min="14" max="14" width="15.421875" style="0" customWidth="1"/>
    <col min="15" max="15" width="12.57421875" style="0" customWidth="1"/>
    <col min="16" max="16" width="24.7109375" style="0" customWidth="1"/>
  </cols>
  <sheetData>
    <row r="1" spans="1:7" ht="12.75">
      <c r="A1" s="5" t="s">
        <v>58</v>
      </c>
      <c r="G1" t="s">
        <v>78</v>
      </c>
    </row>
    <row r="2" ht="12.75">
      <c r="A2" t="s">
        <v>57</v>
      </c>
    </row>
    <row r="4" spans="2:8" ht="12.75">
      <c r="B4" s="1" t="s">
        <v>5</v>
      </c>
      <c r="C4" s="8">
        <f>150</f>
        <v>150</v>
      </c>
      <c r="D4" t="s">
        <v>24</v>
      </c>
      <c r="E4" s="1" t="s">
        <v>34</v>
      </c>
      <c r="F4" s="17">
        <f>Le/(k*b)</f>
        <v>60.42336904831386</v>
      </c>
      <c r="G4" s="2" t="s">
        <v>35</v>
      </c>
      <c r="H4" t="s">
        <v>0</v>
      </c>
    </row>
    <row r="5" spans="2:7" ht="12.75">
      <c r="B5" s="1" t="s">
        <v>3</v>
      </c>
      <c r="C5" s="8">
        <f>350</f>
        <v>350</v>
      </c>
      <c r="D5" t="s">
        <v>24</v>
      </c>
      <c r="E5" s="1" t="s">
        <v>14</v>
      </c>
      <c r="F5" s="8">
        <v>20</v>
      </c>
      <c r="G5" t="s">
        <v>15</v>
      </c>
    </row>
    <row r="6" spans="2:7" ht="12.75">
      <c r="B6" s="1" t="s">
        <v>2</v>
      </c>
      <c r="C6" s="8">
        <f>0.13</f>
        <v>0.13</v>
      </c>
      <c r="D6" t="s">
        <v>26</v>
      </c>
      <c r="E6" s="1" t="s">
        <v>27</v>
      </c>
      <c r="F6" s="11">
        <f>0.188*2.54*1.333</f>
        <v>0.63653416</v>
      </c>
      <c r="G6" t="s">
        <v>28</v>
      </c>
    </row>
    <row r="7" spans="2:7" ht="12.75">
      <c r="B7" s="1" t="s">
        <v>9</v>
      </c>
      <c r="C7" s="10">
        <f>To-Ta</f>
        <v>200</v>
      </c>
      <c r="D7" t="s">
        <v>46</v>
      </c>
      <c r="E7" s="1" t="s">
        <v>20</v>
      </c>
      <c r="F7" s="8">
        <f>7.9</f>
        <v>7.9</v>
      </c>
      <c r="G7" t="s">
        <v>21</v>
      </c>
    </row>
    <row r="8" spans="2:7" ht="12.75">
      <c r="B8" s="1" t="s">
        <v>13</v>
      </c>
      <c r="C8" s="8">
        <f>0.0002</f>
        <v>0.0002</v>
      </c>
      <c r="D8" t="s">
        <v>45</v>
      </c>
      <c r="E8" s="1" t="s">
        <v>17</v>
      </c>
      <c r="F8" s="8">
        <f>5</f>
        <v>5</v>
      </c>
      <c r="G8" t="s">
        <v>44</v>
      </c>
    </row>
    <row r="9" spans="2:7" ht="12.75">
      <c r="B9" s="1" t="s">
        <v>16</v>
      </c>
      <c r="C9" s="8">
        <f>100</f>
        <v>100</v>
      </c>
      <c r="D9" t="s">
        <v>25</v>
      </c>
      <c r="E9" s="1" t="s">
        <v>18</v>
      </c>
      <c r="F9" s="10">
        <f>Li/(Ki*Le)</f>
        <v>5000</v>
      </c>
      <c r="G9" t="s">
        <v>36</v>
      </c>
    </row>
    <row r="10" spans="2:7" ht="12.75">
      <c r="B10" s="1" t="s">
        <v>22</v>
      </c>
      <c r="C10" s="14">
        <f>p*Le*b</f>
        <v>25.143099319999997</v>
      </c>
      <c r="D10" t="s">
        <v>59</v>
      </c>
      <c r="E10" s="1" t="s">
        <v>19</v>
      </c>
      <c r="F10" s="10">
        <f>L/n</f>
        <v>5</v>
      </c>
      <c r="G10" t="s">
        <v>11</v>
      </c>
    </row>
    <row r="11" spans="5:7" ht="12.75">
      <c r="E11" s="1" t="s">
        <v>23</v>
      </c>
      <c r="F11" s="8">
        <f>0.4</f>
        <v>0.4</v>
      </c>
      <c r="G11" t="s">
        <v>26</v>
      </c>
    </row>
    <row r="12" spans="5:6" ht="12.75">
      <c r="E12" s="1"/>
      <c r="F12" s="10"/>
    </row>
    <row r="13" spans="1:9" ht="12.75">
      <c r="A13" s="5" t="s">
        <v>43</v>
      </c>
      <c r="D13" s="1"/>
      <c r="E13" s="1"/>
      <c r="F13" s="8"/>
      <c r="I13" s="3"/>
    </row>
    <row r="14" spans="5:9" ht="12.75">
      <c r="E14" s="3" t="s">
        <v>33</v>
      </c>
      <c r="I14" s="7"/>
    </row>
    <row r="15" spans="1:5" ht="12.75">
      <c r="A15" s="6" t="s">
        <v>55</v>
      </c>
      <c r="B15" s="6" t="s">
        <v>10</v>
      </c>
      <c r="C15" s="6" t="s">
        <v>1</v>
      </c>
      <c r="D15" s="6" t="s">
        <v>71</v>
      </c>
      <c r="E15" s="6" t="s">
        <v>6</v>
      </c>
    </row>
    <row r="16" spans="2:5" ht="12.75">
      <c r="B16" s="3" t="s">
        <v>11</v>
      </c>
      <c r="C16" s="3" t="s">
        <v>8</v>
      </c>
      <c r="D16" s="3" t="s">
        <v>4</v>
      </c>
      <c r="E16" s="3" t="s">
        <v>7</v>
      </c>
    </row>
    <row r="17" spans="1:5" ht="12.75">
      <c r="A17" s="3" t="s">
        <v>54</v>
      </c>
      <c r="B17" s="20">
        <v>20</v>
      </c>
      <c r="C17" s="4">
        <f>B17*PI()*b</f>
        <v>39.994620816299</v>
      </c>
      <c r="D17" s="3">
        <f>2*2.54</f>
        <v>5.08</v>
      </c>
      <c r="E17" s="50">
        <f>C17*(Ta-20)*Ki/D17</f>
        <v>0.2046968781936563</v>
      </c>
    </row>
    <row r="18" spans="1:11" ht="12.75">
      <c r="A18" s="2" t="s">
        <v>56</v>
      </c>
      <c r="B18" s="3"/>
      <c r="C18" s="4"/>
      <c r="D18" s="3"/>
      <c r="E18" s="3"/>
      <c r="F18" s="7"/>
      <c r="J18" s="3"/>
      <c r="K18" s="3"/>
    </row>
    <row r="19" spans="1:11" ht="12.75">
      <c r="A19" s="2"/>
      <c r="B19" s="3"/>
      <c r="C19" s="4"/>
      <c r="D19" s="3"/>
      <c r="E19" s="3"/>
      <c r="F19" s="7"/>
      <c r="J19" s="3"/>
      <c r="K19" s="3"/>
    </row>
    <row r="20" spans="1:11" ht="12.75">
      <c r="A20" s="16" t="s">
        <v>38</v>
      </c>
      <c r="B20" s="3"/>
      <c r="C20" s="4"/>
      <c r="D20" s="3"/>
      <c r="E20" s="3"/>
      <c r="F20" s="7"/>
      <c r="J20" s="3"/>
      <c r="K20" s="3"/>
    </row>
    <row r="21" spans="1:11" ht="12.75">
      <c r="A21" s="3"/>
      <c r="B21" s="3"/>
      <c r="C21" s="4"/>
      <c r="D21" s="3"/>
      <c r="E21" s="3"/>
      <c r="F21" s="7"/>
      <c r="G21" s="3"/>
      <c r="H21" s="3"/>
      <c r="I21" s="3"/>
      <c r="J21" s="3"/>
      <c r="K21" s="3"/>
    </row>
    <row r="22" spans="1:11" ht="12.75">
      <c r="A22" s="1" t="s">
        <v>37</v>
      </c>
      <c r="B22" s="15">
        <f>(0.5*dT+Ta+273-80)*PI()*B17*L*Ki/Li</f>
        <v>111.33804364322228</v>
      </c>
      <c r="C22" s="4"/>
      <c r="D22" s="3"/>
      <c r="E22" s="3"/>
      <c r="F22" s="7"/>
      <c r="G22" s="3"/>
      <c r="H22" s="3"/>
      <c r="I22" s="3"/>
      <c r="J22" s="3"/>
      <c r="K22" s="3"/>
    </row>
    <row r="23" spans="1:11" ht="12.75">
      <c r="A23" s="1"/>
      <c r="B23" s="15"/>
      <c r="C23" s="4"/>
      <c r="D23" s="3"/>
      <c r="E23" s="3"/>
      <c r="F23" s="7"/>
      <c r="G23" s="3"/>
      <c r="H23" s="3"/>
      <c r="I23" s="3"/>
      <c r="J23" s="3"/>
      <c r="K23" s="3"/>
    </row>
    <row r="24" spans="1:11" ht="12.75">
      <c r="A24" s="16" t="s">
        <v>39</v>
      </c>
      <c r="B24" s="15"/>
      <c r="C24" s="4"/>
      <c r="D24" s="3"/>
      <c r="E24" s="3"/>
      <c r="F24" s="7"/>
      <c r="G24" s="3"/>
      <c r="H24" s="3"/>
      <c r="I24" s="3"/>
      <c r="J24" s="3"/>
      <c r="K24" s="3"/>
    </row>
    <row r="25" spans="1:10" ht="12.75">
      <c r="A25" s="16"/>
      <c r="B25" s="15"/>
      <c r="C25" s="4"/>
      <c r="D25" s="3"/>
      <c r="E25" s="3"/>
      <c r="F25" s="7"/>
      <c r="G25" s="25"/>
      <c r="I25" s="16" t="s">
        <v>42</v>
      </c>
      <c r="J25" s="3"/>
    </row>
    <row r="26" spans="1:11" ht="12.75">
      <c r="A26" s="1" t="s">
        <v>37</v>
      </c>
      <c r="B26" s="15">
        <f>(To+273-80)*PI()*B17*L*Ki/Li</f>
        <v>136.47078487194062</v>
      </c>
      <c r="C26" s="4"/>
      <c r="D26" s="3"/>
      <c r="E26" s="3"/>
      <c r="F26" s="7"/>
      <c r="G26" s="3"/>
      <c r="H26" s="25"/>
      <c r="I26" s="16" t="s">
        <v>53</v>
      </c>
      <c r="J26" s="3"/>
      <c r="K26" s="3"/>
    </row>
    <row r="27" spans="1:11" ht="12.75">
      <c r="A27" s="3"/>
      <c r="E27" s="3"/>
      <c r="F27" s="7"/>
      <c r="G27" s="3"/>
      <c r="H27" s="3"/>
      <c r="I27" s="3"/>
      <c r="J27" s="3"/>
      <c r="K27" s="3"/>
    </row>
    <row r="28" spans="1:11" ht="12.75">
      <c r="A28" s="16" t="s">
        <v>73</v>
      </c>
      <c r="E28" s="3"/>
      <c r="F28" s="7"/>
      <c r="G28" s="3"/>
      <c r="H28" s="3"/>
      <c r="I28" s="3"/>
      <c r="J28" s="3"/>
      <c r="K28" s="3"/>
    </row>
    <row r="29" spans="1:11" ht="12.75">
      <c r="A29" s="3"/>
      <c r="E29" s="3"/>
      <c r="F29" s="7">
        <f>0.5^1.3</f>
        <v>0.40612619817811774</v>
      </c>
      <c r="G29" s="7"/>
      <c r="H29" s="3"/>
      <c r="I29" s="3"/>
      <c r="J29" s="3"/>
      <c r="K29" s="3"/>
    </row>
    <row r="30" spans="1:9" ht="12.75">
      <c r="A30" t="s">
        <v>74</v>
      </c>
      <c r="C30" s="53" t="s">
        <v>79</v>
      </c>
      <c r="F30" s="47">
        <f>1.5^1.3</f>
        <v>1.6940204031852832</v>
      </c>
      <c r="G30" s="7">
        <f>70*F30</f>
        <v>118.58142822296983</v>
      </c>
      <c r="H30" s="47">
        <f>48.88/70.1</f>
        <v>0.6972895863052783</v>
      </c>
      <c r="I30" s="56">
        <f>168.6/70.1</f>
        <v>2.4051355206847362</v>
      </c>
    </row>
    <row r="31" spans="3:9" ht="12.75">
      <c r="C31" t="s">
        <v>75</v>
      </c>
      <c r="D31" s="52">
        <f>C57/(Le*b)</f>
        <v>0.014993016848041269</v>
      </c>
      <c r="F31">
        <f>1/F30</f>
        <v>0.5903116621970373</v>
      </c>
      <c r="H31" s="47">
        <f>(0.25/0.5)^0.5</f>
        <v>0.7071067811865476</v>
      </c>
      <c r="I31" s="47">
        <f>0.5^1.3</f>
        <v>0.40612619817811774</v>
      </c>
    </row>
    <row r="32" spans="1:3" ht="12.75">
      <c r="A32" s="1" t="s">
        <v>76</v>
      </c>
      <c r="B32" s="51">
        <f>D31*3.75^2/(2*k)</f>
        <v>0.8109203824060781</v>
      </c>
      <c r="C32" t="s">
        <v>77</v>
      </c>
    </row>
    <row r="34" ht="12.75">
      <c r="A34" s="5" t="s">
        <v>52</v>
      </c>
    </row>
    <row r="35" spans="1:6" ht="12.75">
      <c r="A35" s="5" t="s">
        <v>60</v>
      </c>
      <c r="C35" s="3"/>
      <c r="F35" s="3" t="s">
        <v>29</v>
      </c>
    </row>
    <row r="36" spans="1:6" ht="12.75">
      <c r="A36" s="32" t="s">
        <v>48</v>
      </c>
      <c r="C36" s="3" t="s">
        <v>33</v>
      </c>
      <c r="F36" s="3" t="s">
        <v>30</v>
      </c>
    </row>
    <row r="37" spans="1:6" ht="12.75">
      <c r="A37" s="6" t="s">
        <v>12</v>
      </c>
      <c r="B37" s="6" t="s">
        <v>32</v>
      </c>
      <c r="C37" s="6" t="s">
        <v>40</v>
      </c>
      <c r="D37" s="6" t="s">
        <v>31</v>
      </c>
      <c r="E37" s="6" t="s">
        <v>41</v>
      </c>
      <c r="F37" s="6" t="s">
        <v>7</v>
      </c>
    </row>
    <row r="38" spans="1:7" ht="12.75">
      <c r="A38" s="3">
        <v>1</v>
      </c>
      <c r="B38" s="20">
        <f>423</f>
        <v>423</v>
      </c>
      <c r="C38" s="26">
        <f>(B38-80)/Ri-$B$59/($B$17*PI()*n)</f>
        <v>0.012816192446290682</v>
      </c>
      <c r="D38" s="4">
        <f aca="true" t="shared" si="0" ref="D38:D57">B38+C38/(Cp*m)</f>
        <v>423.00127432504274</v>
      </c>
      <c r="E38" s="4">
        <f>D38+C38*Re</f>
        <v>423.7756718510192</v>
      </c>
      <c r="F38" s="4">
        <f>C38</f>
        <v>0.012816192446290682</v>
      </c>
      <c r="G38" t="s">
        <v>69</v>
      </c>
    </row>
    <row r="39" spans="1:6" ht="12.75">
      <c r="A39" s="3">
        <v>2</v>
      </c>
      <c r="B39" s="4">
        <f>E38</f>
        <v>423.7756718510192</v>
      </c>
      <c r="C39" s="26">
        <f aca="true" t="shared" si="1" ref="C39:C57">(B39-80)/Ri-$B$59/($B$17*PI()*n)</f>
        <v>0.012971326816494523</v>
      </c>
      <c r="D39" s="4">
        <f t="shared" si="0"/>
        <v>423.77696160120587</v>
      </c>
      <c r="E39" s="4">
        <f aca="true" t="shared" si="2" ref="E39:E57">D39+(F38)*Re</f>
        <v>424.5513591271823</v>
      </c>
      <c r="F39" s="4">
        <f>F38+C39</f>
        <v>0.025787519262785205</v>
      </c>
    </row>
    <row r="40" spans="1:6" ht="12.75">
      <c r="A40" s="3">
        <v>3</v>
      </c>
      <c r="B40" s="4">
        <f>E39</f>
        <v>424.5513591271823</v>
      </c>
      <c r="C40" s="26">
        <f t="shared" si="1"/>
        <v>0.013126464271727152</v>
      </c>
      <c r="D40" s="4">
        <f t="shared" si="0"/>
        <v>424.5526643028196</v>
      </c>
      <c r="E40" s="4">
        <f t="shared" si="2"/>
        <v>426.1108330960754</v>
      </c>
      <c r="F40" s="4">
        <f>F39+C40</f>
        <v>0.03891398353451236</v>
      </c>
    </row>
    <row r="41" spans="1:6" ht="12.75">
      <c r="A41" s="3">
        <v>4</v>
      </c>
      <c r="B41" s="4">
        <f>E40</f>
        <v>426.1108330960754</v>
      </c>
      <c r="C41" s="26">
        <f t="shared" si="1"/>
        <v>0.013438359065505771</v>
      </c>
      <c r="D41" s="4">
        <f t="shared" si="0"/>
        <v>426.11216928368043</v>
      </c>
      <c r="E41" s="4">
        <f t="shared" si="2"/>
        <v>428.4634832719263</v>
      </c>
      <c r="F41" s="4">
        <f aca="true" t="shared" si="3" ref="F41:F57">F40+C41</f>
        <v>0.05235234260001813</v>
      </c>
    </row>
    <row r="42" spans="1:6" ht="12.75">
      <c r="A42" s="3">
        <v>5</v>
      </c>
      <c r="B42" s="4">
        <f aca="true" t="shared" si="4" ref="B42:B57">E41</f>
        <v>428.4634832719263</v>
      </c>
      <c r="C42" s="26">
        <f t="shared" si="1"/>
        <v>0.01390888910067594</v>
      </c>
      <c r="D42" s="4">
        <f t="shared" si="0"/>
        <v>428.4648662447376</v>
      </c>
      <c r="E42" s="4">
        <f t="shared" si="2"/>
        <v>431.62817116220225</v>
      </c>
      <c r="F42" s="4">
        <f t="shared" si="3"/>
        <v>0.06626123170069406</v>
      </c>
    </row>
    <row r="43" spans="1:6" ht="12.75">
      <c r="A43" s="3">
        <v>6</v>
      </c>
      <c r="B43" s="4">
        <f t="shared" si="4"/>
        <v>431.62817116220225</v>
      </c>
      <c r="C43" s="26">
        <f t="shared" si="1"/>
        <v>0.014541826678731141</v>
      </c>
      <c r="D43" s="4">
        <f t="shared" si="0"/>
        <v>431.62961706854156</v>
      </c>
      <c r="E43" s="4">
        <f t="shared" si="2"/>
        <v>435.63334392518846</v>
      </c>
      <c r="F43" s="4">
        <f t="shared" si="3"/>
        <v>0.0808030583794252</v>
      </c>
    </row>
    <row r="44" spans="1:11" ht="12.75">
      <c r="A44" s="3">
        <v>7</v>
      </c>
      <c r="B44" s="4">
        <f t="shared" si="4"/>
        <v>435.63334392518846</v>
      </c>
      <c r="C44" s="26">
        <f t="shared" si="1"/>
        <v>0.01534286123132838</v>
      </c>
      <c r="D44" s="4">
        <f t="shared" si="0"/>
        <v>435.63486947908257</v>
      </c>
      <c r="E44" s="24">
        <f t="shared" si="2"/>
        <v>440.517262495775</v>
      </c>
      <c r="F44" s="4">
        <f t="shared" si="3"/>
        <v>0.09614591961075358</v>
      </c>
      <c r="G44" s="3"/>
      <c r="H44" s="3"/>
      <c r="I44" s="3"/>
      <c r="J44" s="3"/>
      <c r="K44" s="3"/>
    </row>
    <row r="45" spans="1:9" ht="12.75">
      <c r="A45" s="3">
        <v>8</v>
      </c>
      <c r="B45" s="4">
        <f t="shared" si="4"/>
        <v>440.517262495775</v>
      </c>
      <c r="C45" s="26">
        <f t="shared" si="1"/>
        <v>0.016319644945445695</v>
      </c>
      <c r="D45" s="4">
        <f t="shared" si="0"/>
        <v>440.5188851721143</v>
      </c>
      <c r="E45" s="4">
        <f t="shared" si="2"/>
        <v>446.3283455552444</v>
      </c>
      <c r="F45" s="4">
        <f t="shared" si="3"/>
        <v>0.11246556455619927</v>
      </c>
      <c r="G45" s="3"/>
      <c r="H45" s="3"/>
      <c r="I45" s="3"/>
    </row>
    <row r="46" spans="1:9" ht="12.75">
      <c r="A46" s="3">
        <v>9</v>
      </c>
      <c r="B46" s="4">
        <f t="shared" si="4"/>
        <v>446.3283455552444</v>
      </c>
      <c r="C46" s="26">
        <f t="shared" si="1"/>
        <v>0.01748186155733957</v>
      </c>
      <c r="D46" s="4">
        <f t="shared" si="0"/>
        <v>446.3300837917815</v>
      </c>
      <c r="E46" s="4">
        <f t="shared" si="2"/>
        <v>453.1256321041877</v>
      </c>
      <c r="F46" s="4">
        <f t="shared" si="3"/>
        <v>0.12994742611353885</v>
      </c>
      <c r="G46" s="4"/>
      <c r="H46" s="3"/>
      <c r="I46" s="3"/>
    </row>
    <row r="47" spans="1:6" ht="12.75">
      <c r="A47" s="3">
        <v>10</v>
      </c>
      <c r="B47" s="4">
        <f t="shared" si="4"/>
        <v>453.1256321041877</v>
      </c>
      <c r="C47" s="26">
        <f t="shared" si="1"/>
        <v>0.01884131886712822</v>
      </c>
      <c r="D47" s="4">
        <f t="shared" si="0"/>
        <v>453.12750551273484</v>
      </c>
      <c r="E47" s="4">
        <f t="shared" si="2"/>
        <v>460.9793667976717</v>
      </c>
      <c r="F47" s="4">
        <f t="shared" si="3"/>
        <v>0.14878874498066708</v>
      </c>
    </row>
    <row r="48" spans="1:6" ht="12.75">
      <c r="A48" s="3">
        <v>11</v>
      </c>
      <c r="B48" s="4">
        <f t="shared" si="4"/>
        <v>460.9793667976717</v>
      </c>
      <c r="C48" s="26">
        <f t="shared" si="1"/>
        <v>0.020412065805825018</v>
      </c>
      <c r="D48" s="4">
        <f t="shared" si="0"/>
        <v>460.9813963869385</v>
      </c>
      <c r="E48" s="4">
        <f t="shared" si="2"/>
        <v>469.9717136351408</v>
      </c>
      <c r="F48" s="4">
        <f t="shared" si="3"/>
        <v>0.1692008107864921</v>
      </c>
    </row>
    <row r="49" spans="1:9" ht="12.75">
      <c r="A49" s="3">
        <v>12</v>
      </c>
      <c r="B49" s="4">
        <f t="shared" si="4"/>
        <v>469.9717136351408</v>
      </c>
      <c r="C49" s="26">
        <f t="shared" si="1"/>
        <v>0.022210535173318856</v>
      </c>
      <c r="D49" s="4">
        <f t="shared" si="0"/>
        <v>469.97392204776435</v>
      </c>
      <c r="E49" s="4">
        <f t="shared" si="2"/>
        <v>480.1976050811905</v>
      </c>
      <c r="F49" s="4">
        <f t="shared" si="3"/>
        <v>0.19141134595981096</v>
      </c>
      <c r="I49" s="1"/>
    </row>
    <row r="50" spans="1:6" ht="12.75">
      <c r="A50" s="3">
        <v>13</v>
      </c>
      <c r="B50" s="4">
        <f t="shared" si="4"/>
        <v>480.1976050811905</v>
      </c>
      <c r="C50" s="26">
        <f t="shared" si="1"/>
        <v>0.024255713462528784</v>
      </c>
      <c r="D50" s="4">
        <f t="shared" si="0"/>
        <v>480.2000168476511</v>
      </c>
      <c r="E50" s="4">
        <f t="shared" si="2"/>
        <v>491.76573524461526</v>
      </c>
      <c r="F50" s="4">
        <f t="shared" si="3"/>
        <v>0.21566705942233974</v>
      </c>
    </row>
    <row r="51" spans="1:6" ht="12.75">
      <c r="A51" s="3">
        <v>14</v>
      </c>
      <c r="B51" s="4">
        <f t="shared" si="4"/>
        <v>491.76573524461526</v>
      </c>
      <c r="C51" s="26">
        <f t="shared" si="1"/>
        <v>0.026569339495213735</v>
      </c>
      <c r="D51" s="4">
        <f t="shared" si="0"/>
        <v>491.7683770569031</v>
      </c>
      <c r="E51" s="4">
        <f t="shared" si="2"/>
        <v>504.79970737994375</v>
      </c>
      <c r="F51" s="4">
        <f t="shared" si="3"/>
        <v>0.24223639891755347</v>
      </c>
    </row>
    <row r="52" spans="1:6" ht="12.75">
      <c r="A52" s="3">
        <v>15</v>
      </c>
      <c r="B52" s="4">
        <f t="shared" si="4"/>
        <v>504.79970737994375</v>
      </c>
      <c r="C52" s="26">
        <f t="shared" si="1"/>
        <v>0.029176133922279433</v>
      </c>
      <c r="D52" s="4">
        <f t="shared" si="0"/>
        <v>504.8026083880445</v>
      </c>
      <c r="E52" s="4">
        <f t="shared" si="2"/>
        <v>519.4393477167745</v>
      </c>
      <c r="F52" s="4">
        <f t="shared" si="3"/>
        <v>0.2714125328398329</v>
      </c>
    </row>
    <row r="53" spans="1:6" ht="12.75">
      <c r="A53" s="3">
        <v>16</v>
      </c>
      <c r="B53" s="4">
        <f t="shared" si="4"/>
        <v>519.4393477167745</v>
      </c>
      <c r="C53" s="26">
        <f t="shared" si="1"/>
        <v>0.032104061989645584</v>
      </c>
      <c r="D53" s="4">
        <f t="shared" si="0"/>
        <v>519.4425398512824</v>
      </c>
      <c r="E53" s="4">
        <f t="shared" si="2"/>
        <v>535.8421994874012</v>
      </c>
      <c r="F53" s="4">
        <f t="shared" si="3"/>
        <v>0.3035165948294785</v>
      </c>
    </row>
    <row r="54" spans="1:6" ht="12.75">
      <c r="A54" s="3">
        <v>17</v>
      </c>
      <c r="B54" s="4">
        <f t="shared" si="4"/>
        <v>535.8421994874012</v>
      </c>
      <c r="C54" s="26">
        <f t="shared" si="1"/>
        <v>0.035384632343770935</v>
      </c>
      <c r="D54" s="4">
        <f t="shared" si="0"/>
        <v>535.8457178118422</v>
      </c>
      <c r="E54" s="4">
        <f t="shared" si="2"/>
        <v>554.1852130335113</v>
      </c>
      <c r="F54" s="4">
        <f t="shared" si="3"/>
        <v>0.33890122717324944</v>
      </c>
    </row>
    <row r="55" spans="1:6" ht="12.75">
      <c r="A55" s="3">
        <v>18</v>
      </c>
      <c r="B55" s="4">
        <f t="shared" si="4"/>
        <v>554.1852130335113</v>
      </c>
      <c r="C55" s="26">
        <f t="shared" si="1"/>
        <v>0.039053235052992956</v>
      </c>
      <c r="D55" s="4">
        <f t="shared" si="0"/>
        <v>554.1890961302763</v>
      </c>
      <c r="E55" s="4">
        <f t="shared" si="2"/>
        <v>574.666650050692</v>
      </c>
      <c r="F55" s="4">
        <f t="shared" si="3"/>
        <v>0.3779544622262424</v>
      </c>
    </row>
    <row r="56" spans="1:6" ht="12.75">
      <c r="A56" s="3">
        <v>19</v>
      </c>
      <c r="B56" s="4">
        <f t="shared" si="4"/>
        <v>574.666650050692</v>
      </c>
      <c r="C56" s="26">
        <f t="shared" si="1"/>
        <v>0.043149522456429105</v>
      </c>
      <c r="D56" s="4">
        <f t="shared" si="0"/>
        <v>574.6709404448383</v>
      </c>
      <c r="E56" s="4">
        <f t="shared" si="2"/>
        <v>597.5082223993915</v>
      </c>
      <c r="F56" s="4">
        <f t="shared" si="3"/>
        <v>0.4211039846826715</v>
      </c>
    </row>
    <row r="57" spans="1:9" ht="12.75">
      <c r="A57" s="3">
        <v>20</v>
      </c>
      <c r="B57" s="24">
        <f t="shared" si="4"/>
        <v>597.5082223993915</v>
      </c>
      <c r="C57" s="26">
        <f t="shared" si="1"/>
        <v>0.04771783692616898</v>
      </c>
      <c r="D57" s="4">
        <f t="shared" si="0"/>
        <v>597.5129670249763</v>
      </c>
      <c r="E57" s="23">
        <f t="shared" si="2"/>
        <v>622.9574884991729</v>
      </c>
      <c r="F57" s="30">
        <f t="shared" si="3"/>
        <v>0.4688218216088405</v>
      </c>
      <c r="G57" t="s">
        <v>70</v>
      </c>
      <c r="I57" s="5"/>
    </row>
    <row r="58" ht="12.75">
      <c r="E58" s="18"/>
    </row>
    <row r="59" spans="1:6" ht="12.75">
      <c r="A59" s="40" t="s">
        <v>47</v>
      </c>
      <c r="B59" s="41">
        <f>70.1</f>
        <v>70.1</v>
      </c>
      <c r="C59" s="26">
        <f>B59/(PI()*B17*100)</f>
        <v>0.011156761510741863</v>
      </c>
      <c r="E59" s="42" t="s">
        <v>61</v>
      </c>
      <c r="F59" s="44">
        <f>F57*PI()*B17+B59</f>
        <v>99.55694381217835</v>
      </c>
    </row>
    <row r="60" spans="4:5" ht="12.75">
      <c r="D60" s="5"/>
      <c r="E60" s="5"/>
    </row>
    <row r="61" spans="1:8" ht="12.75">
      <c r="A61" s="5" t="s">
        <v>51</v>
      </c>
      <c r="G61" s="1"/>
      <c r="H61" s="2"/>
    </row>
    <row r="62" spans="1:6" ht="12.75">
      <c r="A62" s="5" t="s">
        <v>67</v>
      </c>
      <c r="C62" s="2"/>
      <c r="F62" s="3" t="s">
        <v>29</v>
      </c>
    </row>
    <row r="63" spans="1:6" ht="12.75">
      <c r="A63" s="32" t="s">
        <v>48</v>
      </c>
      <c r="C63" t="s">
        <v>33</v>
      </c>
      <c r="F63" s="3" t="s">
        <v>30</v>
      </c>
    </row>
    <row r="64" spans="1:7" ht="12.75">
      <c r="A64" s="35" t="s">
        <v>12</v>
      </c>
      <c r="B64" s="35" t="s">
        <v>32</v>
      </c>
      <c r="C64" s="35" t="s">
        <v>40</v>
      </c>
      <c r="D64" s="36" t="s">
        <v>31</v>
      </c>
      <c r="E64" s="36" t="s">
        <v>41</v>
      </c>
      <c r="F64" s="35" t="s">
        <v>7</v>
      </c>
      <c r="G64" s="12"/>
    </row>
    <row r="65" spans="1:9" ht="12.75">
      <c r="A65" s="13">
        <v>1</v>
      </c>
      <c r="B65" s="27">
        <f>212</f>
        <v>212</v>
      </c>
      <c r="C65" s="54">
        <f>(B65-80)/Ri</f>
        <v>0.0264</v>
      </c>
      <c r="D65" s="29">
        <f aca="true" t="shared" si="5" ref="D65:D84">B65+C65/(Cp*m)</f>
        <v>212.00262497471613</v>
      </c>
      <c r="E65" s="29">
        <f>D65+C65*Re</f>
        <v>213.59780191759162</v>
      </c>
      <c r="F65" s="28">
        <f>C65</f>
        <v>0.0264</v>
      </c>
      <c r="G65" s="39" t="s">
        <v>69</v>
      </c>
      <c r="H65" s="3"/>
      <c r="I65" s="3"/>
    </row>
    <row r="66" spans="1:9" ht="12.75">
      <c r="A66" s="3">
        <v>2</v>
      </c>
      <c r="B66" s="4">
        <f>E65</f>
        <v>213.59780191759162</v>
      </c>
      <c r="C66" s="55">
        <f aca="true" t="shared" si="6" ref="C66:C84">(B66-80)/Ri</f>
        <v>0.026719560383518325</v>
      </c>
      <c r="D66" s="4">
        <f t="shared" si="5"/>
        <v>213.60045866647164</v>
      </c>
      <c r="E66" s="4">
        <f aca="true" t="shared" si="7" ref="E66:E84">D66+(F65)*Re</f>
        <v>215.19563560934714</v>
      </c>
      <c r="F66" s="4">
        <f>F65+C66</f>
        <v>0.053119560383518324</v>
      </c>
      <c r="G66" s="4"/>
      <c r="H66" s="3"/>
      <c r="I66" s="3"/>
    </row>
    <row r="67" spans="1:9" ht="12.75">
      <c r="A67" s="3">
        <v>3</v>
      </c>
      <c r="B67" s="4">
        <f>E66</f>
        <v>215.19563560934714</v>
      </c>
      <c r="C67" s="55">
        <f t="shared" si="6"/>
        <v>0.027039127121869427</v>
      </c>
      <c r="D67" s="4">
        <f t="shared" si="5"/>
        <v>215.19832413302294</v>
      </c>
      <c r="E67" s="4">
        <f t="shared" si="7"/>
        <v>218.40798693376047</v>
      </c>
      <c r="F67" s="4">
        <f>F66+C67</f>
        <v>0.08015868750538775</v>
      </c>
      <c r="G67" s="4"/>
      <c r="H67" s="3"/>
      <c r="I67" s="3"/>
    </row>
    <row r="68" spans="1:9" ht="12.75">
      <c r="A68" s="3">
        <v>4</v>
      </c>
      <c r="B68" s="4">
        <f>E67</f>
        <v>218.40798693376047</v>
      </c>
      <c r="C68" s="24">
        <f t="shared" si="6"/>
        <v>0.027681597386752094</v>
      </c>
      <c r="D68" s="4">
        <f t="shared" si="5"/>
        <v>218.41073933880753</v>
      </c>
      <c r="E68" s="4">
        <f t="shared" si="7"/>
        <v>223.25419729637403</v>
      </c>
      <c r="F68" s="4">
        <f aca="true" t="shared" si="8" ref="F68:F84">F67+C68</f>
        <v>0.10784028489213984</v>
      </c>
      <c r="G68" s="4"/>
      <c r="H68" s="3"/>
      <c r="I68" s="3"/>
    </row>
    <row r="69" spans="1:9" ht="12.75">
      <c r="A69" s="3">
        <v>5</v>
      </c>
      <c r="B69" s="4">
        <f aca="true" t="shared" si="9" ref="B69:B84">E68</f>
        <v>223.25419729637403</v>
      </c>
      <c r="C69" s="24">
        <f t="shared" si="6"/>
        <v>0.028650839459274807</v>
      </c>
      <c r="D69" s="4">
        <f t="shared" si="5"/>
        <v>223.25704607399436</v>
      </c>
      <c r="E69" s="4">
        <f t="shared" si="7"/>
        <v>229.77311940630744</v>
      </c>
      <c r="F69" s="4">
        <f t="shared" si="8"/>
        <v>0.13649112435141464</v>
      </c>
      <c r="G69" s="4"/>
      <c r="H69" s="3"/>
      <c r="I69" s="3"/>
    </row>
    <row r="70" spans="1:9" ht="12.75">
      <c r="A70" s="3">
        <v>6</v>
      </c>
      <c r="B70" s="4">
        <f t="shared" si="9"/>
        <v>229.77311940630744</v>
      </c>
      <c r="C70" s="24">
        <f t="shared" si="6"/>
        <v>0.02995462388126149</v>
      </c>
      <c r="D70" s="4">
        <f t="shared" si="5"/>
        <v>229.77609782033468</v>
      </c>
      <c r="E70" s="4">
        <f t="shared" si="7"/>
        <v>238.0233513988395</v>
      </c>
      <c r="F70" s="4">
        <f t="shared" si="8"/>
        <v>0.16644574823267613</v>
      </c>
      <c r="G70" s="4"/>
      <c r="H70" s="3"/>
      <c r="I70" s="3"/>
    </row>
    <row r="71" spans="1:12" ht="12.75">
      <c r="A71" s="3">
        <v>7</v>
      </c>
      <c r="B71" s="4">
        <f t="shared" si="9"/>
        <v>238.0233513988395</v>
      </c>
      <c r="C71" s="24">
        <f t="shared" si="6"/>
        <v>0.031604670279767905</v>
      </c>
      <c r="D71" s="4">
        <f t="shared" si="5"/>
        <v>238.02649387839995</v>
      </c>
      <c r="E71" s="4">
        <f t="shared" si="7"/>
        <v>248.08370675038566</v>
      </c>
      <c r="F71" s="4">
        <f t="shared" si="8"/>
        <v>0.19805041851244404</v>
      </c>
      <c r="G71" s="4"/>
      <c r="H71" s="3"/>
      <c r="I71" s="3"/>
      <c r="J71" s="47">
        <f>B59/(PI()*20)</f>
        <v>1.1156761510741862</v>
      </c>
      <c r="K71" s="48">
        <f>J71*419300/80</f>
        <v>5847.537626817578</v>
      </c>
      <c r="L71" t="s">
        <v>66</v>
      </c>
    </row>
    <row r="72" spans="1:9" ht="12.75">
      <c r="A72" s="3">
        <v>8</v>
      </c>
      <c r="B72" s="4">
        <f t="shared" si="9"/>
        <v>248.08370675038566</v>
      </c>
      <c r="C72" s="24">
        <f t="shared" si="6"/>
        <v>0.03361674135007713</v>
      </c>
      <c r="D72" s="4">
        <f t="shared" si="5"/>
        <v>248.08704929190392</v>
      </c>
      <c r="E72" s="4">
        <f t="shared" si="7"/>
        <v>260.05392281985434</v>
      </c>
      <c r="F72" s="4">
        <f t="shared" si="8"/>
        <v>0.23166715986252118</v>
      </c>
      <c r="G72" s="4"/>
      <c r="H72" s="3"/>
      <c r="I72" s="3"/>
    </row>
    <row r="73" spans="1:9" ht="12.75">
      <c r="A73" s="3">
        <v>9</v>
      </c>
      <c r="B73" s="4">
        <f t="shared" si="9"/>
        <v>260.05392281985434</v>
      </c>
      <c r="C73" s="24">
        <f t="shared" si="6"/>
        <v>0.03601078456397087</v>
      </c>
      <c r="D73" s="4">
        <f t="shared" si="5"/>
        <v>260.0575034031493</v>
      </c>
      <c r="E73" s="4">
        <f t="shared" si="7"/>
        <v>274.05561369989715</v>
      </c>
      <c r="F73" s="4">
        <f t="shared" si="8"/>
        <v>0.26767794442649206</v>
      </c>
      <c r="G73" s="4"/>
      <c r="H73" s="3"/>
      <c r="I73" s="3"/>
    </row>
    <row r="74" spans="1:9" ht="12.75">
      <c r="A74" s="3">
        <v>10</v>
      </c>
      <c r="B74" s="4">
        <f t="shared" si="9"/>
        <v>274.05561369989715</v>
      </c>
      <c r="C74" s="24">
        <f t="shared" si="6"/>
        <v>0.03881112273997943</v>
      </c>
      <c r="D74" s="4">
        <f t="shared" si="5"/>
        <v>274.0594727232266</v>
      </c>
      <c r="E74" s="4">
        <f t="shared" si="7"/>
        <v>290.2334759454026</v>
      </c>
      <c r="F74" s="4">
        <f t="shared" si="8"/>
        <v>0.3064890671664715</v>
      </c>
      <c r="G74" s="4"/>
      <c r="H74" s="3"/>
      <c r="I74" s="3"/>
    </row>
    <row r="75" spans="1:7" ht="12.75">
      <c r="A75" s="3">
        <v>11</v>
      </c>
      <c r="B75" s="4">
        <f t="shared" si="9"/>
        <v>290.2334759454026</v>
      </c>
      <c r="C75" s="24">
        <f t="shared" si="6"/>
        <v>0.04204669518908052</v>
      </c>
      <c r="D75" s="4">
        <f t="shared" si="5"/>
        <v>290.2376566844847</v>
      </c>
      <c r="E75" s="4">
        <f t="shared" si="7"/>
        <v>308.75675869915784</v>
      </c>
      <c r="F75" s="4">
        <f t="shared" si="8"/>
        <v>0.348535762355552</v>
      </c>
      <c r="G75" s="4"/>
    </row>
    <row r="76" spans="1:7" ht="12.75">
      <c r="A76" s="3">
        <v>12</v>
      </c>
      <c r="B76" s="4">
        <f t="shared" si="9"/>
        <v>308.75675869915784</v>
      </c>
      <c r="C76" s="24">
        <f t="shared" si="6"/>
        <v>0.04575135173983157</v>
      </c>
      <c r="D76" s="4">
        <f t="shared" si="5"/>
        <v>308.76130779542854</v>
      </c>
      <c r="E76" s="4">
        <f t="shared" si="7"/>
        <v>329.82101279077347</v>
      </c>
      <c r="F76" s="4">
        <f t="shared" si="8"/>
        <v>0.3942871140953836</v>
      </c>
      <c r="G76" s="4"/>
    </row>
    <row r="77" spans="1:7" ht="12.75">
      <c r="A77" s="3">
        <v>13</v>
      </c>
      <c r="B77" s="4">
        <f t="shared" si="9"/>
        <v>329.82101279077347</v>
      </c>
      <c r="C77" s="24">
        <f t="shared" si="6"/>
        <v>0.049964202558154695</v>
      </c>
      <c r="D77" s="4">
        <f t="shared" si="5"/>
        <v>329.825980774426</v>
      </c>
      <c r="E77" s="4">
        <f t="shared" si="7"/>
        <v>353.650136580406</v>
      </c>
      <c r="F77" s="4">
        <f t="shared" si="8"/>
        <v>0.4442513166535383</v>
      </c>
      <c r="G77" s="4"/>
    </row>
    <row r="78" spans="1:7" ht="12.75">
      <c r="A78" s="3">
        <v>14</v>
      </c>
      <c r="B78" s="4">
        <f t="shared" si="9"/>
        <v>353.650136580406</v>
      </c>
      <c r="C78" s="24">
        <f t="shared" si="6"/>
        <v>0.0547300273160812</v>
      </c>
      <c r="D78" s="4">
        <f t="shared" si="5"/>
        <v>353.655578434115</v>
      </c>
      <c r="E78" s="4">
        <f t="shared" si="7"/>
        <v>380.4987396904711</v>
      </c>
      <c r="F78" s="4">
        <f t="shared" si="8"/>
        <v>0.49898134396961946</v>
      </c>
      <c r="G78" s="4"/>
    </row>
    <row r="79" spans="1:7" ht="12.75">
      <c r="A79" s="3">
        <v>15</v>
      </c>
      <c r="B79" s="4">
        <f t="shared" si="9"/>
        <v>380.4987396904711</v>
      </c>
      <c r="C79" s="24">
        <f t="shared" si="6"/>
        <v>0.06009974793809422</v>
      </c>
      <c r="D79" s="4">
        <f t="shared" si="5"/>
        <v>380.504715460122</v>
      </c>
      <c r="E79" s="4">
        <f t="shared" si="7"/>
        <v>410.65484935502195</v>
      </c>
      <c r="F79" s="4">
        <f t="shared" si="8"/>
        <v>0.5590810919077137</v>
      </c>
      <c r="G79" s="4"/>
    </row>
    <row r="80" spans="1:7" ht="12.75">
      <c r="A80" s="3">
        <v>16</v>
      </c>
      <c r="B80" s="4">
        <f t="shared" si="9"/>
        <v>410.65484935502195</v>
      </c>
      <c r="C80" s="24">
        <f t="shared" si="6"/>
        <v>0.06613096987100439</v>
      </c>
      <c r="D80" s="4">
        <f t="shared" si="5"/>
        <v>410.66142481425925</v>
      </c>
      <c r="E80" s="4">
        <f t="shared" si="7"/>
        <v>444.4429879585333</v>
      </c>
      <c r="F80" s="4">
        <f t="shared" si="8"/>
        <v>0.6252120617787181</v>
      </c>
      <c r="G80" s="4"/>
    </row>
    <row r="81" spans="1:7" ht="12.75">
      <c r="A81" s="3">
        <v>17</v>
      </c>
      <c r="B81" s="4">
        <f t="shared" si="9"/>
        <v>444.4429879585333</v>
      </c>
      <c r="C81" s="24">
        <f t="shared" si="6"/>
        <v>0.07288859759170666</v>
      </c>
      <c r="D81" s="4">
        <f t="shared" si="5"/>
        <v>444.4502353345095</v>
      </c>
      <c r="E81" s="4">
        <f t="shared" si="7"/>
        <v>482.2276544768222</v>
      </c>
      <c r="F81" s="4">
        <f t="shared" si="8"/>
        <v>0.6981006593704248</v>
      </c>
      <c r="G81" s="4"/>
    </row>
    <row r="82" spans="1:7" ht="12.75">
      <c r="A82" s="3">
        <v>18</v>
      </c>
      <c r="B82" s="4">
        <f t="shared" si="9"/>
        <v>482.2276544768222</v>
      </c>
      <c r="C82" s="24">
        <f t="shared" si="6"/>
        <v>0.08044553089536444</v>
      </c>
      <c r="D82" s="4">
        <f t="shared" si="5"/>
        <v>482.2356532451792</v>
      </c>
      <c r="E82" s="4">
        <f t="shared" si="7"/>
        <v>524.4172470191896</v>
      </c>
      <c r="F82" s="4">
        <f t="shared" si="8"/>
        <v>0.7785461902657892</v>
      </c>
      <c r="G82" s="4"/>
    </row>
    <row r="83" spans="1:7" ht="12.75">
      <c r="A83" s="3">
        <v>19</v>
      </c>
      <c r="B83" s="4">
        <f t="shared" si="9"/>
        <v>524.4172470191896</v>
      </c>
      <c r="C83" s="24">
        <f t="shared" si="6"/>
        <v>0.08888344940383792</v>
      </c>
      <c r="D83" s="4">
        <f t="shared" si="5"/>
        <v>524.4260847770445</v>
      </c>
      <c r="E83" s="4">
        <f t="shared" si="7"/>
        <v>571.468468552633</v>
      </c>
      <c r="F83" s="4">
        <f t="shared" si="8"/>
        <v>0.8674296396696272</v>
      </c>
      <c r="G83" s="31"/>
    </row>
    <row r="84" spans="1:7" ht="12.75">
      <c r="A84" s="3">
        <v>20</v>
      </c>
      <c r="B84" s="4">
        <f t="shared" si="9"/>
        <v>571.468468552633</v>
      </c>
      <c r="C84" s="24">
        <f t="shared" si="6"/>
        <v>0.0982936937105266</v>
      </c>
      <c r="D84" s="4">
        <f t="shared" si="5"/>
        <v>571.4782419791763</v>
      </c>
      <c r="E84" s="23">
        <f t="shared" si="7"/>
        <v>623.8912632203801</v>
      </c>
      <c r="F84" s="30">
        <f t="shared" si="8"/>
        <v>0.9657233333801538</v>
      </c>
      <c r="G84" s="49" t="s">
        <v>70</v>
      </c>
    </row>
    <row r="85" spans="1:6" ht="12.75">
      <c r="A85" s="20"/>
      <c r="B85" s="22"/>
      <c r="C85" s="21"/>
      <c r="D85" s="22"/>
      <c r="E85" s="9"/>
      <c r="F85" s="9"/>
    </row>
    <row r="86" spans="1:10" ht="12.75">
      <c r="A86" s="3"/>
      <c r="B86" s="9"/>
      <c r="C86" s="21"/>
      <c r="D86" s="9"/>
      <c r="E86" s="43" t="s">
        <v>62</v>
      </c>
      <c r="F86" s="46">
        <f>F84*PI()*B17</f>
        <v>60.67818659094676</v>
      </c>
      <c r="G86" s="4"/>
      <c r="I86" s="19"/>
      <c r="J86" s="15"/>
    </row>
    <row r="87" spans="1:7" ht="12.75">
      <c r="A87" s="3"/>
      <c r="B87" s="9"/>
      <c r="C87" s="21"/>
      <c r="D87" s="9"/>
      <c r="E87" s="9"/>
      <c r="F87" s="9"/>
      <c r="G87" s="4"/>
    </row>
    <row r="88" ht="12.75">
      <c r="A88" s="5" t="s">
        <v>50</v>
      </c>
    </row>
    <row r="89" spans="1:6" ht="12.75">
      <c r="A89" t="s">
        <v>68</v>
      </c>
      <c r="D89" t="s">
        <v>65</v>
      </c>
      <c r="F89" s="3" t="s">
        <v>29</v>
      </c>
    </row>
    <row r="90" spans="1:6" ht="12.75">
      <c r="A90" s="3" t="s">
        <v>48</v>
      </c>
      <c r="B90" s="3"/>
      <c r="C90" s="3" t="s">
        <v>33</v>
      </c>
      <c r="D90" s="3"/>
      <c r="E90" s="3"/>
      <c r="F90" s="3" t="s">
        <v>30</v>
      </c>
    </row>
    <row r="91" spans="1:6" ht="12.75">
      <c r="A91" s="6" t="s">
        <v>12</v>
      </c>
      <c r="B91" s="6" t="s">
        <v>32</v>
      </c>
      <c r="C91" s="6" t="s">
        <v>40</v>
      </c>
      <c r="D91" s="6" t="s">
        <v>31</v>
      </c>
      <c r="E91" s="6" t="s">
        <v>41</v>
      </c>
      <c r="F91" s="6" t="s">
        <v>7</v>
      </c>
    </row>
    <row r="92" spans="1:6" ht="12.75">
      <c r="A92" s="3">
        <v>1</v>
      </c>
      <c r="B92" s="20">
        <f>293</f>
        <v>293</v>
      </c>
      <c r="C92" s="45">
        <f aca="true" t="shared" si="10" ref="C92:C111">(B92-80)/Ri-$B$113/($B$17*PI()*n)</f>
        <v>-2.169376000957235E-05</v>
      </c>
      <c r="D92" s="4">
        <f aca="true" t="shared" si="11" ref="D92:D111">B92+C92/(Cp*m)</f>
        <v>292.9999978429708</v>
      </c>
      <c r="E92" s="4">
        <f>D92+C92*Re</f>
        <v>292.9986870329037</v>
      </c>
      <c r="F92" s="9">
        <f>C92</f>
        <v>-2.169376000957235E-05</v>
      </c>
    </row>
    <row r="93" spans="1:6" ht="12.75">
      <c r="A93" s="3">
        <v>2</v>
      </c>
      <c r="B93" s="4">
        <f>E92</f>
        <v>292.9986870329037</v>
      </c>
      <c r="C93" s="45">
        <f t="shared" si="10"/>
        <v>-2.195635342882446E-05</v>
      </c>
      <c r="D93" s="4">
        <f t="shared" si="11"/>
        <v>292.99868484976463</v>
      </c>
      <c r="E93" s="4">
        <f aca="true" t="shared" si="12" ref="E93:E111">D93+(F92)*Re</f>
        <v>292.99737403969755</v>
      </c>
      <c r="F93" s="9">
        <f>F92+C93</f>
        <v>-4.365011343839681E-05</v>
      </c>
    </row>
    <row r="94" spans="1:6" ht="12.75">
      <c r="A94" s="3">
        <v>3</v>
      </c>
      <c r="B94" s="4">
        <f>E93</f>
        <v>292.99737403969755</v>
      </c>
      <c r="C94" s="45">
        <f t="shared" si="10"/>
        <v>-2.221895207005914E-05</v>
      </c>
      <c r="D94" s="4">
        <f t="shared" si="11"/>
        <v>292.997371830448</v>
      </c>
      <c r="E94" s="4">
        <f t="shared" si="12"/>
        <v>292.99473434353473</v>
      </c>
      <c r="F94" s="9">
        <f>F93+C94</f>
        <v>-6.586906550845595E-05</v>
      </c>
    </row>
    <row r="95" spans="1:6" ht="12.75">
      <c r="A95" s="3">
        <v>4</v>
      </c>
      <c r="B95" s="4">
        <f>E94</f>
        <v>292.99473434353473</v>
      </c>
      <c r="C95" s="45">
        <f t="shared" si="10"/>
        <v>-2.2746891302626027E-05</v>
      </c>
      <c r="D95" s="4">
        <f t="shared" si="11"/>
        <v>292.99473208179177</v>
      </c>
      <c r="E95" s="4">
        <f t="shared" si="12"/>
        <v>292.99075205093766</v>
      </c>
      <c r="F95" s="9">
        <f aca="true" t="shared" si="13" ref="F95:F111">F94+C95</f>
        <v>-8.861595681108198E-05</v>
      </c>
    </row>
    <row r="96" spans="1:6" ht="12.75">
      <c r="A96" s="3">
        <v>5</v>
      </c>
      <c r="B96" s="4">
        <f aca="true" t="shared" si="14" ref="B96:B111">E95</f>
        <v>292.99075205093766</v>
      </c>
      <c r="C96" s="45">
        <f t="shared" si="10"/>
        <v>-2.354334982204026E-05</v>
      </c>
      <c r="D96" s="4">
        <f t="shared" si="11"/>
        <v>292.99074971000215</v>
      </c>
      <c r="E96" s="4">
        <f t="shared" si="12"/>
        <v>292.9853952353402</v>
      </c>
      <c r="F96" s="9">
        <f t="shared" si="13"/>
        <v>-0.00011215930663312224</v>
      </c>
    </row>
    <row r="97" spans="1:6" ht="12.75">
      <c r="A97" s="3">
        <v>6</v>
      </c>
      <c r="B97" s="4">
        <f t="shared" si="14"/>
        <v>292.9853952353402</v>
      </c>
      <c r="C97" s="45">
        <f t="shared" si="10"/>
        <v>-2.461471294153139E-05</v>
      </c>
      <c r="D97" s="4">
        <f t="shared" si="11"/>
        <v>292.98539278787814</v>
      </c>
      <c r="E97" s="4">
        <f t="shared" si="12"/>
        <v>292.97861574470124</v>
      </c>
      <c r="F97" s="9">
        <f t="shared" si="13"/>
        <v>-0.00013677401957465363</v>
      </c>
    </row>
    <row r="98" spans="1:6" ht="12.75">
      <c r="A98" s="3">
        <v>7</v>
      </c>
      <c r="B98" s="4">
        <f t="shared" si="14"/>
        <v>292.97861574470124</v>
      </c>
      <c r="C98" s="45">
        <f t="shared" si="10"/>
        <v>-2.5970611069320304E-05</v>
      </c>
      <c r="D98" s="4">
        <f t="shared" si="11"/>
        <v>292.978613162421</v>
      </c>
      <c r="E98" s="4">
        <f t="shared" si="12"/>
        <v>292.97034881536007</v>
      </c>
      <c r="F98" s="9">
        <f t="shared" si="13"/>
        <v>-0.00016274463064397393</v>
      </c>
    </row>
    <row r="99" spans="1:6" ht="12.75">
      <c r="A99" s="3">
        <v>8</v>
      </c>
      <c r="B99" s="4">
        <f t="shared" si="14"/>
        <v>292.97034881536007</v>
      </c>
      <c r="C99" s="45">
        <f t="shared" si="10"/>
        <v>-2.7623996937557738E-05</v>
      </c>
      <c r="D99" s="4">
        <f t="shared" si="11"/>
        <v>292.97034606868226</v>
      </c>
      <c r="E99" s="4">
        <f t="shared" si="12"/>
        <v>292.9605124898042</v>
      </c>
      <c r="F99" s="9">
        <f t="shared" si="13"/>
        <v>-0.00019036862758153167</v>
      </c>
    </row>
    <row r="100" spans="1:6" ht="12.75">
      <c r="A100" s="3">
        <v>9</v>
      </c>
      <c r="B100" s="4">
        <f t="shared" si="14"/>
        <v>292.9605124898042</v>
      </c>
      <c r="C100" s="45">
        <f t="shared" si="10"/>
        <v>-2.959126204872542E-05</v>
      </c>
      <c r="D100" s="4">
        <f t="shared" si="11"/>
        <v>292.96050954751956</v>
      </c>
      <c r="E100" s="4">
        <f t="shared" si="12"/>
        <v>292.94900683367996</v>
      </c>
      <c r="F100" s="9">
        <f t="shared" si="13"/>
        <v>-0.0002199598896302571</v>
      </c>
    </row>
    <row r="101" spans="1:6" ht="12.75">
      <c r="A101" s="3">
        <v>10</v>
      </c>
      <c r="B101" s="4">
        <f t="shared" si="14"/>
        <v>292.94900683367996</v>
      </c>
      <c r="C101" s="45">
        <f t="shared" si="10"/>
        <v>-3.189239327357901E-05</v>
      </c>
      <c r="D101" s="4">
        <f t="shared" si="11"/>
        <v>292.94900366259185</v>
      </c>
      <c r="E101" s="4">
        <f t="shared" si="12"/>
        <v>292.93571294500487</v>
      </c>
      <c r="F101" s="9">
        <f t="shared" si="13"/>
        <v>-0.0002518522829038361</v>
      </c>
    </row>
    <row r="102" spans="1:6" ht="12.75">
      <c r="A102" s="3">
        <v>11</v>
      </c>
      <c r="B102" s="4">
        <f t="shared" si="14"/>
        <v>292.93571294500487</v>
      </c>
      <c r="C102" s="45">
        <f t="shared" si="10"/>
        <v>-3.455117100859689E-05</v>
      </c>
      <c r="D102" s="4">
        <f t="shared" si="11"/>
        <v>292.9357095095522</v>
      </c>
      <c r="E102" s="4">
        <f t="shared" si="12"/>
        <v>292.9204917461167</v>
      </c>
      <c r="F102" s="9">
        <f t="shared" si="13"/>
        <v>-0.000286403453912433</v>
      </c>
    </row>
    <row r="103" spans="1:6" ht="12.75">
      <c r="A103" s="3">
        <v>12</v>
      </c>
      <c r="B103" s="4">
        <f t="shared" si="14"/>
        <v>292.9204917461167</v>
      </c>
      <c r="C103" s="45">
        <f t="shared" si="10"/>
        <v>-3.75954107862328E-05</v>
      </c>
      <c r="D103" s="4">
        <f t="shared" si="11"/>
        <v>292.92048800797266</v>
      </c>
      <c r="E103" s="4">
        <f t="shared" si="12"/>
        <v>292.9031825463802</v>
      </c>
      <c r="F103" s="9">
        <f t="shared" si="13"/>
        <v>-0.0003239988646986658</v>
      </c>
    </row>
    <row r="104" spans="1:6" ht="12.75">
      <c r="A104" s="3">
        <v>13</v>
      </c>
      <c r="B104" s="4">
        <f t="shared" si="14"/>
        <v>292.9031825463802</v>
      </c>
      <c r="C104" s="45">
        <f t="shared" si="10"/>
        <v>-4.105725073352828E-05</v>
      </c>
      <c r="D104" s="4">
        <f t="shared" si="11"/>
        <v>292.90317846402246</v>
      </c>
      <c r="E104" s="4">
        <f t="shared" si="12"/>
        <v>292.88360136104956</v>
      </c>
      <c r="F104" s="9">
        <f t="shared" si="13"/>
        <v>-0.00036505611543219407</v>
      </c>
    </row>
    <row r="105" spans="1:6" ht="12.75">
      <c r="A105" s="3">
        <v>14</v>
      </c>
      <c r="B105" s="4">
        <f t="shared" si="14"/>
        <v>292.88360136104956</v>
      </c>
      <c r="C105" s="45">
        <f t="shared" si="10"/>
        <v>-4.497348779965854E-05</v>
      </c>
      <c r="D105" s="4">
        <f t="shared" si="11"/>
        <v>292.88359688929694</v>
      </c>
      <c r="E105" s="4">
        <f t="shared" si="12"/>
        <v>292.86153896891085</v>
      </c>
      <c r="F105" s="9">
        <f t="shared" si="13"/>
        <v>-0.0004100296032318526</v>
      </c>
    </row>
    <row r="106" spans="1:6" ht="12.75">
      <c r="A106" s="3">
        <v>15</v>
      </c>
      <c r="B106" s="4">
        <f t="shared" si="14"/>
        <v>292.86153896891085</v>
      </c>
      <c r="C106" s="45">
        <f t="shared" si="10"/>
        <v>-4.9385966227402656E-05</v>
      </c>
      <c r="D106" s="4">
        <f t="shared" si="11"/>
        <v>292.86153405842174</v>
      </c>
      <c r="E106" s="4">
        <f t="shared" si="12"/>
        <v>292.8367586883849</v>
      </c>
      <c r="F106" s="9">
        <f t="shared" si="13"/>
        <v>-0.00045941556945925527</v>
      </c>
    </row>
    <row r="107" spans="1:6" ht="12.75">
      <c r="A107" s="3">
        <v>16</v>
      </c>
      <c r="B107" s="4">
        <f t="shared" si="14"/>
        <v>292.8367586883849</v>
      </c>
      <c r="C107" s="45">
        <f t="shared" si="10"/>
        <v>-5.434202233258606E-05</v>
      </c>
      <c r="D107" s="4">
        <f t="shared" si="11"/>
        <v>292.8367532851109</v>
      </c>
      <c r="E107" s="4">
        <f t="shared" si="12"/>
        <v>292.8089938486109</v>
      </c>
      <c r="F107" s="9">
        <f t="shared" si="13"/>
        <v>-0.0005137575917918413</v>
      </c>
    </row>
    <row r="108" spans="1:6" ht="12.75">
      <c r="A108" s="3">
        <v>17</v>
      </c>
      <c r="B108" s="4">
        <f t="shared" si="14"/>
        <v>292.8089938486109</v>
      </c>
      <c r="C108" s="45">
        <f t="shared" si="10"/>
        <v>-5.989499028739159E-05</v>
      </c>
      <c r="D108" s="4">
        <f t="shared" si="11"/>
        <v>292.8089878932005</v>
      </c>
      <c r="E108" s="4">
        <f t="shared" si="12"/>
        <v>292.7779449286303</v>
      </c>
      <c r="F108" s="9">
        <f t="shared" si="13"/>
        <v>-0.0005736525820792329</v>
      </c>
    </row>
    <row r="109" spans="1:6" ht="12.75">
      <c r="A109" s="3">
        <v>18</v>
      </c>
      <c r="B109" s="4">
        <f t="shared" si="14"/>
        <v>292.7779449286303</v>
      </c>
      <c r="C109" s="45">
        <f t="shared" si="10"/>
        <v>-6.610477428351663E-05</v>
      </c>
      <c r="D109" s="4">
        <f t="shared" si="11"/>
        <v>292.7779383557757</v>
      </c>
      <c r="E109" s="4">
        <f t="shared" si="12"/>
        <v>292.7432763341032</v>
      </c>
      <c r="F109" s="9">
        <f t="shared" si="13"/>
        <v>-0.0006397573563627496</v>
      </c>
    </row>
    <row r="110" spans="1:6" ht="12.75">
      <c r="A110" s="3">
        <v>19</v>
      </c>
      <c r="B110" s="4">
        <f t="shared" si="14"/>
        <v>292.7432763341032</v>
      </c>
      <c r="C110" s="45">
        <f t="shared" si="10"/>
        <v>-7.303849318893163E-05</v>
      </c>
      <c r="D110" s="4">
        <f t="shared" si="11"/>
        <v>292.74326907182297</v>
      </c>
      <c r="E110" s="4">
        <f t="shared" si="12"/>
        <v>292.7046127769781</v>
      </c>
      <c r="F110" s="9">
        <f t="shared" si="13"/>
        <v>-0.0007127958495516812</v>
      </c>
    </row>
    <row r="111" spans="1:6" ht="12.75">
      <c r="A111" s="3">
        <v>20</v>
      </c>
      <c r="B111" s="4">
        <f t="shared" si="14"/>
        <v>292.7046127769781</v>
      </c>
      <c r="C111" s="45">
        <f t="shared" si="10"/>
        <v>-8.077120461395804E-05</v>
      </c>
      <c r="D111" s="4">
        <f t="shared" si="11"/>
        <v>292.7046047458277</v>
      </c>
      <c r="E111" s="23">
        <f t="shared" si="12"/>
        <v>292.66153521915413</v>
      </c>
      <c r="F111" s="38">
        <f t="shared" si="13"/>
        <v>-0.0007935670541656392</v>
      </c>
    </row>
    <row r="112" ht="12.75">
      <c r="B112" s="2"/>
    </row>
    <row r="113" spans="1:6" ht="12.75">
      <c r="A113" t="s">
        <v>64</v>
      </c>
      <c r="B113" s="41">
        <f>53.56</f>
        <v>53.56</v>
      </c>
      <c r="E113" s="42" t="s">
        <v>63</v>
      </c>
      <c r="F113" s="46">
        <f>F111*PI()*B17+B113</f>
        <v>53.51013871145005</v>
      </c>
    </row>
    <row r="116" spans="2:7" ht="12.75">
      <c r="B116" s="28"/>
      <c r="C116" s="21"/>
      <c r="D116" s="9"/>
      <c r="E116" s="9"/>
      <c r="F116" s="9"/>
      <c r="G116" s="4"/>
    </row>
    <row r="117" spans="1:7" ht="15">
      <c r="A117" s="33"/>
      <c r="B117" s="9"/>
      <c r="C117" s="21"/>
      <c r="D117" s="9"/>
      <c r="E117" s="9"/>
      <c r="F117" s="9"/>
      <c r="G117" s="4"/>
    </row>
    <row r="118" spans="1:7" ht="15.75">
      <c r="A118" s="37" t="s">
        <v>49</v>
      </c>
      <c r="B118" s="9"/>
      <c r="C118" s="21"/>
      <c r="D118" s="9"/>
      <c r="E118" s="9"/>
      <c r="F118" s="9"/>
      <c r="G118" s="4"/>
    </row>
    <row r="119" spans="1:7" ht="15.75">
      <c r="A119" s="34" t="s">
        <v>72</v>
      </c>
      <c r="B119" s="9"/>
      <c r="C119" s="21"/>
      <c r="D119" s="9"/>
      <c r="E119" s="9"/>
      <c r="F119" s="9"/>
      <c r="G119" s="4"/>
    </row>
    <row r="120" spans="1:7" ht="15.75">
      <c r="A120" s="34"/>
      <c r="B120" s="9"/>
      <c r="C120" s="21"/>
      <c r="D120" s="9"/>
      <c r="E120" s="9"/>
      <c r="F120" s="9"/>
      <c r="G120" s="4"/>
    </row>
    <row r="121" spans="1:7" ht="15.75">
      <c r="A121" s="34"/>
      <c r="B121" s="9"/>
      <c r="C121" s="21"/>
      <c r="D121" s="9"/>
      <c r="E121" s="9"/>
      <c r="F121" s="9"/>
      <c r="G121" s="4"/>
    </row>
    <row r="122" spans="1:7" ht="12.75">
      <c r="A122" s="3"/>
      <c r="B122" s="9"/>
      <c r="C122" s="21"/>
      <c r="D122" s="9"/>
      <c r="E122" s="9"/>
      <c r="F122" s="9"/>
      <c r="G122" s="4"/>
    </row>
    <row r="132" spans="1:7" ht="12.75">
      <c r="A132" s="3"/>
      <c r="B132" s="9"/>
      <c r="C132" s="21"/>
      <c r="D132" s="9"/>
      <c r="E132" s="9"/>
      <c r="F132" s="9"/>
      <c r="G132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g89</dc:creator>
  <cp:keywords/>
  <dc:description/>
  <cp:lastModifiedBy>g89</cp:lastModifiedBy>
  <dcterms:created xsi:type="dcterms:W3CDTF">2003-11-03T14:11:37Z</dcterms:created>
  <dcterms:modified xsi:type="dcterms:W3CDTF">2008-02-14T17:15:53Z</dcterms:modified>
  <cp:category/>
  <cp:version/>
  <cp:contentType/>
  <cp:contentStatus/>
</cp:coreProperties>
</file>