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35" windowHeight="9165" activeTab="0"/>
  </bookViews>
  <sheets>
    <sheet name="Sheet1" sheetId="1" r:id="rId1"/>
    <sheet name="Sheet2" sheetId="2" r:id="rId2"/>
    <sheet name="Sheet3" sheetId="3" r:id="rId3"/>
  </sheets>
  <definedNames>
    <definedName name="b">'Sheet1'!$G$7</definedName>
    <definedName name="Cp">'Sheet1'!$G$12</definedName>
    <definedName name="dT">'Sheet1'!$D$8</definedName>
    <definedName name="dTlin">'Sheet1'!$H$58</definedName>
    <definedName name="h">'Sheet1'!$D$12</definedName>
    <definedName name="k">'Sheet1'!$D$7</definedName>
    <definedName name="Ki">'Sheet1'!$D$9</definedName>
    <definedName name="L">'Sheet1'!$D$10</definedName>
    <definedName name="Le">'Sheet1'!$G$11</definedName>
    <definedName name="Li">'Sheet1'!$G$9</definedName>
    <definedName name="Lk">'Sheet1'!$G$13</definedName>
    <definedName name="m">'Sheet1'!$D$11</definedName>
    <definedName name="n">'Sheet1'!$G$10</definedName>
    <definedName name="p">'Sheet1'!$G$8</definedName>
    <definedName name="qc">'Sheet1'!#REF!</definedName>
    <definedName name="Re">'Sheet1'!$G$5</definedName>
    <definedName name="Ri">'Sheet1'!$G$6</definedName>
    <definedName name="Rk">'Sheet1'!$G$4</definedName>
    <definedName name="Rt">'Sheet1'!$G$3</definedName>
    <definedName name="Ta">'Sheet1'!$D$5</definedName>
    <definedName name="To">'Sheet1'!$D$6</definedName>
  </definedNames>
  <calcPr fullCalcOnLoad="1"/>
</workbook>
</file>

<file path=xl/sharedStrings.xml><?xml version="1.0" encoding="utf-8"?>
<sst xmlns="http://schemas.openxmlformats.org/spreadsheetml/2006/main" count="114" uniqueCount="96">
  <si>
    <t>Q=A*dT*k/L</t>
  </si>
  <si>
    <t>k=</t>
  </si>
  <si>
    <t>To=</t>
  </si>
  <si>
    <t>Ta=</t>
  </si>
  <si>
    <t>dT=</t>
  </si>
  <si>
    <t>cm</t>
  </si>
  <si>
    <t>ELEMENT</t>
  </si>
  <si>
    <t>Ki=</t>
  </si>
  <si>
    <t>n=</t>
  </si>
  <si>
    <t>number of elements</t>
  </si>
  <si>
    <t>L=</t>
  </si>
  <si>
    <t>Li=</t>
  </si>
  <si>
    <t>Ri=</t>
  </si>
  <si>
    <t>Le=</t>
  </si>
  <si>
    <t>p=</t>
  </si>
  <si>
    <t>Inconel(g/cm^3)</t>
  </si>
  <si>
    <t>m=</t>
  </si>
  <si>
    <t>Cp=</t>
  </si>
  <si>
    <t>(C)</t>
  </si>
  <si>
    <t>Port length(cm)</t>
  </si>
  <si>
    <t>Inconel</t>
  </si>
  <si>
    <t>b=</t>
  </si>
  <si>
    <t>(cm)Inconel</t>
  </si>
  <si>
    <t>Accumulative</t>
  </si>
  <si>
    <t>Tc(K)</t>
  </si>
  <si>
    <t>Tb(K)</t>
  </si>
  <si>
    <t>Re=</t>
  </si>
  <si>
    <t>therm resist thru side</t>
  </si>
  <si>
    <t>Model is calculated in reverse, starting at flange, adding heat.</t>
  </si>
  <si>
    <t>Insulation(w/cm-k)</t>
  </si>
  <si>
    <t>K</t>
  </si>
  <si>
    <t>PORT</t>
  </si>
  <si>
    <t>Heaters are represented by negative input value.</t>
  </si>
  <si>
    <t>1-D Finite Differences analysis.</t>
  </si>
  <si>
    <t>Port element</t>
  </si>
  <si>
    <t>Port</t>
  </si>
  <si>
    <t>Vessel</t>
  </si>
  <si>
    <t>Bakeout losses - determine gradient with port flange</t>
  </si>
  <si>
    <t>RESULTS</t>
  </si>
  <si>
    <t>Ignore radiation.</t>
  </si>
  <si>
    <t>HEAT TRANSFER FROM HEAT TUBES THROUGH INSULATION TO VERTICAL PORT DURING BAKEOUT.</t>
  </si>
  <si>
    <t>Tubing at 350 C.</t>
  </si>
  <si>
    <t>of total port area.</t>
  </si>
  <si>
    <t>at 150 C and heat input/output distrib.along port. VV at 350 C.</t>
  </si>
  <si>
    <t xml:space="preserve">Electrical heaters are evenly </t>
  </si>
  <si>
    <t>distributed.</t>
  </si>
  <si>
    <t>element length(cm)</t>
  </si>
  <si>
    <t>element therm resist along length</t>
  </si>
  <si>
    <t>insulation under tube(cm)</t>
  </si>
  <si>
    <t>Lk=</t>
  </si>
  <si>
    <t>total insulation</t>
  </si>
  <si>
    <t>Rk=</t>
  </si>
  <si>
    <t>therm resistance under tube</t>
  </si>
  <si>
    <t>HEATER INPUT IS CHOSEN BY TRIAL AND ERROR UNTIL BOUNDARY CONDITIONS ARE MET.</t>
  </si>
  <si>
    <t>Qi(w/element)</t>
  </si>
  <si>
    <t>(w/element)</t>
  </si>
  <si>
    <t>incremental loss</t>
  </si>
  <si>
    <t>Port Circumference</t>
  </si>
  <si>
    <t>Lc=</t>
  </si>
  <si>
    <t>inches</t>
  </si>
  <si>
    <t>Tube heated area is 36%</t>
  </si>
  <si>
    <t xml:space="preserve"> heat transfer</t>
  </si>
  <si>
    <t>Operation losses - determine gradient with port flange</t>
  </si>
  <si>
    <t>at 21 C and heat input/output distrib.along port. VV at 21 C.</t>
  </si>
  <si>
    <t>Total loss out port and tubes=</t>
  </si>
  <si>
    <t>Tube coverage</t>
  </si>
  <si>
    <t>Tube loss to cryostat</t>
  </si>
  <si>
    <t>5/16 inch tubes.</t>
  </si>
  <si>
    <t>Tav(K)</t>
  </si>
  <si>
    <t>CONCLUSIONS</t>
  </si>
  <si>
    <t>The port temperature will be regulated with the electrical heating elements.</t>
  </si>
  <si>
    <t>into cryostat(w)</t>
  </si>
  <si>
    <t>Total load into cryostat for all 6 ports(w)=</t>
  </si>
  <si>
    <t>System  needs minimal heater during bakeout to maintain flange at 150 C.</t>
  </si>
  <si>
    <t>Burying the heater tubes between two layers of insulation will give the desired operation, i.e. the port flange will not overheat during bakeout and it will require minimal heating.</t>
  </si>
  <si>
    <t>Includes heat out end at flange).</t>
  </si>
  <si>
    <t>Rt=</t>
  </si>
  <si>
    <t>thermal resistance from tube to cryo</t>
  </si>
  <si>
    <t>Heater input Qh(w)=</t>
  </si>
  <si>
    <t>w/element</t>
  </si>
  <si>
    <t>h=</t>
  </si>
  <si>
    <t>heat trns coef(w/cm^2K</t>
  </si>
  <si>
    <t>w/cm</t>
  </si>
  <si>
    <t>Check</t>
  </si>
  <si>
    <t>Total loss out port and tube into cryostat=</t>
  </si>
  <si>
    <t>heat loss from port</t>
  </si>
  <si>
    <t>heat gain by port</t>
  </si>
  <si>
    <t>Qi tube into port</t>
  </si>
  <si>
    <t>accum(w)</t>
  </si>
  <si>
    <t>Approx. Vessel loss to cryostat</t>
  </si>
  <si>
    <t>Outer 12 inches of port wall is insulated.</t>
  </si>
  <si>
    <t>Heat loss out end of port</t>
  </si>
  <si>
    <t>w</t>
  </si>
  <si>
    <t>w total</t>
  </si>
  <si>
    <t>PLG 4/7/05</t>
  </si>
  <si>
    <t>Version as released on the drawings.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</si>
</sst>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000"/>
    <numFmt numFmtId="174" formatCode="0.00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12"/>
      <name val="Arial"/>
      <family val="2"/>
    </font>
    <font>
      <b/>
      <sz val="14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VERTICAL PORT TEMPERATURE DISTRIBUTION
Bakeout at 350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2"/>
          <c:w val="0.80975"/>
          <c:h val="0.79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Sheet1!$A$35:$A$54</c:f>
              <c:numCache/>
            </c:numRef>
          </c:xVal>
          <c:yVal>
            <c:numRef>
              <c:f>Sheet1!$F$35:$F$54</c:f>
              <c:numCache/>
            </c:numRef>
          </c:yVal>
          <c:smooth val="1"/>
        </c:ser>
        <c:axId val="4192831"/>
        <c:axId val="37735480"/>
      </c:scatterChart>
      <c:val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(4 cm each)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735480"/>
        <c:crosses val="autoZero"/>
        <c:crossBetween val="midCat"/>
        <c:dispUnits/>
      </c:valAx>
      <c:valAx>
        <c:axId val="37735480"/>
        <c:scaling>
          <c:orientation val="minMax"/>
          <c:max val="7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192831"/>
        <c:crosses val="autoZero"/>
        <c:crossBetween val="midCat"/>
        <c:dispUnits/>
        <c:majorUnit val="100"/>
        <c:minorUnit val="5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18</xdr:row>
      <xdr:rowOff>9525</xdr:rowOff>
    </xdr:from>
    <xdr:to>
      <xdr:col>12</xdr:col>
      <xdr:colOff>47625</xdr:colOff>
      <xdr:row>19</xdr:row>
      <xdr:rowOff>152400</xdr:rowOff>
    </xdr:to>
    <xdr:sp>
      <xdr:nvSpPr>
        <xdr:cNvPr id="1" name="Rectangle 57"/>
        <xdr:cNvSpPr>
          <a:spLocks/>
        </xdr:cNvSpPr>
      </xdr:nvSpPr>
      <xdr:spPr>
        <a:xfrm>
          <a:off x="9648825" y="2924175"/>
          <a:ext cx="4886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133350</xdr:rowOff>
    </xdr:from>
    <xdr:to>
      <xdr:col>9</xdr:col>
      <xdr:colOff>781050</xdr:colOff>
      <xdr:row>15</xdr:row>
      <xdr:rowOff>0</xdr:rowOff>
    </xdr:to>
    <xdr:sp>
      <xdr:nvSpPr>
        <xdr:cNvPr id="2" name="Oval 51"/>
        <xdr:cNvSpPr>
          <a:spLocks/>
        </xdr:cNvSpPr>
      </xdr:nvSpPr>
      <xdr:spPr>
        <a:xfrm>
          <a:off x="12144375" y="2076450"/>
          <a:ext cx="3238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9</xdr:row>
      <xdr:rowOff>28575</xdr:rowOff>
    </xdr:from>
    <xdr:to>
      <xdr:col>9</xdr:col>
      <xdr:colOff>800100</xdr:colOff>
      <xdr:row>10</xdr:row>
      <xdr:rowOff>47625</xdr:rowOff>
    </xdr:to>
    <xdr:sp>
      <xdr:nvSpPr>
        <xdr:cNvPr id="3" name="Rectangle 1"/>
        <xdr:cNvSpPr>
          <a:spLocks/>
        </xdr:cNvSpPr>
      </xdr:nvSpPr>
      <xdr:spPr>
        <a:xfrm>
          <a:off x="12172950" y="14859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Qo</a:t>
          </a:r>
        </a:p>
      </xdr:txBody>
    </xdr:sp>
    <xdr:clientData/>
  </xdr:twoCellAnchor>
  <xdr:twoCellAnchor>
    <xdr:from>
      <xdr:col>7</xdr:col>
      <xdr:colOff>219075</xdr:colOff>
      <xdr:row>15</xdr:row>
      <xdr:rowOff>0</xdr:rowOff>
    </xdr:from>
    <xdr:to>
      <xdr:col>12</xdr:col>
      <xdr:colOff>47625</xdr:colOff>
      <xdr:row>18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9648825" y="2428875"/>
          <a:ext cx="4886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15</xdr:row>
      <xdr:rowOff>19050</xdr:rowOff>
    </xdr:from>
    <xdr:to>
      <xdr:col>10</xdr:col>
      <xdr:colOff>152400</xdr:colOff>
      <xdr:row>17</xdr:row>
      <xdr:rowOff>152400</xdr:rowOff>
    </xdr:to>
    <xdr:sp>
      <xdr:nvSpPr>
        <xdr:cNvPr id="5" name="Rectangle 72"/>
        <xdr:cNvSpPr>
          <a:spLocks/>
        </xdr:cNvSpPr>
      </xdr:nvSpPr>
      <xdr:spPr>
        <a:xfrm>
          <a:off x="12115800" y="2447925"/>
          <a:ext cx="7620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15</xdr:row>
      <xdr:rowOff>0</xdr:rowOff>
    </xdr:from>
    <xdr:to>
      <xdr:col>9</xdr:col>
      <xdr:colOff>409575</xdr:colOff>
      <xdr:row>21</xdr:row>
      <xdr:rowOff>19050</xdr:rowOff>
    </xdr:to>
    <xdr:sp>
      <xdr:nvSpPr>
        <xdr:cNvPr id="6" name="Line 3"/>
        <xdr:cNvSpPr>
          <a:spLocks/>
        </xdr:cNvSpPr>
      </xdr:nvSpPr>
      <xdr:spPr>
        <a:xfrm>
          <a:off x="12096750" y="24288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0</xdr:rowOff>
    </xdr:from>
    <xdr:to>
      <xdr:col>10</xdr:col>
      <xdr:colOff>171450</xdr:colOff>
      <xdr:row>21</xdr:row>
      <xdr:rowOff>9525</xdr:rowOff>
    </xdr:to>
    <xdr:sp>
      <xdr:nvSpPr>
        <xdr:cNvPr id="7" name="Line 4"/>
        <xdr:cNvSpPr>
          <a:spLocks/>
        </xdr:cNvSpPr>
      </xdr:nvSpPr>
      <xdr:spPr>
        <a:xfrm>
          <a:off x="12896850" y="2428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276225</xdr:colOff>
      <xdr:row>21</xdr:row>
      <xdr:rowOff>66675</xdr:rowOff>
    </xdr:from>
    <xdr:ext cx="638175" cy="209550"/>
    <xdr:sp>
      <xdr:nvSpPr>
        <xdr:cNvPr id="8" name="TextBox 7"/>
        <xdr:cNvSpPr txBox="1">
          <a:spLocks noChangeArrowheads="1"/>
        </xdr:cNvSpPr>
      </xdr:nvSpPr>
      <xdr:spPr>
        <a:xfrm>
          <a:off x="9048750" y="346710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Vessel To</a:t>
          </a:r>
        </a:p>
      </xdr:txBody>
    </xdr:sp>
    <xdr:clientData/>
  </xdr:oneCellAnchor>
  <xdr:twoCellAnchor>
    <xdr:from>
      <xdr:col>7</xdr:col>
      <xdr:colOff>9525</xdr:colOff>
      <xdr:row>19</xdr:row>
      <xdr:rowOff>57150</xdr:rowOff>
    </xdr:from>
    <xdr:to>
      <xdr:col>7</xdr:col>
      <xdr:colOff>209550</xdr:colOff>
      <xdr:row>21</xdr:row>
      <xdr:rowOff>19050</xdr:rowOff>
    </xdr:to>
    <xdr:sp>
      <xdr:nvSpPr>
        <xdr:cNvPr id="9" name="Line 8"/>
        <xdr:cNvSpPr>
          <a:spLocks/>
        </xdr:cNvSpPr>
      </xdr:nvSpPr>
      <xdr:spPr>
        <a:xfrm flipV="1">
          <a:off x="9439275" y="3133725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28575</xdr:rowOff>
    </xdr:from>
    <xdr:to>
      <xdr:col>12</xdr:col>
      <xdr:colOff>714375</xdr:colOff>
      <xdr:row>18</xdr:row>
      <xdr:rowOff>28575</xdr:rowOff>
    </xdr:to>
    <xdr:sp>
      <xdr:nvSpPr>
        <xdr:cNvPr id="10" name="Line 9"/>
        <xdr:cNvSpPr>
          <a:spLocks/>
        </xdr:cNvSpPr>
      </xdr:nvSpPr>
      <xdr:spPr>
        <a:xfrm>
          <a:off x="14601825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571500</xdr:colOff>
      <xdr:row>20</xdr:row>
      <xdr:rowOff>0</xdr:rowOff>
    </xdr:to>
    <xdr:sp>
      <xdr:nvSpPr>
        <xdr:cNvPr id="11" name="Line 10"/>
        <xdr:cNvSpPr>
          <a:spLocks/>
        </xdr:cNvSpPr>
      </xdr:nvSpPr>
      <xdr:spPr>
        <a:xfrm flipV="1">
          <a:off x="14592300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0</xdr:rowOff>
    </xdr:from>
    <xdr:to>
      <xdr:col>12</xdr:col>
      <xdr:colOff>600075</xdr:colOff>
      <xdr:row>15</xdr:row>
      <xdr:rowOff>0</xdr:rowOff>
    </xdr:to>
    <xdr:sp>
      <xdr:nvSpPr>
        <xdr:cNvPr id="12" name="Line 11"/>
        <xdr:cNvSpPr>
          <a:spLocks/>
        </xdr:cNvSpPr>
      </xdr:nvSpPr>
      <xdr:spPr>
        <a:xfrm>
          <a:off x="14573250" y="2428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18</xdr:row>
      <xdr:rowOff>114300</xdr:rowOff>
    </xdr:from>
    <xdr:ext cx="161925" cy="209550"/>
    <xdr:sp>
      <xdr:nvSpPr>
        <xdr:cNvPr id="13" name="TextBox 12"/>
        <xdr:cNvSpPr txBox="1">
          <a:spLocks noChangeArrowheads="1"/>
        </xdr:cNvSpPr>
      </xdr:nvSpPr>
      <xdr:spPr>
        <a:xfrm>
          <a:off x="14668500" y="30289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12</xdr:col>
      <xdr:colOff>180975</xdr:colOff>
      <xdr:row>16</xdr:row>
      <xdr:rowOff>0</xdr:rowOff>
    </xdr:from>
    <xdr:ext cx="190500" cy="209550"/>
    <xdr:sp>
      <xdr:nvSpPr>
        <xdr:cNvPr id="14" name="TextBox 13"/>
        <xdr:cNvSpPr txBox="1">
          <a:spLocks noChangeArrowheads="1"/>
        </xdr:cNvSpPr>
      </xdr:nvSpPr>
      <xdr:spPr>
        <a:xfrm>
          <a:off x="14668500" y="2590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</a:t>
          </a:r>
        </a:p>
      </xdr:txBody>
    </xdr:sp>
    <xdr:clientData/>
  </xdr:oneCellAnchor>
  <xdr:twoCellAnchor>
    <xdr:from>
      <xdr:col>12</xdr:col>
      <xdr:colOff>390525</xdr:colOff>
      <xdr:row>15</xdr:row>
      <xdr:rowOff>0</xdr:rowOff>
    </xdr:from>
    <xdr:to>
      <xdr:col>12</xdr:col>
      <xdr:colOff>390525</xdr:colOff>
      <xdr:row>15</xdr:row>
      <xdr:rowOff>104775</xdr:rowOff>
    </xdr:to>
    <xdr:sp>
      <xdr:nvSpPr>
        <xdr:cNvPr id="15" name="Line 14"/>
        <xdr:cNvSpPr>
          <a:spLocks/>
        </xdr:cNvSpPr>
      </xdr:nvSpPr>
      <xdr:spPr>
        <a:xfrm flipV="1">
          <a:off x="14878050" y="2428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16</xdr:row>
      <xdr:rowOff>114300</xdr:rowOff>
    </xdr:from>
    <xdr:to>
      <xdr:col>12</xdr:col>
      <xdr:colOff>400050</xdr:colOff>
      <xdr:row>18</xdr:row>
      <xdr:rowOff>38100</xdr:rowOff>
    </xdr:to>
    <xdr:sp>
      <xdr:nvSpPr>
        <xdr:cNvPr id="16" name="Line 15"/>
        <xdr:cNvSpPr>
          <a:spLocks/>
        </xdr:cNvSpPr>
      </xdr:nvSpPr>
      <xdr:spPr>
        <a:xfrm>
          <a:off x="14887575" y="2705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18</xdr:row>
      <xdr:rowOff>28575</xdr:rowOff>
    </xdr:from>
    <xdr:to>
      <xdr:col>12</xdr:col>
      <xdr:colOff>409575</xdr:colOff>
      <xdr:row>20</xdr:row>
      <xdr:rowOff>0</xdr:rowOff>
    </xdr:to>
    <xdr:sp>
      <xdr:nvSpPr>
        <xdr:cNvPr id="17" name="Line 16"/>
        <xdr:cNvSpPr>
          <a:spLocks/>
        </xdr:cNvSpPr>
      </xdr:nvSpPr>
      <xdr:spPr>
        <a:xfrm flipV="1">
          <a:off x="14897100" y="294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18</xdr:row>
      <xdr:rowOff>152400</xdr:rowOff>
    </xdr:from>
    <xdr:to>
      <xdr:col>12</xdr:col>
      <xdr:colOff>419100</xdr:colOff>
      <xdr:row>19</xdr:row>
      <xdr:rowOff>142875</xdr:rowOff>
    </xdr:to>
    <xdr:sp>
      <xdr:nvSpPr>
        <xdr:cNvPr id="18" name="Line 17"/>
        <xdr:cNvSpPr>
          <a:spLocks/>
        </xdr:cNvSpPr>
      </xdr:nvSpPr>
      <xdr:spPr>
        <a:xfrm>
          <a:off x="14897100" y="30670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21</xdr:row>
      <xdr:rowOff>76200</xdr:rowOff>
    </xdr:from>
    <xdr:to>
      <xdr:col>9</xdr:col>
      <xdr:colOff>409575</xdr:colOff>
      <xdr:row>23</xdr:row>
      <xdr:rowOff>38100</xdr:rowOff>
    </xdr:to>
    <xdr:sp>
      <xdr:nvSpPr>
        <xdr:cNvPr id="19" name="Line 18"/>
        <xdr:cNvSpPr>
          <a:spLocks/>
        </xdr:cNvSpPr>
      </xdr:nvSpPr>
      <xdr:spPr>
        <a:xfrm>
          <a:off x="12096750" y="3476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66675</xdr:rowOff>
    </xdr:from>
    <xdr:to>
      <xdr:col>10</xdr:col>
      <xdr:colOff>171450</xdr:colOff>
      <xdr:row>23</xdr:row>
      <xdr:rowOff>9525</xdr:rowOff>
    </xdr:to>
    <xdr:sp>
      <xdr:nvSpPr>
        <xdr:cNvPr id="20" name="Line 19"/>
        <xdr:cNvSpPr>
          <a:spLocks/>
        </xdr:cNvSpPr>
      </xdr:nvSpPr>
      <xdr:spPr>
        <a:xfrm>
          <a:off x="12896850" y="3467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647700</xdr:colOff>
      <xdr:row>22</xdr:row>
      <xdr:rowOff>66675</xdr:rowOff>
    </xdr:from>
    <xdr:ext cx="228600" cy="209550"/>
    <xdr:sp>
      <xdr:nvSpPr>
        <xdr:cNvPr id="21" name="TextBox 20"/>
        <xdr:cNvSpPr txBox="1">
          <a:spLocks noChangeArrowheads="1"/>
        </xdr:cNvSpPr>
      </xdr:nvSpPr>
      <xdr:spPr>
        <a:xfrm>
          <a:off x="12334875" y="36290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</a:t>
          </a:r>
        </a:p>
      </xdr:txBody>
    </xdr:sp>
    <xdr:clientData/>
  </xdr:oneCellAnchor>
  <xdr:twoCellAnchor>
    <xdr:from>
      <xdr:col>9</xdr:col>
      <xdr:colOff>95250</xdr:colOff>
      <xdr:row>22</xdr:row>
      <xdr:rowOff>142875</xdr:rowOff>
    </xdr:from>
    <xdr:to>
      <xdr:col>9</xdr:col>
      <xdr:colOff>419100</xdr:colOff>
      <xdr:row>22</xdr:row>
      <xdr:rowOff>142875</xdr:rowOff>
    </xdr:to>
    <xdr:sp>
      <xdr:nvSpPr>
        <xdr:cNvPr id="22" name="Line 21"/>
        <xdr:cNvSpPr>
          <a:spLocks/>
        </xdr:cNvSpPr>
      </xdr:nvSpPr>
      <xdr:spPr>
        <a:xfrm>
          <a:off x="11782425" y="3705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22</xdr:row>
      <xdr:rowOff>142875</xdr:rowOff>
    </xdr:from>
    <xdr:to>
      <xdr:col>10</xdr:col>
      <xdr:colOff>466725</xdr:colOff>
      <xdr:row>22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12915900" y="370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20</xdr:row>
      <xdr:rowOff>66675</xdr:rowOff>
    </xdr:from>
    <xdr:ext cx="238125" cy="209550"/>
    <xdr:sp>
      <xdr:nvSpPr>
        <xdr:cNvPr id="24" name="TextBox 25"/>
        <xdr:cNvSpPr txBox="1">
          <a:spLocks noChangeArrowheads="1"/>
        </xdr:cNvSpPr>
      </xdr:nvSpPr>
      <xdr:spPr>
        <a:xfrm>
          <a:off x="11687175" y="33051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</a:t>
          </a:r>
        </a:p>
      </xdr:txBody>
    </xdr:sp>
    <xdr:clientData/>
  </xdr:oneCellAnchor>
  <xdr:oneCellAnchor>
    <xdr:from>
      <xdr:col>10</xdr:col>
      <xdr:colOff>447675</xdr:colOff>
      <xdr:row>20</xdr:row>
      <xdr:rowOff>38100</xdr:rowOff>
    </xdr:from>
    <xdr:ext cx="238125" cy="209550"/>
    <xdr:sp>
      <xdr:nvSpPr>
        <xdr:cNvPr id="25" name="TextBox 26"/>
        <xdr:cNvSpPr txBox="1">
          <a:spLocks noChangeArrowheads="1"/>
        </xdr:cNvSpPr>
      </xdr:nvSpPr>
      <xdr:spPr>
        <a:xfrm>
          <a:off x="13173075" y="3276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oneCellAnchor>
  <xdr:oneCellAnchor>
    <xdr:from>
      <xdr:col>10</xdr:col>
      <xdr:colOff>485775</xdr:colOff>
      <xdr:row>9</xdr:row>
      <xdr:rowOff>76200</xdr:rowOff>
    </xdr:from>
    <xdr:ext cx="323850" cy="209550"/>
    <xdr:sp>
      <xdr:nvSpPr>
        <xdr:cNvPr id="26" name="TextBox 27"/>
        <xdr:cNvSpPr txBox="1">
          <a:spLocks noChangeArrowheads="1"/>
        </xdr:cNvSpPr>
      </xdr:nvSpPr>
      <xdr:spPr>
        <a:xfrm>
          <a:off x="13211175" y="153352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 K</a:t>
          </a:r>
        </a:p>
      </xdr:txBody>
    </xdr:sp>
    <xdr:clientData/>
  </xdr:oneCellAnchor>
  <xdr:twoCellAnchor>
    <xdr:from>
      <xdr:col>11</xdr:col>
      <xdr:colOff>57150</xdr:colOff>
      <xdr:row>15</xdr:row>
      <xdr:rowOff>0</xdr:rowOff>
    </xdr:from>
    <xdr:to>
      <xdr:col>11</xdr:col>
      <xdr:colOff>180975</xdr:colOff>
      <xdr:row>15</xdr:row>
      <xdr:rowOff>0</xdr:rowOff>
    </xdr:to>
    <xdr:sp>
      <xdr:nvSpPr>
        <xdr:cNvPr id="27" name="Line 28"/>
        <xdr:cNvSpPr>
          <a:spLocks/>
        </xdr:cNvSpPr>
      </xdr:nvSpPr>
      <xdr:spPr>
        <a:xfrm>
          <a:off x="13801725" y="2428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38100</xdr:rowOff>
    </xdr:from>
    <xdr:to>
      <xdr:col>9</xdr:col>
      <xdr:colOff>419100</xdr:colOff>
      <xdr:row>20</xdr:row>
      <xdr:rowOff>142875</xdr:rowOff>
    </xdr:to>
    <xdr:sp>
      <xdr:nvSpPr>
        <xdr:cNvPr id="28" name="Line 29"/>
        <xdr:cNvSpPr>
          <a:spLocks/>
        </xdr:cNvSpPr>
      </xdr:nvSpPr>
      <xdr:spPr>
        <a:xfrm flipV="1">
          <a:off x="11944350" y="32766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466725</xdr:colOff>
      <xdr:row>20</xdr:row>
      <xdr:rowOff>114300</xdr:rowOff>
    </xdr:to>
    <xdr:sp>
      <xdr:nvSpPr>
        <xdr:cNvPr id="29" name="Line 30"/>
        <xdr:cNvSpPr>
          <a:spLocks/>
        </xdr:cNvSpPr>
      </xdr:nvSpPr>
      <xdr:spPr>
        <a:xfrm flipH="1" flipV="1">
          <a:off x="12906375" y="3276600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409575</xdr:colOff>
      <xdr:row>15</xdr:row>
      <xdr:rowOff>85725</xdr:rowOff>
    </xdr:from>
    <xdr:ext cx="609600" cy="219075"/>
    <xdr:sp>
      <xdr:nvSpPr>
        <xdr:cNvPr id="30" name="TextBox 32"/>
        <xdr:cNvSpPr txBox="1">
          <a:spLocks noChangeArrowheads="1"/>
        </xdr:cNvSpPr>
      </xdr:nvSpPr>
      <xdr:spPr>
        <a:xfrm>
          <a:off x="13134975" y="25146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7</xdr:col>
      <xdr:colOff>657225</xdr:colOff>
      <xdr:row>18</xdr:row>
      <xdr:rowOff>104775</xdr:rowOff>
    </xdr:from>
    <xdr:ext cx="342900" cy="209550"/>
    <xdr:sp>
      <xdr:nvSpPr>
        <xdr:cNvPr id="31" name="TextBox 33"/>
        <xdr:cNvSpPr txBox="1">
          <a:spLocks noChangeArrowheads="1"/>
        </xdr:cNvSpPr>
      </xdr:nvSpPr>
      <xdr:spPr>
        <a:xfrm>
          <a:off x="10086975" y="3019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</a:t>
          </a:r>
        </a:p>
      </xdr:txBody>
    </xdr:sp>
    <xdr:clientData/>
  </xdr:oneCellAnchor>
  <xdr:twoCellAnchor>
    <xdr:from>
      <xdr:col>10</xdr:col>
      <xdr:colOff>190500</xdr:colOff>
      <xdr:row>19</xdr:row>
      <xdr:rowOff>28575</xdr:rowOff>
    </xdr:from>
    <xdr:to>
      <xdr:col>11</xdr:col>
      <xdr:colOff>219075</xdr:colOff>
      <xdr:row>19</xdr:row>
      <xdr:rowOff>28575</xdr:rowOff>
    </xdr:to>
    <xdr:sp>
      <xdr:nvSpPr>
        <xdr:cNvPr id="32" name="Line 34"/>
        <xdr:cNvSpPr>
          <a:spLocks/>
        </xdr:cNvSpPr>
      </xdr:nvSpPr>
      <xdr:spPr>
        <a:xfrm>
          <a:off x="12915900" y="3105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228600</xdr:colOff>
      <xdr:row>18</xdr:row>
      <xdr:rowOff>28575</xdr:rowOff>
    </xdr:from>
    <xdr:ext cx="219075" cy="209550"/>
    <xdr:sp>
      <xdr:nvSpPr>
        <xdr:cNvPr id="33" name="TextBox 35"/>
        <xdr:cNvSpPr txBox="1">
          <a:spLocks noChangeArrowheads="1"/>
        </xdr:cNvSpPr>
      </xdr:nvSpPr>
      <xdr:spPr>
        <a:xfrm>
          <a:off x="13973175" y="29432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Qj</a:t>
          </a:r>
        </a:p>
      </xdr:txBody>
    </xdr:sp>
    <xdr:clientData/>
  </xdr:oneCellAnchor>
  <xdr:twoCellAnchor>
    <xdr:from>
      <xdr:col>8</xdr:col>
      <xdr:colOff>200025</xdr:colOff>
      <xdr:row>33</xdr:row>
      <xdr:rowOff>47625</xdr:rowOff>
    </xdr:from>
    <xdr:to>
      <xdr:col>16</xdr:col>
      <xdr:colOff>590550</xdr:colOff>
      <xdr:row>67</xdr:row>
      <xdr:rowOff>66675</xdr:rowOff>
    </xdr:to>
    <xdr:graphicFrame>
      <xdr:nvGraphicFramePr>
        <xdr:cNvPr id="34" name="Chart 39"/>
        <xdr:cNvGraphicFramePr/>
      </xdr:nvGraphicFramePr>
      <xdr:xfrm>
        <a:off x="11430000" y="5391150"/>
        <a:ext cx="7972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733425</xdr:colOff>
      <xdr:row>41</xdr:row>
      <xdr:rowOff>47625</xdr:rowOff>
    </xdr:from>
    <xdr:ext cx="257175" cy="219075"/>
    <xdr:sp>
      <xdr:nvSpPr>
        <xdr:cNvPr id="35" name="TextBox 40"/>
        <xdr:cNvSpPr txBox="1">
          <a:spLocks noChangeArrowheads="1"/>
        </xdr:cNvSpPr>
      </xdr:nvSpPr>
      <xdr:spPr>
        <a:xfrm>
          <a:off x="17059275" y="66865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VV</a:t>
          </a:r>
        </a:p>
      </xdr:txBody>
    </xdr:sp>
    <xdr:clientData/>
  </xdr:oneCellAnchor>
  <xdr:oneCellAnchor>
    <xdr:from>
      <xdr:col>10</xdr:col>
      <xdr:colOff>104775</xdr:colOff>
      <xdr:row>48</xdr:row>
      <xdr:rowOff>142875</xdr:rowOff>
    </xdr:from>
    <xdr:ext cx="419100" cy="371475"/>
    <xdr:sp>
      <xdr:nvSpPr>
        <xdr:cNvPr id="36" name="TextBox 41"/>
        <xdr:cNvSpPr txBox="1">
          <a:spLocks noChangeArrowheads="1"/>
        </xdr:cNvSpPr>
      </xdr:nvSpPr>
      <xdr:spPr>
        <a:xfrm>
          <a:off x="12830175" y="7915275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
flange</a:t>
          </a:r>
        </a:p>
      </xdr:txBody>
    </xdr:sp>
    <xdr:clientData/>
  </xdr:oneCellAnchor>
  <xdr:oneCellAnchor>
    <xdr:from>
      <xdr:col>10</xdr:col>
      <xdr:colOff>190500</xdr:colOff>
      <xdr:row>39</xdr:row>
      <xdr:rowOff>9525</xdr:rowOff>
    </xdr:from>
    <xdr:ext cx="2800350" cy="619125"/>
    <xdr:sp>
      <xdr:nvSpPr>
        <xdr:cNvPr id="37" name="TextBox 50"/>
        <xdr:cNvSpPr txBox="1">
          <a:spLocks noChangeArrowheads="1"/>
        </xdr:cNvSpPr>
      </xdr:nvSpPr>
      <xdr:spPr>
        <a:xfrm>
          <a:off x="12915900" y="6324600"/>
          <a:ext cx="28003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 effective length is 80 cm
3.8 cm insulation. 1.27 cm under tubes
Heater at 153 w, flg convective cooled</a:t>
          </a:r>
        </a:p>
      </xdr:txBody>
    </xdr:sp>
    <xdr:clientData/>
  </xdr:oneCellAnchor>
  <xdr:twoCellAnchor>
    <xdr:from>
      <xdr:col>7</xdr:col>
      <xdr:colOff>1371600</xdr:colOff>
      <xdr:row>12</xdr:row>
      <xdr:rowOff>133350</xdr:rowOff>
    </xdr:from>
    <xdr:to>
      <xdr:col>9</xdr:col>
      <xdr:colOff>600075</xdr:colOff>
      <xdr:row>12</xdr:row>
      <xdr:rowOff>133350</xdr:rowOff>
    </xdr:to>
    <xdr:sp>
      <xdr:nvSpPr>
        <xdr:cNvPr id="38" name="Line 53"/>
        <xdr:cNvSpPr>
          <a:spLocks/>
        </xdr:cNvSpPr>
      </xdr:nvSpPr>
      <xdr:spPr>
        <a:xfrm flipH="1">
          <a:off x="10801350" y="20764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1228725</xdr:colOff>
      <xdr:row>12</xdr:row>
      <xdr:rowOff>28575</xdr:rowOff>
    </xdr:from>
    <xdr:to>
      <xdr:col>7</xdr:col>
      <xdr:colOff>1485900</xdr:colOff>
      <xdr:row>15</xdr:row>
      <xdr:rowOff>85725</xdr:rowOff>
    </xdr:to>
    <xdr:sp>
      <xdr:nvSpPr>
        <xdr:cNvPr id="39" name="Polygon 54"/>
        <xdr:cNvSpPr>
          <a:spLocks/>
        </xdr:cNvSpPr>
      </xdr:nvSpPr>
      <xdr:spPr>
        <a:xfrm flipH="1">
          <a:off x="10658475" y="1971675"/>
          <a:ext cx="257175" cy="542925"/>
        </a:xfrm>
        <a:custGeom>
          <a:pathLst>
            <a:path h="57" w="21">
              <a:moveTo>
                <a:pt x="13" y="0"/>
              </a:moveTo>
              <a:cubicBezTo>
                <a:pt x="10" y="3"/>
                <a:pt x="8" y="7"/>
                <a:pt x="5" y="10"/>
              </a:cubicBezTo>
              <a:cubicBezTo>
                <a:pt x="4" y="11"/>
                <a:pt x="1" y="14"/>
                <a:pt x="1" y="14"/>
              </a:cubicBezTo>
              <a:cubicBezTo>
                <a:pt x="2" y="20"/>
                <a:pt x="4" y="22"/>
                <a:pt x="6" y="27"/>
              </a:cubicBezTo>
              <a:cubicBezTo>
                <a:pt x="7" y="31"/>
                <a:pt x="8" y="38"/>
                <a:pt x="3" y="40"/>
              </a:cubicBezTo>
              <a:cubicBezTo>
                <a:pt x="1" y="43"/>
                <a:pt x="0" y="48"/>
                <a:pt x="3" y="51"/>
              </a:cubicBezTo>
              <a:cubicBezTo>
                <a:pt x="4" y="52"/>
                <a:pt x="14" y="56"/>
                <a:pt x="15" y="56"/>
              </a:cubicBezTo>
              <a:cubicBezTo>
                <a:pt x="17" y="56"/>
                <a:pt x="21" y="57"/>
                <a:pt x="21" y="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10</xdr:row>
      <xdr:rowOff>47625</xdr:rowOff>
    </xdr:from>
    <xdr:to>
      <xdr:col>9</xdr:col>
      <xdr:colOff>904875</xdr:colOff>
      <xdr:row>18</xdr:row>
      <xdr:rowOff>28575</xdr:rowOff>
    </xdr:to>
    <xdr:sp>
      <xdr:nvSpPr>
        <xdr:cNvPr id="40" name="Line 55"/>
        <xdr:cNvSpPr>
          <a:spLocks/>
        </xdr:cNvSpPr>
      </xdr:nvSpPr>
      <xdr:spPr>
        <a:xfrm flipV="1">
          <a:off x="12592050" y="1666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152400</xdr:rowOff>
    </xdr:from>
    <xdr:to>
      <xdr:col>12</xdr:col>
      <xdr:colOff>38100</xdr:colOff>
      <xdr:row>10</xdr:row>
      <xdr:rowOff>152400</xdr:rowOff>
    </xdr:to>
    <xdr:sp>
      <xdr:nvSpPr>
        <xdr:cNvPr id="41" name="Line 58"/>
        <xdr:cNvSpPr>
          <a:spLocks/>
        </xdr:cNvSpPr>
      </xdr:nvSpPr>
      <xdr:spPr>
        <a:xfrm flipH="1">
          <a:off x="11239500" y="17716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152400</xdr:rowOff>
    </xdr:from>
    <xdr:to>
      <xdr:col>12</xdr:col>
      <xdr:colOff>47625</xdr:colOff>
      <xdr:row>12</xdr:row>
      <xdr:rowOff>142875</xdr:rowOff>
    </xdr:to>
    <xdr:sp>
      <xdr:nvSpPr>
        <xdr:cNvPr id="42" name="Line 59"/>
        <xdr:cNvSpPr>
          <a:spLocks/>
        </xdr:cNvSpPr>
      </xdr:nvSpPr>
      <xdr:spPr>
        <a:xfrm flipV="1">
          <a:off x="14535150" y="1771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152400</xdr:rowOff>
    </xdr:from>
    <xdr:to>
      <xdr:col>12</xdr:col>
      <xdr:colOff>657225</xdr:colOff>
      <xdr:row>10</xdr:row>
      <xdr:rowOff>152400</xdr:rowOff>
    </xdr:to>
    <xdr:sp>
      <xdr:nvSpPr>
        <xdr:cNvPr id="43" name="Line 60"/>
        <xdr:cNvSpPr>
          <a:spLocks/>
        </xdr:cNvSpPr>
      </xdr:nvSpPr>
      <xdr:spPr>
        <a:xfrm>
          <a:off x="14639925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10</xdr:row>
      <xdr:rowOff>152400</xdr:rowOff>
    </xdr:from>
    <xdr:to>
      <xdr:col>12</xdr:col>
      <xdr:colOff>647700</xdr:colOff>
      <xdr:row>12</xdr:row>
      <xdr:rowOff>38100</xdr:rowOff>
    </xdr:to>
    <xdr:sp>
      <xdr:nvSpPr>
        <xdr:cNvPr id="44" name="Line 61"/>
        <xdr:cNvSpPr>
          <a:spLocks/>
        </xdr:cNvSpPr>
      </xdr:nvSpPr>
      <xdr:spPr>
        <a:xfrm flipV="1">
          <a:off x="15135225" y="1771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14</xdr:row>
      <xdr:rowOff>9525</xdr:rowOff>
    </xdr:from>
    <xdr:to>
      <xdr:col>12</xdr:col>
      <xdr:colOff>657225</xdr:colOff>
      <xdr:row>18</xdr:row>
      <xdr:rowOff>28575</xdr:rowOff>
    </xdr:to>
    <xdr:sp>
      <xdr:nvSpPr>
        <xdr:cNvPr id="45" name="Line 62"/>
        <xdr:cNvSpPr>
          <a:spLocks/>
        </xdr:cNvSpPr>
      </xdr:nvSpPr>
      <xdr:spPr>
        <a:xfrm>
          <a:off x="15144750" y="22764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18</xdr:row>
      <xdr:rowOff>19050</xdr:rowOff>
    </xdr:from>
    <xdr:to>
      <xdr:col>10</xdr:col>
      <xdr:colOff>161925</xdr:colOff>
      <xdr:row>19</xdr:row>
      <xdr:rowOff>133350</xdr:rowOff>
    </xdr:to>
    <xdr:sp>
      <xdr:nvSpPr>
        <xdr:cNvPr id="46" name="Rectangle 73"/>
        <xdr:cNvSpPr>
          <a:spLocks/>
        </xdr:cNvSpPr>
      </xdr:nvSpPr>
      <xdr:spPr>
        <a:xfrm>
          <a:off x="12106275" y="2933700"/>
          <a:ext cx="781050" cy="276225"/>
        </a:xfrm>
        <a:prstGeom prst="rect">
          <a:avLst/>
        </a:prstGeom>
        <a:solidFill>
          <a:srgbClr val="FF99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533400</xdr:colOff>
      <xdr:row>12</xdr:row>
      <xdr:rowOff>114300</xdr:rowOff>
    </xdr:from>
    <xdr:ext cx="228600" cy="209550"/>
    <xdr:sp>
      <xdr:nvSpPr>
        <xdr:cNvPr id="47" name="TextBox 64"/>
        <xdr:cNvSpPr txBox="1">
          <a:spLocks noChangeArrowheads="1"/>
        </xdr:cNvSpPr>
      </xdr:nvSpPr>
      <xdr:spPr>
        <a:xfrm>
          <a:off x="15020925" y="20574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Lk</a:t>
          </a:r>
        </a:p>
      </xdr:txBody>
    </xdr:sp>
    <xdr:clientData/>
  </xdr:oneCellAnchor>
  <xdr:twoCellAnchor>
    <xdr:from>
      <xdr:col>7</xdr:col>
      <xdr:colOff>1666875</xdr:colOff>
      <xdr:row>10</xdr:row>
      <xdr:rowOff>85725</xdr:rowOff>
    </xdr:from>
    <xdr:to>
      <xdr:col>8</xdr:col>
      <xdr:colOff>57150</xdr:colOff>
      <xdr:row>12</xdr:row>
      <xdr:rowOff>142875</xdr:rowOff>
    </xdr:to>
    <xdr:sp>
      <xdr:nvSpPr>
        <xdr:cNvPr id="48" name="Polygon 65"/>
        <xdr:cNvSpPr>
          <a:spLocks/>
        </xdr:cNvSpPr>
      </xdr:nvSpPr>
      <xdr:spPr>
        <a:xfrm>
          <a:off x="11096625" y="1704975"/>
          <a:ext cx="190500" cy="381000"/>
        </a:xfrm>
        <a:custGeom>
          <a:pathLst>
            <a:path h="40" w="20">
              <a:moveTo>
                <a:pt x="17" y="0"/>
              </a:moveTo>
              <a:cubicBezTo>
                <a:pt x="20" y="9"/>
                <a:pt x="12" y="15"/>
                <a:pt x="4" y="17"/>
              </a:cubicBezTo>
              <a:cubicBezTo>
                <a:pt x="2" y="20"/>
                <a:pt x="0" y="26"/>
                <a:pt x="0" y="26"/>
              </a:cubicBezTo>
              <a:cubicBezTo>
                <a:pt x="2" y="33"/>
                <a:pt x="4" y="32"/>
                <a:pt x="4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419100</xdr:colOff>
      <xdr:row>11</xdr:row>
      <xdr:rowOff>28575</xdr:rowOff>
    </xdr:from>
    <xdr:ext cx="609600" cy="209550"/>
    <xdr:sp>
      <xdr:nvSpPr>
        <xdr:cNvPr id="49" name="TextBox 66"/>
        <xdr:cNvSpPr txBox="1">
          <a:spLocks noChangeArrowheads="1"/>
        </xdr:cNvSpPr>
      </xdr:nvSpPr>
      <xdr:spPr>
        <a:xfrm>
          <a:off x="13144500" y="18097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9</xdr:col>
      <xdr:colOff>847725</xdr:colOff>
      <xdr:row>9</xdr:row>
      <xdr:rowOff>28575</xdr:rowOff>
    </xdr:from>
    <xdr:ext cx="266700" cy="209550"/>
    <xdr:sp>
      <xdr:nvSpPr>
        <xdr:cNvPr id="50" name="TextBox 68"/>
        <xdr:cNvSpPr txBox="1">
          <a:spLocks noChangeArrowheads="1"/>
        </xdr:cNvSpPr>
      </xdr:nvSpPr>
      <xdr:spPr>
        <a:xfrm>
          <a:off x="12534900" y="1485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Qw</a:t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371475" cy="209550"/>
    <xdr:sp>
      <xdr:nvSpPr>
        <xdr:cNvPr id="51" name="TextBox 69"/>
        <xdr:cNvSpPr txBox="1">
          <a:spLocks noChangeArrowheads="1"/>
        </xdr:cNvSpPr>
      </xdr:nvSpPr>
      <xdr:spPr>
        <a:xfrm>
          <a:off x="11687175" y="21431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Tube</a:t>
          </a:r>
        </a:p>
      </xdr:txBody>
    </xdr:sp>
    <xdr:clientData/>
  </xdr:oneCellAnchor>
  <xdr:twoCellAnchor>
    <xdr:from>
      <xdr:col>9</xdr:col>
      <xdr:colOff>485775</xdr:colOff>
      <xdr:row>13</xdr:row>
      <xdr:rowOff>0</xdr:rowOff>
    </xdr:from>
    <xdr:to>
      <xdr:col>9</xdr:col>
      <xdr:colOff>752475</xdr:colOff>
      <xdr:row>14</xdr:row>
      <xdr:rowOff>133350</xdr:rowOff>
    </xdr:to>
    <xdr:sp>
      <xdr:nvSpPr>
        <xdr:cNvPr id="52" name="Oval 70"/>
        <xdr:cNvSpPr>
          <a:spLocks/>
        </xdr:cNvSpPr>
      </xdr:nvSpPr>
      <xdr:spPr>
        <a:xfrm>
          <a:off x="12172950" y="2105025"/>
          <a:ext cx="2667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600075</xdr:colOff>
      <xdr:row>18</xdr:row>
      <xdr:rowOff>38100</xdr:rowOff>
    </xdr:from>
    <xdr:ext cx="209550" cy="209550"/>
    <xdr:sp>
      <xdr:nvSpPr>
        <xdr:cNvPr id="53" name="TextBox 6"/>
        <xdr:cNvSpPr txBox="1">
          <a:spLocks noChangeArrowheads="1"/>
        </xdr:cNvSpPr>
      </xdr:nvSpPr>
      <xdr:spPr>
        <a:xfrm>
          <a:off x="12287250" y="29527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Qi</a:t>
          </a:r>
        </a:p>
      </xdr:txBody>
    </xdr:sp>
    <xdr:clientData/>
  </xdr:oneCellAnchor>
  <xdr:twoCellAnchor>
    <xdr:from>
      <xdr:col>9</xdr:col>
      <xdr:colOff>609600</xdr:colOff>
      <xdr:row>10</xdr:row>
      <xdr:rowOff>9525</xdr:rowOff>
    </xdr:from>
    <xdr:to>
      <xdr:col>9</xdr:col>
      <xdr:colOff>609600</xdr:colOff>
      <xdr:row>13</xdr:row>
      <xdr:rowOff>0</xdr:rowOff>
    </xdr:to>
    <xdr:sp>
      <xdr:nvSpPr>
        <xdr:cNvPr id="54" name="Line 67"/>
        <xdr:cNvSpPr>
          <a:spLocks/>
        </xdr:cNvSpPr>
      </xdr:nvSpPr>
      <xdr:spPr>
        <a:xfrm flipV="1">
          <a:off x="12296775" y="1628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12</xdr:row>
      <xdr:rowOff>133350</xdr:rowOff>
    </xdr:from>
    <xdr:to>
      <xdr:col>12</xdr:col>
      <xdr:colOff>47625</xdr:colOff>
      <xdr:row>12</xdr:row>
      <xdr:rowOff>133350</xdr:rowOff>
    </xdr:to>
    <xdr:sp>
      <xdr:nvSpPr>
        <xdr:cNvPr id="55" name="Line 71"/>
        <xdr:cNvSpPr>
          <a:spLocks/>
        </xdr:cNvSpPr>
      </xdr:nvSpPr>
      <xdr:spPr>
        <a:xfrm>
          <a:off x="12125325" y="20764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15</xdr:row>
      <xdr:rowOff>0</xdr:rowOff>
    </xdr:from>
    <xdr:to>
      <xdr:col>9</xdr:col>
      <xdr:colOff>600075</xdr:colOff>
      <xdr:row>18</xdr:row>
      <xdr:rowOff>123825</xdr:rowOff>
    </xdr:to>
    <xdr:sp>
      <xdr:nvSpPr>
        <xdr:cNvPr id="56" name="Line 5"/>
        <xdr:cNvSpPr>
          <a:spLocks/>
        </xdr:cNvSpPr>
      </xdr:nvSpPr>
      <xdr:spPr>
        <a:xfrm>
          <a:off x="12287250" y="24288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76200</xdr:rowOff>
    </xdr:from>
    <xdr:to>
      <xdr:col>10</xdr:col>
      <xdr:colOff>76200</xdr:colOff>
      <xdr:row>19</xdr:row>
      <xdr:rowOff>28575</xdr:rowOff>
    </xdr:to>
    <xdr:sp>
      <xdr:nvSpPr>
        <xdr:cNvPr id="57" name="Line 74"/>
        <xdr:cNvSpPr>
          <a:spLocks/>
        </xdr:cNvSpPr>
      </xdr:nvSpPr>
      <xdr:spPr>
        <a:xfrm>
          <a:off x="12801600" y="2828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885825</xdr:colOff>
      <xdr:row>16</xdr:row>
      <xdr:rowOff>28575</xdr:rowOff>
    </xdr:from>
    <xdr:ext cx="257175" cy="209550"/>
    <xdr:sp>
      <xdr:nvSpPr>
        <xdr:cNvPr id="58" name="TextBox 76"/>
        <xdr:cNvSpPr txBox="1">
          <a:spLocks noChangeArrowheads="1"/>
        </xdr:cNvSpPr>
      </xdr:nvSpPr>
      <xdr:spPr>
        <a:xfrm>
          <a:off x="12573000" y="26193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Qh</a:t>
          </a:r>
        </a:p>
      </xdr:txBody>
    </xdr:sp>
    <xdr:clientData/>
  </xdr:oneCellAnchor>
  <xdr:twoCellAnchor>
    <xdr:from>
      <xdr:col>10</xdr:col>
      <xdr:colOff>9525</xdr:colOff>
      <xdr:row>17</xdr:row>
      <xdr:rowOff>38100</xdr:rowOff>
    </xdr:from>
    <xdr:to>
      <xdr:col>10</xdr:col>
      <xdr:colOff>133350</xdr:colOff>
      <xdr:row>18</xdr:row>
      <xdr:rowOff>9525</xdr:rowOff>
    </xdr:to>
    <xdr:sp>
      <xdr:nvSpPr>
        <xdr:cNvPr id="59" name="Oval 77"/>
        <xdr:cNvSpPr>
          <a:spLocks/>
        </xdr:cNvSpPr>
      </xdr:nvSpPr>
      <xdr:spPr>
        <a:xfrm>
          <a:off x="12734925" y="279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142875</xdr:rowOff>
    </xdr:from>
    <xdr:to>
      <xdr:col>9</xdr:col>
      <xdr:colOff>409575</xdr:colOff>
      <xdr:row>18</xdr:row>
      <xdr:rowOff>142875</xdr:rowOff>
    </xdr:to>
    <xdr:sp>
      <xdr:nvSpPr>
        <xdr:cNvPr id="60" name="Line 78"/>
        <xdr:cNvSpPr>
          <a:spLocks/>
        </xdr:cNvSpPr>
      </xdr:nvSpPr>
      <xdr:spPr>
        <a:xfrm>
          <a:off x="1143000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1743075</xdr:colOff>
      <xdr:row>18</xdr:row>
      <xdr:rowOff>47625</xdr:rowOff>
    </xdr:from>
    <xdr:ext cx="247650" cy="219075"/>
    <xdr:sp>
      <xdr:nvSpPr>
        <xdr:cNvPr id="61" name="TextBox 79"/>
        <xdr:cNvSpPr txBox="1">
          <a:spLocks noChangeArrowheads="1"/>
        </xdr:cNvSpPr>
      </xdr:nvSpPr>
      <xdr:spPr>
        <a:xfrm>
          <a:off x="11172825" y="29622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75" zoomScaleNormal="75" workbookViewId="0" topLeftCell="A25">
      <selection activeCell="F64" sqref="F64"/>
    </sheetView>
  </sheetViews>
  <sheetFormatPr defaultColWidth="9.140625" defaultRowHeight="12.75"/>
  <cols>
    <col min="1" max="1" width="41.421875" style="0" customWidth="1"/>
    <col min="2" max="2" width="11.00390625" style="0" customWidth="1"/>
    <col min="3" max="3" width="14.00390625" style="0" customWidth="1"/>
    <col min="4" max="4" width="22.421875" style="0" customWidth="1"/>
    <col min="5" max="5" width="19.00390625" style="0" customWidth="1"/>
    <col min="6" max="6" width="23.7109375" style="0" customWidth="1"/>
    <col min="7" max="7" width="9.8515625" style="0" customWidth="1"/>
    <col min="8" max="8" width="27.00390625" style="0" customWidth="1"/>
    <col min="9" max="9" width="6.8515625" style="0" customWidth="1"/>
    <col min="10" max="10" width="15.57421875" style="0" customWidth="1"/>
    <col min="11" max="11" width="15.28125" style="0" customWidth="1"/>
    <col min="12" max="12" width="11.140625" style="0" customWidth="1"/>
    <col min="13" max="13" width="12.140625" style="0" customWidth="1"/>
    <col min="14" max="14" width="15.421875" style="0" customWidth="1"/>
    <col min="15" max="15" width="12.57421875" style="0" customWidth="1"/>
    <col min="16" max="16" width="24.7109375" style="0" customWidth="1"/>
  </cols>
  <sheetData>
    <row r="1" spans="1:7" ht="12.75">
      <c r="A1" s="5" t="s">
        <v>40</v>
      </c>
      <c r="G1" s="5" t="s">
        <v>94</v>
      </c>
    </row>
    <row r="2" ht="12.75">
      <c r="A2" s="5" t="s">
        <v>95</v>
      </c>
    </row>
    <row r="3" spans="1:8" ht="12.75">
      <c r="A3" t="s">
        <v>33</v>
      </c>
      <c r="F3" s="1" t="s">
        <v>76</v>
      </c>
      <c r="G3" s="65">
        <f>(Lk-Li)/(Le*Ki)</f>
        <v>2267.857142857143</v>
      </c>
      <c r="H3" t="s">
        <v>77</v>
      </c>
    </row>
    <row r="4" spans="1:8" ht="12.75">
      <c r="A4" s="2" t="s">
        <v>75</v>
      </c>
      <c r="F4" s="1" t="s">
        <v>51</v>
      </c>
      <c r="G4" s="48">
        <f>Li/(Ki*Le)</f>
        <v>1133.9285714285716</v>
      </c>
      <c r="H4" t="s">
        <v>52</v>
      </c>
    </row>
    <row r="5" spans="1:9" ht="12.75">
      <c r="A5" s="2" t="s">
        <v>41</v>
      </c>
      <c r="C5" s="1" t="s">
        <v>3</v>
      </c>
      <c r="D5" s="8">
        <f>150</f>
        <v>150</v>
      </c>
      <c r="E5" t="s">
        <v>18</v>
      </c>
      <c r="F5" s="1" t="s">
        <v>26</v>
      </c>
      <c r="G5" s="48">
        <f>Le/(k*b)</f>
        <v>32.138839787883654</v>
      </c>
      <c r="H5" s="2" t="s">
        <v>47</v>
      </c>
      <c r="I5" t="s">
        <v>0</v>
      </c>
    </row>
    <row r="6" spans="1:8" ht="12.75">
      <c r="A6" t="s">
        <v>39</v>
      </c>
      <c r="C6" s="1" t="s">
        <v>2</v>
      </c>
      <c r="D6" s="8">
        <f>350</f>
        <v>350</v>
      </c>
      <c r="E6" t="s">
        <v>18</v>
      </c>
      <c r="F6" s="1" t="s">
        <v>12</v>
      </c>
      <c r="G6" s="65">
        <f>Lk/(Ki*Le)</f>
        <v>3401.7857142857147</v>
      </c>
      <c r="H6" t="s">
        <v>27</v>
      </c>
    </row>
    <row r="7" spans="1:8" ht="12.75">
      <c r="A7" s="59" t="s">
        <v>60</v>
      </c>
      <c r="B7" s="75">
        <f>5.7/57.9</f>
        <v>0.09844559585492228</v>
      </c>
      <c r="C7" s="1" t="s">
        <v>1</v>
      </c>
      <c r="D7" s="8">
        <f>0.098</f>
        <v>0.098</v>
      </c>
      <c r="E7" t="s">
        <v>20</v>
      </c>
      <c r="F7" s="1" t="s">
        <v>21</v>
      </c>
      <c r="G7" s="11">
        <f>0.5*2.54</f>
        <v>1.27</v>
      </c>
      <c r="H7" t="s">
        <v>22</v>
      </c>
    </row>
    <row r="8" spans="1:8" ht="12.75">
      <c r="A8" s="59" t="s">
        <v>42</v>
      </c>
      <c r="C8" s="1" t="s">
        <v>4</v>
      </c>
      <c r="D8" s="10">
        <f>To-Ta</f>
        <v>200</v>
      </c>
      <c r="E8" t="s">
        <v>30</v>
      </c>
      <c r="F8" s="1" t="s">
        <v>14</v>
      </c>
      <c r="G8" s="8">
        <f>7.9</f>
        <v>7.9</v>
      </c>
      <c r="H8" t="s">
        <v>15</v>
      </c>
    </row>
    <row r="9" spans="1:8" ht="12.75">
      <c r="A9" t="s">
        <v>44</v>
      </c>
      <c r="C9" s="1" t="s">
        <v>7</v>
      </c>
      <c r="D9" s="8">
        <f>0.00028</f>
        <v>0.00028</v>
      </c>
      <c r="E9" t="s">
        <v>29</v>
      </c>
      <c r="F9" s="1" t="s">
        <v>11</v>
      </c>
      <c r="G9" s="8">
        <f>0.5*2.54</f>
        <v>1.27</v>
      </c>
      <c r="H9" t="s">
        <v>48</v>
      </c>
    </row>
    <row r="10" spans="1:8" ht="12.75">
      <c r="A10" t="s">
        <v>45</v>
      </c>
      <c r="C10" s="1" t="s">
        <v>10</v>
      </c>
      <c r="D10" s="8">
        <f>80</f>
        <v>80</v>
      </c>
      <c r="E10" t="s">
        <v>19</v>
      </c>
      <c r="F10" s="1" t="s">
        <v>8</v>
      </c>
      <c r="G10" s="8">
        <v>20</v>
      </c>
      <c r="H10" t="s">
        <v>9</v>
      </c>
    </row>
    <row r="11" spans="1:8" ht="12.75">
      <c r="A11" t="s">
        <v>67</v>
      </c>
      <c r="C11" s="1" t="s">
        <v>16</v>
      </c>
      <c r="D11" s="14">
        <f>p*Le*b</f>
        <v>40.132000000000005</v>
      </c>
      <c r="E11" t="s">
        <v>34</v>
      </c>
      <c r="F11" s="1" t="s">
        <v>13</v>
      </c>
      <c r="G11" s="10">
        <f>L/n</f>
        <v>4</v>
      </c>
      <c r="H11" t="s">
        <v>46</v>
      </c>
    </row>
    <row r="12" spans="1:8" ht="12.75">
      <c r="A12" t="s">
        <v>90</v>
      </c>
      <c r="B12" s="69">
        <f>11.93*0.082/144</f>
        <v>0.0067934722222222224</v>
      </c>
      <c r="C12" s="1" t="s">
        <v>80</v>
      </c>
      <c r="D12" s="8">
        <f>0.003</f>
        <v>0.003</v>
      </c>
      <c r="E12" s="2" t="s">
        <v>81</v>
      </c>
      <c r="F12" s="1" t="s">
        <v>17</v>
      </c>
      <c r="G12" s="8">
        <f>0.4</f>
        <v>0.4</v>
      </c>
      <c r="H12" t="s">
        <v>20</v>
      </c>
    </row>
    <row r="13" spans="5:8" ht="12.75">
      <c r="E13" s="1"/>
      <c r="F13" s="43" t="s">
        <v>49</v>
      </c>
      <c r="G13" s="11">
        <f>1.5*2.54</f>
        <v>3.81</v>
      </c>
      <c r="H13" t="s">
        <v>50</v>
      </c>
    </row>
    <row r="14" spans="1:9" ht="12.75">
      <c r="A14" s="5" t="s">
        <v>53</v>
      </c>
      <c r="D14" s="1"/>
      <c r="E14" s="1"/>
      <c r="I14" s="3"/>
    </row>
    <row r="15" spans="5:9" ht="12.75">
      <c r="E15" s="3"/>
      <c r="I15" s="7"/>
    </row>
    <row r="16" spans="1:5" ht="12.75">
      <c r="A16" s="13"/>
      <c r="B16" s="13"/>
      <c r="C16" s="13"/>
      <c r="D16" s="13"/>
      <c r="E16" s="13"/>
    </row>
    <row r="17" spans="1:4" ht="12.75">
      <c r="A17" s="5" t="s">
        <v>57</v>
      </c>
      <c r="B17" s="3"/>
      <c r="C17" s="3"/>
      <c r="D17" s="3"/>
    </row>
    <row r="18" spans="1:4" ht="12.75">
      <c r="A18" s="1" t="s">
        <v>58</v>
      </c>
      <c r="B18" s="48">
        <f>2*(15.48)+PI()*5.38+PI()*2.69</f>
        <v>56.312652714469635</v>
      </c>
      <c r="C18" s="46" t="s">
        <v>59</v>
      </c>
      <c r="D18" s="3"/>
    </row>
    <row r="19" spans="2:11" ht="12.75">
      <c r="B19" s="49">
        <f>2.54*B18</f>
        <v>143.0341378947529</v>
      </c>
      <c r="C19" s="46" t="s">
        <v>5</v>
      </c>
      <c r="D19" s="3"/>
      <c r="E19" s="3"/>
      <c r="F19" s="7"/>
      <c r="J19" s="3"/>
      <c r="K19" s="3"/>
    </row>
    <row r="20" spans="1:11" ht="12.75">
      <c r="A20" s="5" t="s">
        <v>91</v>
      </c>
      <c r="B20" s="45">
        <f>1*b*(Ta-21)*h</f>
        <v>0.49149000000000004</v>
      </c>
      <c r="C20" s="46" t="s">
        <v>82</v>
      </c>
      <c r="D20" s="3"/>
      <c r="E20" s="3"/>
      <c r="F20" s="7"/>
      <c r="J20" s="3"/>
      <c r="K20" s="3"/>
    </row>
    <row r="21" spans="2:11" ht="12.75">
      <c r="B21" s="49">
        <f>B20*$B$19</f>
        <v>70.29984843389211</v>
      </c>
      <c r="C21" s="46" t="s">
        <v>92</v>
      </c>
      <c r="D21" s="3"/>
      <c r="E21" s="3"/>
      <c r="F21" s="7"/>
      <c r="J21" s="3"/>
      <c r="K21" s="3"/>
    </row>
    <row r="22" spans="1:11" ht="12.75">
      <c r="A22" s="70" t="s">
        <v>65</v>
      </c>
      <c r="B22" s="3"/>
      <c r="C22" s="4"/>
      <c r="D22" s="3"/>
      <c r="E22" s="3"/>
      <c r="F22" s="7"/>
      <c r="G22" s="3"/>
      <c r="H22" s="3"/>
      <c r="I22" s="3"/>
      <c r="J22" s="3"/>
      <c r="K22" s="3"/>
    </row>
    <row r="23" spans="1:11" ht="12.75">
      <c r="A23" s="50">
        <f>64*0.3125/B18</f>
        <v>0.3551599691353372</v>
      </c>
      <c r="D23" s="3"/>
      <c r="E23" s="3"/>
      <c r="F23" s="7"/>
      <c r="G23" s="3"/>
      <c r="H23" s="3"/>
      <c r="I23" s="3"/>
      <c r="J23" s="3"/>
      <c r="K23" s="3"/>
    </row>
    <row r="24" spans="4:11" ht="12.75">
      <c r="D24" s="3"/>
      <c r="E24" s="3"/>
      <c r="F24" s="7"/>
      <c r="G24" s="3"/>
      <c r="H24" s="3"/>
      <c r="I24" s="3"/>
      <c r="J24" s="3"/>
      <c r="K24" s="3"/>
    </row>
    <row r="25" spans="1:11" ht="12.75">
      <c r="A25" s="16" t="s">
        <v>66</v>
      </c>
      <c r="B25" s="15"/>
      <c r="C25" s="4"/>
      <c r="D25" s="3"/>
      <c r="E25" s="3"/>
      <c r="F25" s="7"/>
      <c r="G25" s="3"/>
      <c r="H25" s="3"/>
      <c r="I25" s="3"/>
      <c r="J25" s="3"/>
      <c r="K25" s="3"/>
    </row>
    <row r="26" spans="1:10" ht="12.75">
      <c r="A26" s="2"/>
      <c r="B26" s="58">
        <f>(To+273-80)/Rt*0.36</f>
        <v>0.08619590551181101</v>
      </c>
      <c r="C26" s="46" t="s">
        <v>79</v>
      </c>
      <c r="D26" s="3"/>
      <c r="E26" s="3"/>
      <c r="F26" s="7"/>
      <c r="G26" s="23"/>
      <c r="I26" s="16" t="s">
        <v>28</v>
      </c>
      <c r="J26" s="3"/>
    </row>
    <row r="27" spans="1:11" ht="12.75">
      <c r="A27" s="16"/>
      <c r="B27" s="15">
        <f>B26*$B$19*n</f>
        <v>246.57914069878933</v>
      </c>
      <c r="C27" s="50" t="s">
        <v>93</v>
      </c>
      <c r="D27" s="3"/>
      <c r="E27" s="3"/>
      <c r="F27" s="7"/>
      <c r="G27" s="3"/>
      <c r="H27" s="23"/>
      <c r="I27" s="16" t="s">
        <v>32</v>
      </c>
      <c r="J27" s="3"/>
      <c r="K27" s="3"/>
    </row>
    <row r="28" spans="5:11" ht="12.75">
      <c r="E28" s="3"/>
      <c r="F28" s="7"/>
      <c r="G28" s="3"/>
      <c r="H28" s="4">
        <f>81.37*1.75/3.1875</f>
        <v>44.673725490196084</v>
      </c>
      <c r="I28" s="3"/>
      <c r="J28" s="3"/>
      <c r="K28" s="3"/>
    </row>
    <row r="29" spans="1:3" ht="12.75">
      <c r="A29" s="5" t="s">
        <v>89</v>
      </c>
      <c r="B29" s="15">
        <f>0.64*(250+273-80)/Ri*n*$B$19</f>
        <v>238.422065244256</v>
      </c>
      <c r="C29" s="5" t="s">
        <v>93</v>
      </c>
    </row>
    <row r="31" ht="12.75">
      <c r="A31" s="5" t="s">
        <v>37</v>
      </c>
    </row>
    <row r="32" spans="1:7" ht="12.75">
      <c r="A32" s="5" t="s">
        <v>43</v>
      </c>
      <c r="C32" s="3"/>
      <c r="G32" s="3" t="s">
        <v>23</v>
      </c>
    </row>
    <row r="33" spans="1:7" ht="12.75">
      <c r="A33" s="28" t="s">
        <v>31</v>
      </c>
      <c r="C33" s="3" t="s">
        <v>56</v>
      </c>
      <c r="E33" s="3" t="s">
        <v>87</v>
      </c>
      <c r="G33" s="3" t="s">
        <v>61</v>
      </c>
    </row>
    <row r="34" spans="1:7" ht="12.75">
      <c r="A34" s="6" t="s">
        <v>6</v>
      </c>
      <c r="B34" s="6" t="s">
        <v>24</v>
      </c>
      <c r="C34" s="6" t="s">
        <v>54</v>
      </c>
      <c r="D34" s="6" t="s">
        <v>68</v>
      </c>
      <c r="E34" s="74" t="s">
        <v>88</v>
      </c>
      <c r="F34" s="6" t="s">
        <v>25</v>
      </c>
      <c r="G34" s="6" t="s">
        <v>55</v>
      </c>
    </row>
    <row r="35" spans="1:8" ht="12.75">
      <c r="A35" s="3">
        <v>1</v>
      </c>
      <c r="B35" s="19">
        <f>423</f>
        <v>423</v>
      </c>
      <c r="C35" s="60">
        <f>0.64*(B35-80)/Ri-$B$56/(n*$B$19)-(To+273-B35)/Rk*0.36+B20</f>
        <v>0.43911092852636535</v>
      </c>
      <c r="D35" s="4">
        <f aca="true" t="shared" si="0" ref="D35:D54">B35+C35/(Cp*m)</f>
        <v>423.0273541642907</v>
      </c>
      <c r="E35" s="9">
        <f>0.36*(To+273-B35)/Rk</f>
        <v>0.06349606299212597</v>
      </c>
      <c r="F35" s="4">
        <f>D35+C35*Re</f>
        <v>437.1398699453084</v>
      </c>
      <c r="G35" s="9">
        <f>C35</f>
        <v>0.43911092852636535</v>
      </c>
      <c r="H35" t="s">
        <v>35</v>
      </c>
    </row>
    <row r="36" spans="1:7" ht="12.75">
      <c r="A36" s="3">
        <v>2</v>
      </c>
      <c r="B36" s="9">
        <f aca="true" t="shared" si="1" ref="B36:B54">F35</f>
        <v>437.1398699453084</v>
      </c>
      <c r="C36" s="60">
        <f aca="true" t="shared" si="2" ref="C36:C54">0.64*(B36-80)/Ri-$B$56/(n*$B$19)-(To+273-B36)/Rk*0.36</f>
        <v>-0.045229715709161705</v>
      </c>
      <c r="D36" s="9">
        <f t="shared" si="0"/>
        <v>437.1370523860222</v>
      </c>
      <c r="E36" s="9">
        <f aca="true" t="shared" si="3" ref="E36:E54">0.36*(To+273-B36)/Rk+E35</f>
        <v>0.12250299562051309</v>
      </c>
      <c r="F36" s="4">
        <f aca="true" t="shared" si="4" ref="F36:F54">D36+(G35)*Re</f>
        <v>451.2495681670399</v>
      </c>
      <c r="G36" s="9">
        <f aca="true" t="shared" si="5" ref="G36:G54">G35+C36</f>
        <v>0.3938812128172037</v>
      </c>
    </row>
    <row r="37" spans="1:7" ht="12.75">
      <c r="A37" s="3">
        <v>3</v>
      </c>
      <c r="B37" s="4">
        <f t="shared" si="1"/>
        <v>451.2495681670399</v>
      </c>
      <c r="C37" s="60">
        <f t="shared" si="2"/>
        <v>-0.0380956152749508</v>
      </c>
      <c r="D37" s="4">
        <f t="shared" si="0"/>
        <v>451.24719502246234</v>
      </c>
      <c r="E37" s="9">
        <f t="shared" si="3"/>
        <v>0.17703037681346545</v>
      </c>
      <c r="F37" s="4">
        <f t="shared" si="4"/>
        <v>463.90608021665173</v>
      </c>
      <c r="G37" s="9">
        <f t="shared" si="5"/>
        <v>0.35578559754225286</v>
      </c>
    </row>
    <row r="38" spans="1:7" ht="12.75">
      <c r="A38" s="3">
        <v>4</v>
      </c>
      <c r="B38" s="4">
        <f t="shared" si="1"/>
        <v>463.90608021665173</v>
      </c>
      <c r="C38" s="60">
        <f t="shared" si="2"/>
        <v>-0.031696270179839975</v>
      </c>
      <c r="D38" s="4">
        <f t="shared" si="0"/>
        <v>463.9041057156189</v>
      </c>
      <c r="E38" s="9">
        <f t="shared" si="3"/>
        <v>0.22753956457460406</v>
      </c>
      <c r="F38" s="4">
        <f t="shared" si="4"/>
        <v>475.3386420338658</v>
      </c>
      <c r="G38" s="9">
        <f t="shared" si="5"/>
        <v>0.3240893273624129</v>
      </c>
    </row>
    <row r="39" spans="1:7" ht="12.75">
      <c r="A39" s="3">
        <v>5</v>
      </c>
      <c r="B39" s="4">
        <f t="shared" si="1"/>
        <v>475.3386420338658</v>
      </c>
      <c r="C39" s="60">
        <f t="shared" si="2"/>
        <v>-0.02591577488202338</v>
      </c>
      <c r="D39" s="4">
        <f t="shared" si="0"/>
        <v>475.33702762548336</v>
      </c>
      <c r="E39" s="9">
        <f t="shared" si="3"/>
        <v>0.27441913900920667</v>
      </c>
      <c r="F39" s="4">
        <f t="shared" si="4"/>
        <v>485.7528825945469</v>
      </c>
      <c r="G39" s="9">
        <f t="shared" si="5"/>
        <v>0.2981735524803895</v>
      </c>
    </row>
    <row r="40" spans="1:7" ht="12.75">
      <c r="A40" s="3">
        <v>6</v>
      </c>
      <c r="B40" s="4">
        <f t="shared" si="1"/>
        <v>485.7528825945469</v>
      </c>
      <c r="C40" s="60">
        <f t="shared" si="2"/>
        <v>-0.02065015991716878</v>
      </c>
      <c r="D40" s="4">
        <f t="shared" si="0"/>
        <v>485.7515962046388</v>
      </c>
      <c r="E40" s="9">
        <f t="shared" si="3"/>
        <v>0.31799239707052845</v>
      </c>
      <c r="F40" s="4">
        <f t="shared" si="4"/>
        <v>495.33454823679017</v>
      </c>
      <c r="G40" s="9">
        <f t="shared" si="5"/>
        <v>0.2775233925632207</v>
      </c>
    </row>
    <row r="41" spans="1:11" ht="12.75">
      <c r="A41" s="3">
        <v>7</v>
      </c>
      <c r="B41" s="4">
        <f t="shared" si="1"/>
        <v>495.33454823679017</v>
      </c>
      <c r="C41" s="60">
        <f t="shared" si="2"/>
        <v>-0.01580550881658678</v>
      </c>
      <c r="D41" s="4">
        <f t="shared" si="0"/>
        <v>495.3335636416531</v>
      </c>
      <c r="E41" s="9">
        <f t="shared" si="3"/>
        <v>0.3585236649059034</v>
      </c>
      <c r="F41" s="22">
        <f t="shared" si="4"/>
        <v>504.2528434926324</v>
      </c>
      <c r="G41" s="9">
        <f t="shared" si="5"/>
        <v>0.26171788374663396</v>
      </c>
      <c r="H41" s="3"/>
      <c r="I41" s="3"/>
      <c r="J41" s="3"/>
      <c r="K41" s="3"/>
    </row>
    <row r="42" spans="1:9" ht="12.75">
      <c r="A42" s="3">
        <v>8</v>
      </c>
      <c r="B42" s="4">
        <f t="shared" si="1"/>
        <v>504.2528434926324</v>
      </c>
      <c r="C42" s="60">
        <f t="shared" si="2"/>
        <v>-0.011296268926598733</v>
      </c>
      <c r="D42" s="4">
        <f t="shared" si="0"/>
        <v>504.2521397980167</v>
      </c>
      <c r="E42" s="9">
        <f t="shared" si="3"/>
        <v>0.3962235495545417</v>
      </c>
      <c r="F42" s="4">
        <f t="shared" si="4"/>
        <v>512.6634489333737</v>
      </c>
      <c r="G42" s="9">
        <f t="shared" si="5"/>
        <v>0.2504216148200352</v>
      </c>
      <c r="H42" s="3"/>
      <c r="I42" s="3"/>
    </row>
    <row r="43" spans="1:9" ht="12.75">
      <c r="A43" s="3">
        <v>9</v>
      </c>
      <c r="B43" s="4">
        <f t="shared" si="1"/>
        <v>512.6634489333737</v>
      </c>
      <c r="C43" s="60">
        <f t="shared" si="2"/>
        <v>-0.007043725535248575</v>
      </c>
      <c r="D43" s="4">
        <f t="shared" si="0"/>
        <v>512.6630101485179</v>
      </c>
      <c r="E43" s="9">
        <f t="shared" si="3"/>
        <v>0.43125323253884384</v>
      </c>
      <c r="F43" s="4">
        <f t="shared" si="4"/>
        <v>520.7112703066421</v>
      </c>
      <c r="G43" s="9">
        <f t="shared" si="5"/>
        <v>0.24337788928478665</v>
      </c>
      <c r="H43" s="4"/>
      <c r="I43" s="3"/>
    </row>
    <row r="44" spans="1:7" ht="12.75">
      <c r="A44" s="3">
        <v>10</v>
      </c>
      <c r="B44" s="4">
        <f t="shared" si="1"/>
        <v>520.7112703066421</v>
      </c>
      <c r="C44" s="60">
        <f t="shared" si="2"/>
        <v>-0.002974611862423343</v>
      </c>
      <c r="D44" s="4">
        <f t="shared" si="0"/>
        <v>520.7110850048964</v>
      </c>
      <c r="E44" s="9">
        <f t="shared" si="3"/>
        <v>0.46372789065881387</v>
      </c>
      <c r="F44" s="4">
        <f t="shared" si="4"/>
        <v>528.5329679965334</v>
      </c>
      <c r="G44" s="9">
        <f t="shared" si="5"/>
        <v>0.2404032774223633</v>
      </c>
    </row>
    <row r="45" spans="1:7" ht="12.75">
      <c r="A45" s="3">
        <v>11</v>
      </c>
      <c r="B45" s="4">
        <f t="shared" si="1"/>
        <v>528.5329679965334</v>
      </c>
      <c r="C45" s="60">
        <f t="shared" si="2"/>
        <v>0.000980169877683415</v>
      </c>
      <c r="D45" s="4">
        <f t="shared" si="0"/>
        <v>528.5330290556557</v>
      </c>
      <c r="E45" s="9">
        <f t="shared" si="3"/>
        <v>0.4937193137326703</v>
      </c>
      <c r="F45" s="4">
        <f t="shared" si="4"/>
        <v>536.2593114732151</v>
      </c>
      <c r="G45" s="9">
        <f t="shared" si="5"/>
        <v>0.24138344730004674</v>
      </c>
    </row>
    <row r="46" spans="1:9" ht="12.75">
      <c r="A46" s="3">
        <v>12</v>
      </c>
      <c r="B46" s="4">
        <f t="shared" si="1"/>
        <v>536.2593114732151</v>
      </c>
      <c r="C46" s="60">
        <f t="shared" si="2"/>
        <v>0.004886738925840791</v>
      </c>
      <c r="D46" s="4">
        <f t="shared" si="0"/>
        <v>536.2596158898232</v>
      </c>
      <c r="E46" s="9">
        <f t="shared" si="3"/>
        <v>0.5212577748460558</v>
      </c>
      <c r="F46" s="4">
        <f t="shared" si="4"/>
        <v>544.0173998300464</v>
      </c>
      <c r="G46" s="9">
        <f t="shared" si="5"/>
        <v>0.24627018622588753</v>
      </c>
      <c r="I46" s="1"/>
    </row>
    <row r="47" spans="1:7" ht="12.75">
      <c r="A47" s="3">
        <v>13</v>
      </c>
      <c r="B47" s="4">
        <f t="shared" si="1"/>
        <v>544.0173998300464</v>
      </c>
      <c r="C47" s="60">
        <f t="shared" si="2"/>
        <v>0.00880935871864913</v>
      </c>
      <c r="D47" s="4">
        <f t="shared" si="0"/>
        <v>544.0179486040123</v>
      </c>
      <c r="E47" s="9">
        <f t="shared" si="3"/>
        <v>0.5463331956244222</v>
      </c>
      <c r="F47" s="4">
        <f t="shared" si="4"/>
        <v>551.9327866636584</v>
      </c>
      <c r="G47" s="9">
        <f t="shared" si="5"/>
        <v>0.25507954494453666</v>
      </c>
    </row>
    <row r="48" spans="1:7" ht="12.75">
      <c r="A48" s="3">
        <v>14</v>
      </c>
      <c r="B48" s="4">
        <f t="shared" si="1"/>
        <v>551.9327866636584</v>
      </c>
      <c r="C48" s="60">
        <f t="shared" si="2"/>
        <v>0.012811511263601898</v>
      </c>
      <c r="D48" s="4">
        <f t="shared" si="0"/>
        <v>551.9335847494293</v>
      </c>
      <c r="E48" s="9">
        <f t="shared" si="3"/>
        <v>0.5688956368978182</v>
      </c>
      <c r="F48" s="4">
        <f t="shared" si="4"/>
        <v>560.131545377568</v>
      </c>
      <c r="G48" s="9">
        <f t="shared" si="5"/>
        <v>0.2678910562081386</v>
      </c>
    </row>
    <row r="49" spans="1:7" ht="12.75">
      <c r="A49" s="3">
        <v>15</v>
      </c>
      <c r="B49" s="4">
        <f t="shared" si="1"/>
        <v>560.131545377568</v>
      </c>
      <c r="C49" s="60">
        <f t="shared" si="2"/>
        <v>0.016956941391285788</v>
      </c>
      <c r="D49" s="4">
        <f t="shared" si="0"/>
        <v>560.1326017005392</v>
      </c>
      <c r="E49" s="9">
        <f t="shared" si="3"/>
        <v>0.5888551336724359</v>
      </c>
      <c r="F49" s="4">
        <f t="shared" si="4"/>
        <v>568.7423094366195</v>
      </c>
      <c r="G49" s="9">
        <f t="shared" si="5"/>
        <v>0.28484799759942436</v>
      </c>
    </row>
    <row r="50" spans="1:7" ht="12.75">
      <c r="A50" s="3">
        <v>16</v>
      </c>
      <c r="B50" s="4">
        <f t="shared" si="1"/>
        <v>568.7423094366195</v>
      </c>
      <c r="C50" s="60">
        <f t="shared" si="2"/>
        <v>0.021310688342298042</v>
      </c>
      <c r="D50" s="4">
        <f t="shared" si="0"/>
        <v>568.7436369737683</v>
      </c>
      <c r="E50" s="9">
        <f t="shared" si="3"/>
        <v>0.6060808823615343</v>
      </c>
      <c r="F50" s="4">
        <f t="shared" si="4"/>
        <v>577.8983211325157</v>
      </c>
      <c r="G50" s="9">
        <f t="shared" si="5"/>
        <v>0.3061586859417224</v>
      </c>
    </row>
    <row r="51" spans="1:7" ht="12.75">
      <c r="A51" s="3">
        <v>17</v>
      </c>
      <c r="B51" s="4">
        <f t="shared" si="1"/>
        <v>577.8983211325157</v>
      </c>
      <c r="C51" s="60">
        <f t="shared" si="2"/>
        <v>0.025940121657514414</v>
      </c>
      <c r="D51" s="4">
        <f t="shared" si="0"/>
        <v>577.8999370575666</v>
      </c>
      <c r="E51" s="9">
        <f t="shared" si="3"/>
        <v>0.6203997775736365</v>
      </c>
      <c r="F51" s="4">
        <f t="shared" si="4"/>
        <v>587.7395220147166</v>
      </c>
      <c r="G51" s="9">
        <f t="shared" si="5"/>
        <v>0.3320988075992368</v>
      </c>
    </row>
    <row r="52" spans="1:7" ht="12.75">
      <c r="A52" s="3">
        <v>18</v>
      </c>
      <c r="B52" s="4">
        <f t="shared" si="1"/>
        <v>587.7395220147166</v>
      </c>
      <c r="C52" s="60">
        <f t="shared" si="2"/>
        <v>0.030915998135066097</v>
      </c>
      <c r="D52" s="4">
        <f t="shared" si="0"/>
        <v>587.7414479091484</v>
      </c>
      <c r="E52" s="9">
        <f t="shared" si="3"/>
        <v>0.6315942852300667</v>
      </c>
      <c r="F52" s="4">
        <f t="shared" si="4"/>
        <v>598.4147182803275</v>
      </c>
      <c r="G52" s="9">
        <f t="shared" si="5"/>
        <v>0.3630148057343029</v>
      </c>
    </row>
    <row r="53" spans="1:7" ht="12.75">
      <c r="A53" s="3">
        <v>19</v>
      </c>
      <c r="B53" s="4">
        <f t="shared" si="1"/>
        <v>598.4147182803275</v>
      </c>
      <c r="C53" s="60">
        <f t="shared" si="2"/>
        <v>0.03631355668784112</v>
      </c>
      <c r="D53" s="4">
        <f t="shared" si="0"/>
        <v>598.416980412584</v>
      </c>
      <c r="E53" s="9">
        <f t="shared" si="3"/>
        <v>0.6393996282138241</v>
      </c>
      <c r="F53" s="4">
        <f t="shared" si="4"/>
        <v>610.0838550947085</v>
      </c>
      <c r="G53" s="4">
        <f t="shared" si="5"/>
        <v>0.39932836242214403</v>
      </c>
    </row>
    <row r="54" spans="1:9" ht="12.75">
      <c r="A54" s="3">
        <v>20</v>
      </c>
      <c r="B54" s="22">
        <f t="shared" si="1"/>
        <v>610.0838550947085</v>
      </c>
      <c r="C54" s="60">
        <f t="shared" si="2"/>
        <v>0.042213668278188496</v>
      </c>
      <c r="D54" s="4">
        <f t="shared" si="0"/>
        <v>610.086484771044</v>
      </c>
      <c r="E54" s="9">
        <f t="shared" si="3"/>
        <v>0.6435002499664332</v>
      </c>
      <c r="F54" s="21">
        <f t="shared" si="4"/>
        <v>622.9204350336872</v>
      </c>
      <c r="G54" s="44">
        <f t="shared" si="5"/>
        <v>0.44154203070033254</v>
      </c>
      <c r="H54" t="s">
        <v>36</v>
      </c>
      <c r="I54" s="5"/>
    </row>
    <row r="55" ht="12.75">
      <c r="E55" s="17"/>
    </row>
    <row r="56" spans="1:6" ht="12.75">
      <c r="A56" s="33" t="s">
        <v>78</v>
      </c>
      <c r="B56" s="68">
        <v>152.8</v>
      </c>
      <c r="C56" s="24"/>
      <c r="E56" s="35"/>
      <c r="F56" s="45"/>
    </row>
    <row r="57" spans="4:5" ht="12.75">
      <c r="D57" s="5"/>
      <c r="E57" s="5"/>
    </row>
    <row r="58" spans="1:8" ht="12.75">
      <c r="A58" s="5"/>
      <c r="E58" s="71" t="s">
        <v>83</v>
      </c>
      <c r="G58" s="1"/>
      <c r="H58" s="2"/>
    </row>
    <row r="59" spans="1:6" ht="12.75">
      <c r="A59" s="5" t="s">
        <v>38</v>
      </c>
      <c r="C59" s="2"/>
      <c r="D59" t="s">
        <v>85</v>
      </c>
      <c r="E59" s="7">
        <f>-B27+B56+E54*$B$19+B21</f>
        <v>68.56321122410955</v>
      </c>
      <c r="F59" s="72"/>
    </row>
    <row r="60" spans="1:6" ht="12.75">
      <c r="A60" s="51"/>
      <c r="B60" s="56"/>
      <c r="C60" s="12"/>
      <c r="D60" s="12" t="s">
        <v>86</v>
      </c>
      <c r="E60" s="73">
        <f>G54*$B$19</f>
        <v>63.15558370552058</v>
      </c>
      <c r="F60" s="13"/>
    </row>
    <row r="61" spans="1:7" ht="12.75">
      <c r="A61" s="51" t="s">
        <v>84</v>
      </c>
      <c r="B61" s="52">
        <f>B27+B29</f>
        <v>485.0012059430453</v>
      </c>
      <c r="C61" s="41"/>
      <c r="D61" s="66"/>
      <c r="E61" s="42"/>
      <c r="F61" s="41"/>
      <c r="G61" s="12"/>
    </row>
    <row r="62" spans="1:9" ht="12.75">
      <c r="A62" s="53"/>
      <c r="B62" s="54"/>
      <c r="C62" s="27"/>
      <c r="D62" s="26"/>
      <c r="E62" s="26"/>
      <c r="F62" s="25"/>
      <c r="G62" s="32"/>
      <c r="H62" s="3"/>
      <c r="I62" s="3"/>
    </row>
    <row r="63" spans="1:9" ht="12.75">
      <c r="A63" s="35" t="s">
        <v>72</v>
      </c>
      <c r="B63" s="15">
        <f>B61*6</f>
        <v>2910.007235658272</v>
      </c>
      <c r="C63" s="22"/>
      <c r="D63" s="4"/>
      <c r="E63" s="4"/>
      <c r="F63" s="4"/>
      <c r="G63" s="4"/>
      <c r="H63" s="3"/>
      <c r="I63" s="3"/>
    </row>
    <row r="64" spans="1:9" ht="12.75">
      <c r="A64" s="16" t="s">
        <v>73</v>
      </c>
      <c r="B64" s="4"/>
      <c r="C64" s="22"/>
      <c r="D64" s="4"/>
      <c r="E64" s="4"/>
      <c r="F64" s="4"/>
      <c r="G64" s="4"/>
      <c r="H64" s="3"/>
      <c r="I64" s="3"/>
    </row>
    <row r="65" spans="1:9" ht="12.75">
      <c r="A65" s="3"/>
      <c r="B65" s="4"/>
      <c r="C65" s="22"/>
      <c r="D65" s="4"/>
      <c r="E65" s="4"/>
      <c r="F65" s="4"/>
      <c r="G65" s="4"/>
      <c r="H65" s="3"/>
      <c r="I65" s="3"/>
    </row>
    <row r="66" spans="1:9" ht="12.75">
      <c r="A66" s="3"/>
      <c r="B66" s="4"/>
      <c r="C66" s="22"/>
      <c r="D66" s="4"/>
      <c r="E66" s="4"/>
      <c r="F66" s="4"/>
      <c r="G66" s="4"/>
      <c r="H66" s="3"/>
      <c r="I66" s="3"/>
    </row>
    <row r="67" spans="1:9" ht="12.75">
      <c r="A67" s="3"/>
      <c r="B67" s="4"/>
      <c r="C67" s="22"/>
      <c r="D67" s="4"/>
      <c r="E67" s="4"/>
      <c r="F67" s="4"/>
      <c r="G67" s="4"/>
      <c r="H67" s="3"/>
      <c r="I67" s="3"/>
    </row>
    <row r="68" spans="1:11" ht="12.75">
      <c r="A68" s="3"/>
      <c r="B68" s="4"/>
      <c r="C68" s="22"/>
      <c r="D68" s="4"/>
      <c r="E68" s="4"/>
      <c r="F68" s="4"/>
      <c r="G68" s="4"/>
      <c r="H68" s="3"/>
      <c r="I68" s="3"/>
      <c r="J68" s="38"/>
      <c r="K68" s="39"/>
    </row>
    <row r="69" spans="1:9" ht="12.75">
      <c r="A69" s="5" t="s">
        <v>62</v>
      </c>
      <c r="H69" s="3"/>
      <c r="I69" s="3"/>
    </row>
    <row r="70" spans="1:9" ht="12.75">
      <c r="A70" s="5" t="s">
        <v>63</v>
      </c>
      <c r="C70" s="3"/>
      <c r="F70" s="3" t="s">
        <v>23</v>
      </c>
      <c r="H70" s="3"/>
      <c r="I70" s="3"/>
    </row>
    <row r="71" spans="1:9" ht="12.75">
      <c r="A71" s="28" t="s">
        <v>31</v>
      </c>
      <c r="C71" s="3" t="s">
        <v>56</v>
      </c>
      <c r="F71" s="3" t="s">
        <v>61</v>
      </c>
      <c r="H71" s="3"/>
      <c r="I71" s="3"/>
    </row>
    <row r="72" spans="1:6" ht="12.75">
      <c r="A72" s="6" t="s">
        <v>6</v>
      </c>
      <c r="B72" s="6" t="s">
        <v>24</v>
      </c>
      <c r="C72" s="6" t="s">
        <v>54</v>
      </c>
      <c r="D72" s="6" t="s">
        <v>68</v>
      </c>
      <c r="E72" s="6" t="s">
        <v>25</v>
      </c>
      <c r="F72" s="6" t="s">
        <v>55</v>
      </c>
    </row>
    <row r="73" spans="1:7" ht="12.75">
      <c r="A73" s="3">
        <v>1</v>
      </c>
      <c r="B73" s="19">
        <f>294</f>
        <v>294</v>
      </c>
      <c r="C73" s="61">
        <f aca="true" t="shared" si="6" ref="C73:C92">0.64*(B73-80)/Ri-$B$94/(n*$B$19)-(21+273-B73)/Rk*0.36</f>
        <v>-8.899387523797486E-06</v>
      </c>
      <c r="D73" s="4">
        <f aca="true" t="shared" si="7" ref="D73:D92">B73+C73/(Cp*m)</f>
        <v>293.99999944561773</v>
      </c>
      <c r="E73" s="4">
        <f>D73+C73*Re</f>
        <v>293.9997134296279</v>
      </c>
      <c r="F73" s="47">
        <f>C73</f>
        <v>-8.899387523797486E-06</v>
      </c>
      <c r="G73" t="s">
        <v>35</v>
      </c>
    </row>
    <row r="74" spans="1:6" ht="12.75">
      <c r="A74" s="3">
        <v>2</v>
      </c>
      <c r="B74" s="9">
        <f>E73</f>
        <v>293.9997134296279</v>
      </c>
      <c r="C74" s="61">
        <f t="shared" si="6"/>
        <v>-9.044282317715255E-06</v>
      </c>
      <c r="D74" s="9">
        <f t="shared" si="7"/>
        <v>293.9997128662195</v>
      </c>
      <c r="E74" s="4">
        <f aca="true" t="shared" si="8" ref="E74:E92">D74+(F73)*Re</f>
        <v>293.99942685022967</v>
      </c>
      <c r="F74" s="47">
        <f>F73+C74</f>
        <v>-1.7943669841512743E-05</v>
      </c>
    </row>
    <row r="75" spans="1:6" ht="12.75">
      <c r="A75" s="3">
        <v>3</v>
      </c>
      <c r="B75" s="4">
        <f>E74</f>
        <v>293.99942685022967</v>
      </c>
      <c r="C75" s="61">
        <f t="shared" si="6"/>
        <v>-9.189181675393721E-06</v>
      </c>
      <c r="D75" s="4">
        <f t="shared" si="7"/>
        <v>293.99942627779484</v>
      </c>
      <c r="E75" s="4">
        <f t="shared" si="8"/>
        <v>293.9988495890646</v>
      </c>
      <c r="F75" s="47">
        <f>F74+C75</f>
        <v>-2.7132851516906462E-05</v>
      </c>
    </row>
    <row r="76" spans="1:6" ht="12.75">
      <c r="A76" s="3">
        <v>4</v>
      </c>
      <c r="B76" s="4">
        <f>E75</f>
        <v>293.9988495890646</v>
      </c>
      <c r="C76" s="61">
        <f t="shared" si="6"/>
        <v>-9.481054617221673E-06</v>
      </c>
      <c r="D76" s="4">
        <f t="shared" si="7"/>
        <v>293.9988489984477</v>
      </c>
      <c r="E76" s="4">
        <f t="shared" si="8"/>
        <v>293.99797698007984</v>
      </c>
      <c r="F76" s="47">
        <f aca="true" t="shared" si="9" ref="F76:F92">F75+C76</f>
        <v>-3.6613906134128136E-05</v>
      </c>
    </row>
    <row r="77" spans="1:6" ht="12.75">
      <c r="A77" s="3">
        <v>5</v>
      </c>
      <c r="B77" s="4">
        <f aca="true" t="shared" si="10" ref="B77:B92">E76</f>
        <v>293.99797698007984</v>
      </c>
      <c r="C77" s="61">
        <f t="shared" si="6"/>
        <v>-9.922260377912539E-06</v>
      </c>
      <c r="D77" s="4">
        <f t="shared" si="7"/>
        <v>293.9979763619783</v>
      </c>
      <c r="E77" s="4">
        <f t="shared" si="8"/>
        <v>293.9967996335151</v>
      </c>
      <c r="F77" s="47">
        <f t="shared" si="9"/>
        <v>-4.653616651204068E-05</v>
      </c>
    </row>
    <row r="78" spans="1:6" ht="12.75">
      <c r="A78" s="3">
        <v>6</v>
      </c>
      <c r="B78" s="4">
        <f t="shared" si="10"/>
        <v>293.9967996335151</v>
      </c>
      <c r="C78" s="61">
        <f t="shared" si="6"/>
        <v>-1.0517546578013147E-05</v>
      </c>
      <c r="D78" s="4">
        <f t="shared" si="7"/>
        <v>293.9967989783305</v>
      </c>
      <c r="E78" s="4">
        <f t="shared" si="8"/>
        <v>293.99530335993063</v>
      </c>
      <c r="F78" s="47">
        <f t="shared" si="9"/>
        <v>-5.705371309005383E-05</v>
      </c>
    </row>
    <row r="79" spans="1:7" ht="12.75">
      <c r="A79" s="3">
        <v>7</v>
      </c>
      <c r="B79" s="4">
        <f t="shared" si="10"/>
        <v>293.99530335993063</v>
      </c>
      <c r="C79" s="61">
        <f t="shared" si="6"/>
        <v>-1.1274087636567939E-05</v>
      </c>
      <c r="D79" s="4">
        <f t="shared" si="7"/>
        <v>293.9953026576178</v>
      </c>
      <c r="E79" s="22">
        <f t="shared" si="8"/>
        <v>293.9934690174735</v>
      </c>
      <c r="F79" s="47">
        <f t="shared" si="9"/>
        <v>-6.832780072662177E-05</v>
      </c>
      <c r="G79" s="3"/>
    </row>
    <row r="80" spans="1:7" ht="12.75">
      <c r="A80" s="3">
        <v>8</v>
      </c>
      <c r="B80" s="4">
        <f t="shared" si="10"/>
        <v>293.9934690174735</v>
      </c>
      <c r="C80" s="61">
        <f t="shared" si="6"/>
        <v>-1.2201561995990967E-05</v>
      </c>
      <c r="D80" s="4">
        <f t="shared" si="7"/>
        <v>293.99346825738417</v>
      </c>
      <c r="E80" s="4">
        <f t="shared" si="8"/>
        <v>293.99127228114355</v>
      </c>
      <c r="F80" s="47">
        <f t="shared" si="9"/>
        <v>-8.052936272261273E-05</v>
      </c>
      <c r="G80" s="3"/>
    </row>
    <row r="81" spans="1:7" ht="12.75">
      <c r="A81" s="3">
        <v>9</v>
      </c>
      <c r="B81" s="4">
        <f t="shared" si="10"/>
        <v>293.99127228114355</v>
      </c>
      <c r="C81" s="61">
        <f t="shared" si="6"/>
        <v>-1.3312268784974242E-05</v>
      </c>
      <c r="D81" s="4">
        <f t="shared" si="7"/>
        <v>293.9912714518634</v>
      </c>
      <c r="E81" s="4">
        <f t="shared" si="8"/>
        <v>293.9886833315766</v>
      </c>
      <c r="F81" s="47">
        <f t="shared" si="9"/>
        <v>-9.384163150758697E-05</v>
      </c>
      <c r="G81" s="4"/>
    </row>
    <row r="82" spans="1:6" ht="12.75">
      <c r="A82" s="3">
        <v>10</v>
      </c>
      <c r="B82" s="4">
        <f t="shared" si="10"/>
        <v>293.9886833315766</v>
      </c>
      <c r="C82" s="61">
        <f t="shared" si="6"/>
        <v>-1.4621285174921795E-05</v>
      </c>
      <c r="D82" s="4">
        <f t="shared" si="7"/>
        <v>293.988682420752</v>
      </c>
      <c r="E82" s="4">
        <f t="shared" si="8"/>
        <v>293.9856664595916</v>
      </c>
      <c r="F82" s="47">
        <f t="shared" si="9"/>
        <v>-0.00010846291668250877</v>
      </c>
    </row>
    <row r="83" spans="1:10" ht="12.75">
      <c r="A83" s="3">
        <v>11</v>
      </c>
      <c r="B83" s="4">
        <f t="shared" si="10"/>
        <v>293.9856664595916</v>
      </c>
      <c r="C83" s="61">
        <f t="shared" si="6"/>
        <v>-1.614666632767431E-05</v>
      </c>
      <c r="D83" s="4">
        <f t="shared" si="7"/>
        <v>293.9856654537442</v>
      </c>
      <c r="E83" s="4">
        <f t="shared" si="8"/>
        <v>293.98217958144204</v>
      </c>
      <c r="F83" s="47">
        <f t="shared" si="9"/>
        <v>-0.00012460958301018307</v>
      </c>
      <c r="I83" s="18"/>
      <c r="J83" s="15"/>
    </row>
    <row r="84" spans="1:6" ht="12.75">
      <c r="A84" s="3">
        <v>12</v>
      </c>
      <c r="B84" s="4">
        <f t="shared" si="10"/>
        <v>293.98217958144204</v>
      </c>
      <c r="C84" s="61">
        <f t="shared" si="6"/>
        <v>-1.7909690492310875E-05</v>
      </c>
      <c r="D84" s="4">
        <f t="shared" si="7"/>
        <v>293.98217846576813</v>
      </c>
      <c r="E84" s="4">
        <f t="shared" si="8"/>
        <v>293.97817365834374</v>
      </c>
      <c r="F84" s="47">
        <f t="shared" si="9"/>
        <v>-0.00014251927350249395</v>
      </c>
    </row>
    <row r="85" spans="1:6" ht="12.75">
      <c r="A85" s="3">
        <v>13</v>
      </c>
      <c r="B85" s="4">
        <f t="shared" si="10"/>
        <v>293.97817365834374</v>
      </c>
      <c r="C85" s="61">
        <f t="shared" si="6"/>
        <v>-1.9935152501915892E-05</v>
      </c>
      <c r="D85" s="4">
        <f t="shared" si="7"/>
        <v>293.97817241649483</v>
      </c>
      <c r="E85" s="4">
        <f t="shared" si="8"/>
        <v>293.97359201239703</v>
      </c>
      <c r="F85" s="47">
        <f t="shared" si="9"/>
        <v>-0.00016245442600440984</v>
      </c>
    </row>
    <row r="86" spans="1:6" ht="12.75">
      <c r="A86" s="3">
        <v>14</v>
      </c>
      <c r="B86" s="4">
        <f t="shared" si="10"/>
        <v>293.97359201239703</v>
      </c>
      <c r="C86" s="61">
        <f t="shared" si="6"/>
        <v>-2.22517096546027E-05</v>
      </c>
      <c r="D86" s="4">
        <f t="shared" si="7"/>
        <v>293.9735906262395</v>
      </c>
      <c r="E86" s="4">
        <f t="shared" si="8"/>
        <v>293.9683695294693</v>
      </c>
      <c r="F86" s="47">
        <f t="shared" si="9"/>
        <v>-0.00018470613565901254</v>
      </c>
    </row>
    <row r="87" spans="1:6" ht="12.75">
      <c r="A87" s="3">
        <v>15</v>
      </c>
      <c r="B87" s="4">
        <f t="shared" si="10"/>
        <v>293.9683695294693</v>
      </c>
      <c r="C87" s="61">
        <f t="shared" si="6"/>
        <v>-2.48922847495998E-05</v>
      </c>
      <c r="D87" s="4">
        <f t="shared" si="7"/>
        <v>293.96836797881866</v>
      </c>
      <c r="E87" s="4">
        <f t="shared" si="8"/>
        <v>293.96243173791686</v>
      </c>
      <c r="F87" s="47">
        <f t="shared" si="9"/>
        <v>-0.00020959842040861235</v>
      </c>
    </row>
    <row r="88" spans="1:6" ht="12.75">
      <c r="A88" s="3">
        <v>16</v>
      </c>
      <c r="B88" s="4">
        <f t="shared" si="10"/>
        <v>293.96243173791686</v>
      </c>
      <c r="C88" s="61">
        <f t="shared" si="6"/>
        <v>-2.7894531900955248E-05</v>
      </c>
      <c r="D88" s="4">
        <f t="shared" si="7"/>
        <v>293.96243000024293</v>
      </c>
      <c r="E88" s="4">
        <f t="shared" si="8"/>
        <v>293.95569375018965</v>
      </c>
      <c r="F88" s="47">
        <f t="shared" si="9"/>
        <v>-0.00023749295230956758</v>
      </c>
    </row>
    <row r="89" spans="1:6" ht="12.75">
      <c r="A89" s="3">
        <v>17</v>
      </c>
      <c r="B89" s="4">
        <f t="shared" si="10"/>
        <v>293.95569375018965</v>
      </c>
      <c r="C89" s="61">
        <f t="shared" si="6"/>
        <v>-3.13013716798694E-05</v>
      </c>
      <c r="D89" s="4">
        <f t="shared" si="7"/>
        <v>293.9556918002886</v>
      </c>
      <c r="E89" s="4">
        <f t="shared" si="8"/>
        <v>293.9480590523436</v>
      </c>
      <c r="F89" s="47">
        <f t="shared" si="9"/>
        <v>-0.000268794323989437</v>
      </c>
    </row>
    <row r="90" spans="1:6" ht="12.75">
      <c r="A90" s="3">
        <v>18</v>
      </c>
      <c r="B90" s="4">
        <f t="shared" si="10"/>
        <v>293.9480590523436</v>
      </c>
      <c r="C90" s="61">
        <f t="shared" si="6"/>
        <v>-3.516160315774083E-05</v>
      </c>
      <c r="D90" s="4">
        <f t="shared" si="7"/>
        <v>293.9480568619716</v>
      </c>
      <c r="E90" s="4">
        <f t="shared" si="8"/>
        <v>293.93941812425703</v>
      </c>
      <c r="F90" s="47">
        <f t="shared" si="9"/>
        <v>-0.00030395592714717784</v>
      </c>
    </row>
    <row r="91" spans="1:6" ht="12.75">
      <c r="A91" s="3">
        <v>19</v>
      </c>
      <c r="B91" s="4">
        <f t="shared" si="10"/>
        <v>293.93941812425703</v>
      </c>
      <c r="C91" s="61">
        <f t="shared" si="6"/>
        <v>-3.9530601547743796E-05</v>
      </c>
      <c r="D91" s="4">
        <f t="shared" si="7"/>
        <v>293.93941566172083</v>
      </c>
      <c r="E91" s="4">
        <f t="shared" si="8"/>
        <v>293.9296468708757</v>
      </c>
      <c r="F91" s="47">
        <f t="shared" si="9"/>
        <v>-0.00034348652869492166</v>
      </c>
    </row>
    <row r="92" spans="1:7" ht="12.75">
      <c r="A92" s="3">
        <v>20</v>
      </c>
      <c r="B92" s="22">
        <f t="shared" si="10"/>
        <v>293.9296468708757</v>
      </c>
      <c r="C92" s="61">
        <f t="shared" si="6"/>
        <v>-4.447111139391136E-05</v>
      </c>
      <c r="D92" s="4">
        <f t="shared" si="7"/>
        <v>293.9296441005732</v>
      </c>
      <c r="E92" s="21">
        <f t="shared" si="8"/>
        <v>293.9186048420582</v>
      </c>
      <c r="F92" s="57">
        <f t="shared" si="9"/>
        <v>-0.00038795764008883304</v>
      </c>
      <c r="G92" t="s">
        <v>36</v>
      </c>
    </row>
    <row r="93" ht="12.75">
      <c r="E93" s="17"/>
    </row>
    <row r="94" spans="1:6" ht="12.75">
      <c r="A94" s="33" t="s">
        <v>78</v>
      </c>
      <c r="B94" s="68">
        <v>115.2</v>
      </c>
      <c r="C94" s="24"/>
      <c r="E94" s="35"/>
      <c r="F94" s="45"/>
    </row>
    <row r="95" spans="4:5" ht="12.75">
      <c r="D95" s="5"/>
      <c r="E95" s="5"/>
    </row>
    <row r="96" spans="1:6" ht="12.75">
      <c r="A96" s="3"/>
      <c r="B96" s="4"/>
      <c r="C96" s="36"/>
      <c r="D96" s="4"/>
      <c r="E96" s="4"/>
      <c r="F96" s="9"/>
    </row>
    <row r="97" spans="1:6" ht="12.75">
      <c r="A97" s="5" t="s">
        <v>38</v>
      </c>
      <c r="C97" s="36"/>
      <c r="D97" s="4"/>
      <c r="E97" s="4"/>
      <c r="F97" s="9"/>
    </row>
    <row r="98" spans="1:6" ht="12.75">
      <c r="A98" s="51"/>
      <c r="B98" s="55"/>
      <c r="C98" s="36"/>
      <c r="D98" s="4"/>
      <c r="E98" s="4"/>
      <c r="F98" s="9"/>
    </row>
    <row r="99" spans="1:6" ht="12.75">
      <c r="A99" s="51" t="s">
        <v>64</v>
      </c>
      <c r="B99" s="67">
        <f>(294-80)/Ri*0.64*$B$19*n+B94-(294-80)/Rt*0.36*$B$19*n</f>
        <v>133.19602213680545</v>
      </c>
      <c r="C99" s="36"/>
      <c r="D99" s="4"/>
      <c r="E99" s="4"/>
      <c r="F99" s="9"/>
    </row>
    <row r="100" spans="1:6" ht="12.75">
      <c r="A100" s="53" t="s">
        <v>71</v>
      </c>
      <c r="B100" s="54"/>
      <c r="C100" s="36"/>
      <c r="D100" s="4"/>
      <c r="E100" s="4"/>
      <c r="F100" s="9"/>
    </row>
    <row r="101" spans="1:6" ht="12.75">
      <c r="A101" s="35" t="s">
        <v>72</v>
      </c>
      <c r="B101" s="50">
        <f>6*B99</f>
        <v>799.1761328208327</v>
      </c>
      <c r="C101" s="36"/>
      <c r="D101" s="4"/>
      <c r="E101" s="4"/>
      <c r="F101" s="9"/>
    </row>
    <row r="102" spans="1:6" ht="12.75">
      <c r="A102" s="3"/>
      <c r="B102" s="4"/>
      <c r="C102" s="36"/>
      <c r="D102" s="4"/>
      <c r="E102" s="4"/>
      <c r="F102" s="9"/>
    </row>
    <row r="103" spans="1:6" ht="12.75">
      <c r="A103" s="16" t="s">
        <v>69</v>
      </c>
      <c r="B103" s="4"/>
      <c r="C103" s="36"/>
      <c r="D103" s="4"/>
      <c r="E103" s="4"/>
      <c r="F103" s="9"/>
    </row>
    <row r="104" spans="1:8" ht="12.75">
      <c r="A104" s="16" t="s">
        <v>74</v>
      </c>
      <c r="B104" s="62"/>
      <c r="C104" s="63"/>
      <c r="D104" s="62"/>
      <c r="E104" s="62"/>
      <c r="F104" s="64"/>
      <c r="G104" s="5"/>
      <c r="H104" s="5"/>
    </row>
    <row r="105" spans="1:6" ht="12.75">
      <c r="A105" s="16" t="s">
        <v>70</v>
      </c>
      <c r="B105" s="4"/>
      <c r="C105" s="36"/>
      <c r="D105" s="4"/>
      <c r="E105" s="4"/>
      <c r="F105" s="9"/>
    </row>
    <row r="106" spans="1:6" ht="12.75">
      <c r="A106" s="3"/>
      <c r="B106" s="4"/>
      <c r="C106" s="36"/>
      <c r="D106" s="4"/>
      <c r="E106" s="4"/>
      <c r="F106" s="9"/>
    </row>
    <row r="107" spans="1:6" ht="12.75">
      <c r="A107" s="3"/>
      <c r="B107" s="4"/>
      <c r="C107" s="36"/>
      <c r="D107" s="4"/>
      <c r="E107" s="4"/>
      <c r="F107" s="9"/>
    </row>
    <row r="108" spans="1:6" ht="12.75">
      <c r="A108" s="3"/>
      <c r="B108" s="4"/>
      <c r="C108" s="36"/>
      <c r="D108" s="4"/>
      <c r="E108" s="21"/>
      <c r="F108" s="25"/>
    </row>
    <row r="109" ht="12.75">
      <c r="B109" s="2"/>
    </row>
    <row r="110" spans="2:6" ht="12.75">
      <c r="B110" s="34"/>
      <c r="E110" s="35"/>
      <c r="F110" s="37"/>
    </row>
    <row r="113" spans="1:7" ht="15.75">
      <c r="A113" s="40"/>
      <c r="B113" s="25"/>
      <c r="C113" s="20"/>
      <c r="D113" s="9"/>
      <c r="E113" s="9"/>
      <c r="F113" s="9"/>
      <c r="G113" s="4"/>
    </row>
    <row r="114" spans="1:7" ht="15">
      <c r="A114" s="29"/>
      <c r="B114" s="9"/>
      <c r="C114" s="20"/>
      <c r="D114" s="9"/>
      <c r="E114" s="9"/>
      <c r="F114" s="9"/>
      <c r="G114" s="4"/>
    </row>
    <row r="115" spans="1:7" ht="15.75">
      <c r="A115" s="30"/>
      <c r="B115" s="9"/>
      <c r="C115" s="20"/>
      <c r="D115" s="9"/>
      <c r="E115" s="9"/>
      <c r="F115" s="9"/>
      <c r="G115" s="4"/>
    </row>
    <row r="116" spans="1:7" ht="15.75">
      <c r="A116" s="31"/>
      <c r="B116" s="9"/>
      <c r="C116" s="20"/>
      <c r="D116" s="9"/>
      <c r="E116" s="9"/>
      <c r="F116" s="9"/>
      <c r="G116" s="4"/>
    </row>
    <row r="117" spans="1:7" ht="15.75">
      <c r="A117" s="31"/>
      <c r="B117" s="9"/>
      <c r="C117" s="20"/>
      <c r="D117" s="9"/>
      <c r="E117" s="9"/>
      <c r="F117" s="9"/>
      <c r="G117" s="4"/>
    </row>
    <row r="118" spans="1:7" ht="15.75">
      <c r="A118" s="31"/>
      <c r="B118" s="9"/>
      <c r="C118" s="20"/>
      <c r="D118" s="9"/>
      <c r="E118" s="9"/>
      <c r="F118" s="9"/>
      <c r="G118" s="4"/>
    </row>
    <row r="119" spans="1:7" ht="12.75">
      <c r="A119" s="3"/>
      <c r="B119" s="9"/>
      <c r="C119" s="20"/>
      <c r="D119" s="9"/>
      <c r="E119" s="9"/>
      <c r="F119" s="9"/>
      <c r="G119" s="4"/>
    </row>
    <row r="129" spans="1:7" ht="12.75">
      <c r="A129" s="3"/>
      <c r="B129" s="9"/>
      <c r="C129" s="20"/>
      <c r="D129" s="9"/>
      <c r="E129" s="9"/>
      <c r="F129" s="9"/>
      <c r="G1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g89</cp:lastModifiedBy>
  <dcterms:created xsi:type="dcterms:W3CDTF">2003-11-03T14:11:37Z</dcterms:created>
  <dcterms:modified xsi:type="dcterms:W3CDTF">2008-02-14T19:11:38Z</dcterms:modified>
  <cp:category/>
  <cp:version/>
  <cp:contentType/>
  <cp:contentStatus/>
</cp:coreProperties>
</file>