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150" windowWidth="11640" windowHeight="10425" tabRatio="20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'Sheet1'!$A$1:$S$71</definedName>
  </definedNames>
  <calcPr fullCalcOnLoad="1"/>
</workbook>
</file>

<file path=xl/sharedStrings.xml><?xml version="1.0" encoding="utf-8"?>
<sst xmlns="http://schemas.openxmlformats.org/spreadsheetml/2006/main" count="241" uniqueCount="71">
  <si>
    <t>45 Deg. Bolt Frictionless Case</t>
  </si>
  <si>
    <t>Vertical Bolt Frictionless Case</t>
  </si>
  <si>
    <t>Axial Preload lbf</t>
  </si>
  <si>
    <t>Cyclical Shear Load lbf</t>
  </si>
  <si>
    <t>Bolt Preload Stress</t>
  </si>
  <si>
    <t>Bolt Cyclical Shear Stress</t>
  </si>
  <si>
    <t>Bolt Cyclical VonMises Stress</t>
  </si>
  <si>
    <t>Cyclical Axial Loading lbf</t>
  </si>
  <si>
    <t>Resultant Cyclical Axial Load</t>
  </si>
  <si>
    <t>Bolt Cyclical Axial  Max Stress</t>
  </si>
  <si>
    <t>Bolt Static Factor of Safety Normal Shear Stress</t>
  </si>
  <si>
    <t>Cu Thread Cyclical Axial  Max Stress</t>
  </si>
  <si>
    <t>Cu Thread Preload Stress</t>
  </si>
  <si>
    <t>Copper Thread Shear Area in^2</t>
  </si>
  <si>
    <t>Bolt Yield Strength psi</t>
  </si>
  <si>
    <t>Bolt Stress Area  in^2</t>
  </si>
  <si>
    <t>Copper Yield Strength psi</t>
  </si>
  <si>
    <t>Bolt Cyclical Mean Stress</t>
  </si>
  <si>
    <t>Bolt Cyclical Stress Amplitude x2.5</t>
  </si>
  <si>
    <t>Cu Thread Cyclical Stress Amplitude x2.5</t>
  </si>
  <si>
    <t>Cu Thread Cyclical Mean Stress</t>
  </si>
  <si>
    <t>Cyclical Test Conditions</t>
  </si>
  <si>
    <t>N/A</t>
  </si>
  <si>
    <t>45 Deg. Bolt .2 Friction</t>
  </si>
  <si>
    <t>Vertical Bolt .2 Friction</t>
  </si>
  <si>
    <t>45 Deg. Bolt .4 Friction</t>
  </si>
  <si>
    <t>Vertical Bolt .4 Friction</t>
  </si>
  <si>
    <t>Cu Thread Static Factor of Safety Von Mises</t>
  </si>
  <si>
    <t>Bolt Static Factor of Safety Von Mises</t>
  </si>
  <si>
    <t>Shear Shoe Bolt and Thread Analysis</t>
  </si>
  <si>
    <t>45 Deg. Bolt Frictionless No Preload</t>
  </si>
  <si>
    <t>45 Deg. Bolt .4 Friction No Preload</t>
  </si>
  <si>
    <t>Stud Nominal Loading</t>
  </si>
  <si>
    <t>Stud Nominal Loading + Thermal No Washers</t>
  </si>
  <si>
    <t>Stud Nominal Loading + Thermal With Washers</t>
  </si>
  <si>
    <t>Insert Cyclical Test</t>
  </si>
  <si>
    <t>Maximum Axial Load</t>
  </si>
  <si>
    <t>Cu Thread Static Factor of Safety</t>
  </si>
  <si>
    <t>Stud Nominal Loading + Thermal</t>
  </si>
  <si>
    <t>Insert Cyclic Test</t>
  </si>
  <si>
    <t>Insert Cyclic Test 2x Stress</t>
  </si>
  <si>
    <t>Bolt Static Factor of Safety (Von Mises)</t>
  </si>
  <si>
    <t>Cyclic Test Conditions</t>
  </si>
  <si>
    <t>Insert Cyclical Test 2x stress</t>
  </si>
  <si>
    <t>Table for presentation</t>
  </si>
  <si>
    <t>A286 Nut</t>
  </si>
  <si>
    <t>Cyclical Test 2x stress A286 (using 85K min yield actual=100)  Nut Threads instead of Cu</t>
  </si>
  <si>
    <t>Stud Nominal Loading + Thermal With Washers A286 (using 85K min yield actual=100) Nut Threads instead of Cu</t>
  </si>
  <si>
    <t>Note :</t>
  </si>
  <si>
    <t>Changed shear area of insert from .425 to .486 per catalogue after review</t>
  </si>
  <si>
    <t>Stud Nominal Loading + Thermal With Washers Stress at Internal Threads of TapLok Insert</t>
  </si>
  <si>
    <t>Internal Taplok</t>
  </si>
  <si>
    <t>303 SS TapLok</t>
  </si>
  <si>
    <t>Calculation of Cyclical and Mean stresses for Flag Studs, Shear Key Bolts, Nuts, and Threads in Conductor</t>
  </si>
  <si>
    <t>Copper Shear Yield Strength psi</t>
  </si>
  <si>
    <t>NOTES:</t>
  </si>
  <si>
    <t>The chosen applied axial preload</t>
  </si>
  <si>
    <t>Force imparted by the flag and resisted by the shear key or flag studs derived from Irv. Zatz FEA Analysis during a pulse for each case</t>
  </si>
  <si>
    <t>Resulting additional force on the bolts or stud as a result of the cyclical axial load, calculated in the Mathcad file</t>
  </si>
  <si>
    <t>Imparted to bolts as derived from  Irv. Zatz FEA Analysis</t>
  </si>
  <si>
    <t>Stress in bolt from preload only</t>
  </si>
  <si>
    <t>Stress in bolt resulting from the preload stress + the maximum cyclical axial load</t>
  </si>
  <si>
    <t>Resulting VonMises stress in bolt or stud taking the combined tensile and shear stresses into account</t>
  </si>
  <si>
    <t>S.F. of 1.5 = 2/3 yield</t>
  </si>
  <si>
    <t>Shear Stress in conductor copper threads due to the bolt or stud preload</t>
  </si>
  <si>
    <t>Shear Stress in conductor copper threads due to the bolt or stud preload + cyclical stress</t>
  </si>
  <si>
    <t>S.F. of 1.5 = .577 x 2/3 tensile yield</t>
  </si>
  <si>
    <t>Min Tensile Yiled Specified, Actual tested yield was higher</t>
  </si>
  <si>
    <t>.577 x Quoted delivered conductor tensile yield</t>
  </si>
  <si>
    <t>Calculated for the shear key bolts and quoted from the catalogue for the Taplok inserts</t>
  </si>
  <si>
    <t>Values used to plot points on Modified Goodman Diagram for fatigue analysis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</si>
</sst>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/>
    </xf>
    <xf numFmtId="2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4">
      <pane xSplit="4740" ySplit="2295" topLeftCell="B5" activePane="bottomRight" state="split"/>
      <selection pane="topLeft" activeCell="A4" sqref="A4"/>
      <selection pane="topRight" activeCell="C4" sqref="C1:C16384"/>
      <selection pane="bottomLeft" activeCell="A46" sqref="A46:IV46"/>
      <selection pane="bottomRight" activeCell="E19" sqref="E19"/>
    </sheetView>
  </sheetViews>
  <sheetFormatPr defaultColWidth="9.140625" defaultRowHeight="12.75"/>
  <cols>
    <col min="1" max="1" width="41.421875" style="1" customWidth="1"/>
    <col min="2" max="2" width="11.7109375" style="0" customWidth="1"/>
    <col min="3" max="3" width="12.00390625" style="0" customWidth="1"/>
    <col min="4" max="4" width="9.7109375" style="0" customWidth="1"/>
    <col min="5" max="5" width="9.8515625" style="0" customWidth="1"/>
    <col min="6" max="6" width="8.8515625" style="0" customWidth="1"/>
    <col min="7" max="7" width="8.7109375" style="0" customWidth="1"/>
    <col min="8" max="8" width="11.7109375" style="0" customWidth="1"/>
    <col min="9" max="9" width="12.140625" style="0" customWidth="1"/>
    <col min="10" max="10" width="10.8515625" style="0" customWidth="1"/>
    <col min="11" max="11" width="4.28125" style="0" customWidth="1"/>
    <col min="12" max="12" width="11.00390625" style="0" customWidth="1"/>
    <col min="13" max="13" width="13.00390625" style="0" customWidth="1"/>
    <col min="14" max="14" width="13.421875" style="0" customWidth="1"/>
    <col min="15" max="15" width="13.8515625" style="0" customWidth="1"/>
    <col min="16" max="16" width="13.28125" style="0" customWidth="1"/>
    <col min="17" max="17" width="16.140625" style="0" customWidth="1"/>
    <col min="18" max="18" width="16.57421875" style="0" customWidth="1"/>
    <col min="20" max="20" width="13.7109375" style="0" customWidth="1"/>
    <col min="21" max="21" width="15.8515625" style="0" customWidth="1"/>
  </cols>
  <sheetData>
    <row r="1" ht="18">
      <c r="A1" s="2" t="s">
        <v>53</v>
      </c>
    </row>
    <row r="2" ht="2.25" customHeight="1"/>
    <row r="3" ht="20.25" customHeight="1"/>
    <row r="4" spans="1:20" s="12" customFormat="1" ht="102">
      <c r="A4" s="11"/>
      <c r="B4" s="11" t="s">
        <v>0</v>
      </c>
      <c r="C4" s="11" t="s">
        <v>1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30</v>
      </c>
      <c r="I4" s="11" t="s">
        <v>31</v>
      </c>
      <c r="J4" s="11" t="s">
        <v>21</v>
      </c>
      <c r="K4" s="11"/>
      <c r="L4" s="11" t="s">
        <v>32</v>
      </c>
      <c r="M4" s="11" t="s">
        <v>33</v>
      </c>
      <c r="N4" s="11" t="s">
        <v>34</v>
      </c>
      <c r="O4" s="11" t="s">
        <v>35</v>
      </c>
      <c r="P4" s="11" t="s">
        <v>43</v>
      </c>
      <c r="Q4" s="11" t="s">
        <v>46</v>
      </c>
      <c r="R4" s="11" t="s">
        <v>47</v>
      </c>
      <c r="T4" s="17" t="s">
        <v>50</v>
      </c>
    </row>
    <row r="5" spans="1:20" ht="21.75" customHeight="1">
      <c r="A5" s="3" t="s">
        <v>2</v>
      </c>
      <c r="B5" s="4">
        <v>4500</v>
      </c>
      <c r="C5" s="4">
        <v>4500</v>
      </c>
      <c r="D5" s="4">
        <v>4500</v>
      </c>
      <c r="E5" s="4">
        <v>4500</v>
      </c>
      <c r="F5" s="4">
        <v>4500</v>
      </c>
      <c r="G5" s="4">
        <v>4500</v>
      </c>
      <c r="H5" s="4">
        <v>0</v>
      </c>
      <c r="I5" s="4">
        <v>0</v>
      </c>
      <c r="J5" s="5">
        <v>5000</v>
      </c>
      <c r="K5" s="5"/>
      <c r="L5" s="4">
        <v>5000</v>
      </c>
      <c r="M5" s="4">
        <v>5000</v>
      </c>
      <c r="N5" s="4">
        <v>5000</v>
      </c>
      <c r="O5" s="4">
        <v>5000</v>
      </c>
      <c r="P5" s="4">
        <v>5000</v>
      </c>
      <c r="Q5" s="4">
        <v>5000</v>
      </c>
      <c r="R5" s="4">
        <v>5000</v>
      </c>
      <c r="T5" s="4">
        <v>5000</v>
      </c>
    </row>
    <row r="6" spans="1:20" ht="12.75">
      <c r="A6" s="3" t="s">
        <v>7</v>
      </c>
      <c r="B6" s="4">
        <v>4364</v>
      </c>
      <c r="C6" s="4">
        <v>3560</v>
      </c>
      <c r="D6" s="4">
        <v>3348</v>
      </c>
      <c r="E6" s="4">
        <v>2580</v>
      </c>
      <c r="F6" s="4">
        <v>2390</v>
      </c>
      <c r="G6" s="4">
        <v>1665</v>
      </c>
      <c r="H6" s="4">
        <v>4364</v>
      </c>
      <c r="I6" s="4">
        <v>2390</v>
      </c>
      <c r="J6" s="5">
        <v>1000</v>
      </c>
      <c r="K6" s="5"/>
      <c r="L6" s="4">
        <v>200</v>
      </c>
      <c r="M6" s="4">
        <v>1181</v>
      </c>
      <c r="N6" s="4">
        <f>981/2+(0.0006*215/2/0.001)+200</f>
        <v>755</v>
      </c>
      <c r="O6" s="4">
        <v>1000</v>
      </c>
      <c r="P6" s="4">
        <f>1181*2</f>
        <v>2362</v>
      </c>
      <c r="Q6" s="4">
        <f>1181*2</f>
        <v>2362</v>
      </c>
      <c r="R6" s="4">
        <f>981/2+(0.0006*215/2/0.001)+200</f>
        <v>755</v>
      </c>
      <c r="T6" s="4">
        <f>981/2+(0.0006*215/2/0.001)+200</f>
        <v>755</v>
      </c>
    </row>
    <row r="7" spans="1:20" ht="14.25" customHeight="1">
      <c r="A7" s="3" t="s">
        <v>8</v>
      </c>
      <c r="B7" s="4">
        <v>1014</v>
      </c>
      <c r="C7" s="4">
        <v>828</v>
      </c>
      <c r="D7" s="4">
        <v>779</v>
      </c>
      <c r="E7" s="4">
        <v>600</v>
      </c>
      <c r="F7" s="4">
        <v>556</v>
      </c>
      <c r="G7" s="4">
        <v>389</v>
      </c>
      <c r="H7" s="4">
        <v>4364</v>
      </c>
      <c r="I7" s="4">
        <v>2390</v>
      </c>
      <c r="J7" s="5">
        <v>1000</v>
      </c>
      <c r="K7" s="5"/>
      <c r="L7" s="4">
        <v>200</v>
      </c>
      <c r="M7" s="4">
        <v>1181</v>
      </c>
      <c r="N7" s="4">
        <f>N6</f>
        <v>755</v>
      </c>
      <c r="O7" s="4">
        <f>O6</f>
        <v>1000</v>
      </c>
      <c r="P7" s="4">
        <f>P6</f>
        <v>2362</v>
      </c>
      <c r="Q7" s="4">
        <f>Q6</f>
        <v>2362</v>
      </c>
      <c r="R7" s="4">
        <f>R6</f>
        <v>755</v>
      </c>
      <c r="T7" s="4">
        <f>T6</f>
        <v>755</v>
      </c>
    </row>
    <row r="8" spans="1:20" ht="14.25" customHeight="1">
      <c r="A8" s="3" t="s">
        <v>3</v>
      </c>
      <c r="B8" s="4">
        <v>206</v>
      </c>
      <c r="C8" s="4">
        <v>755</v>
      </c>
      <c r="D8" s="4">
        <v>161</v>
      </c>
      <c r="E8" s="4">
        <v>623</v>
      </c>
      <c r="F8" s="4">
        <v>117</v>
      </c>
      <c r="G8" s="4">
        <v>493</v>
      </c>
      <c r="H8" s="4">
        <v>0</v>
      </c>
      <c r="I8" s="4">
        <v>0</v>
      </c>
      <c r="J8" s="5">
        <v>0</v>
      </c>
      <c r="K8" s="5"/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T8" s="4">
        <v>0</v>
      </c>
    </row>
    <row r="9" spans="1:20" ht="14.25" customHeight="1">
      <c r="A9" s="3"/>
      <c r="B9" s="4"/>
      <c r="C9" s="4"/>
      <c r="D9" s="4"/>
      <c r="E9" s="4"/>
      <c r="F9" s="4"/>
      <c r="G9" s="4"/>
      <c r="H9" s="4"/>
      <c r="I9" s="4"/>
      <c r="J9" s="6"/>
      <c r="K9" s="6"/>
      <c r="L9" s="4"/>
      <c r="M9" s="4"/>
      <c r="N9" s="4"/>
      <c r="O9" s="4"/>
      <c r="P9" s="4"/>
      <c r="Q9" s="4"/>
      <c r="R9" s="4"/>
      <c r="T9" s="4"/>
    </row>
    <row r="10" spans="1:20" ht="12.75">
      <c r="A10" s="3" t="s">
        <v>4</v>
      </c>
      <c r="B10" s="4">
        <f aca="true" t="shared" si="0" ref="B10:G10">B5/B24</f>
        <v>58441.558441558445</v>
      </c>
      <c r="C10" s="4">
        <f t="shared" si="0"/>
        <v>58441.558441558445</v>
      </c>
      <c r="D10" s="4">
        <f t="shared" si="0"/>
        <v>58441.558441558445</v>
      </c>
      <c r="E10" s="4">
        <f t="shared" si="0"/>
        <v>58441.558441558445</v>
      </c>
      <c r="F10" s="4">
        <f t="shared" si="0"/>
        <v>58441.558441558445</v>
      </c>
      <c r="G10" s="4">
        <f t="shared" si="0"/>
        <v>58441.558441558445</v>
      </c>
      <c r="H10" s="4">
        <f>H5/H24</f>
        <v>0</v>
      </c>
      <c r="I10" s="4">
        <f>I5/I24</f>
        <v>0</v>
      </c>
      <c r="J10" s="5" t="s">
        <v>22</v>
      </c>
      <c r="K10" s="5"/>
      <c r="L10" s="4">
        <f>L5/L24</f>
        <v>64935.06493506493</v>
      </c>
      <c r="M10" s="4">
        <f>M5/M24</f>
        <v>64935.06493506493</v>
      </c>
      <c r="N10" s="4">
        <f>N5/N24</f>
        <v>64935.06493506493</v>
      </c>
      <c r="O10" s="7" t="s">
        <v>22</v>
      </c>
      <c r="P10" s="7" t="s">
        <v>22</v>
      </c>
      <c r="Q10" s="7" t="s">
        <v>22</v>
      </c>
      <c r="R10" s="4">
        <f>R5/R24</f>
        <v>64935.06493506493</v>
      </c>
      <c r="T10" s="4">
        <f>T5/T24</f>
        <v>64935.06493506493</v>
      </c>
    </row>
    <row r="11" spans="1:20" ht="12.75">
      <c r="A11" s="3" t="s">
        <v>9</v>
      </c>
      <c r="B11" s="4">
        <f aca="true" t="shared" si="1" ref="B11:G11">(B7+B5)/B24</f>
        <v>71610.38961038961</v>
      </c>
      <c r="C11" s="4">
        <f t="shared" si="1"/>
        <v>69194.8051948052</v>
      </c>
      <c r="D11" s="4">
        <f t="shared" si="1"/>
        <v>68558.44155844155</v>
      </c>
      <c r="E11" s="4">
        <f t="shared" si="1"/>
        <v>66233.76623376623</v>
      </c>
      <c r="F11" s="4">
        <f t="shared" si="1"/>
        <v>65662.33766233767</v>
      </c>
      <c r="G11" s="4">
        <f t="shared" si="1"/>
        <v>63493.506493506495</v>
      </c>
      <c r="H11" s="4">
        <f>(H7+H5)/H24</f>
        <v>56675.32467532468</v>
      </c>
      <c r="I11" s="4">
        <f>(I7+I5)/I24</f>
        <v>31038.96103896104</v>
      </c>
      <c r="J11" s="5" t="s">
        <v>22</v>
      </c>
      <c r="K11" s="5"/>
      <c r="L11" s="4">
        <f>(L7+L5)/L24</f>
        <v>67532.46753246753</v>
      </c>
      <c r="M11" s="4">
        <f>(M7+M5)/M24</f>
        <v>80272.72727272728</v>
      </c>
      <c r="N11" s="4">
        <f>(N7+N5)/N24</f>
        <v>74740.25974025975</v>
      </c>
      <c r="O11" s="7" t="s">
        <v>22</v>
      </c>
      <c r="P11" s="7" t="s">
        <v>22</v>
      </c>
      <c r="Q11" s="7" t="s">
        <v>22</v>
      </c>
      <c r="R11" s="4">
        <f>(R7+R5)/R24</f>
        <v>74740.25974025975</v>
      </c>
      <c r="T11" s="4">
        <f>(T7+T5)/T24</f>
        <v>74740.25974025975</v>
      </c>
    </row>
    <row r="12" spans="1:20" ht="12.75">
      <c r="A12" s="3" t="s">
        <v>5</v>
      </c>
      <c r="B12" s="4">
        <f aca="true" t="shared" si="2" ref="B12:G12">B8/B24</f>
        <v>2675.3246753246754</v>
      </c>
      <c r="C12" s="4">
        <f t="shared" si="2"/>
        <v>9805.194805194806</v>
      </c>
      <c r="D12" s="4">
        <f t="shared" si="2"/>
        <v>2090.909090909091</v>
      </c>
      <c r="E12" s="4">
        <f t="shared" si="2"/>
        <v>8090.909090909091</v>
      </c>
      <c r="F12" s="4">
        <f t="shared" si="2"/>
        <v>1519.4805194805194</v>
      </c>
      <c r="G12" s="4">
        <f t="shared" si="2"/>
        <v>6402.597402597403</v>
      </c>
      <c r="H12" s="4">
        <f>H8/H24</f>
        <v>0</v>
      </c>
      <c r="I12" s="4">
        <f>I8/I24</f>
        <v>0</v>
      </c>
      <c r="J12" s="5" t="s">
        <v>22</v>
      </c>
      <c r="K12" s="5"/>
      <c r="L12" s="4">
        <f>L8/L24</f>
        <v>0</v>
      </c>
      <c r="M12" s="4">
        <f>M8/M24</f>
        <v>0</v>
      </c>
      <c r="N12" s="4">
        <f>N8/N24</f>
        <v>0</v>
      </c>
      <c r="O12" s="7" t="s">
        <v>22</v>
      </c>
      <c r="P12" s="7" t="s">
        <v>22</v>
      </c>
      <c r="Q12" s="7" t="s">
        <v>22</v>
      </c>
      <c r="R12" s="4">
        <f>R8/R24</f>
        <v>0</v>
      </c>
      <c r="T12" s="4">
        <f>T8/T24</f>
        <v>0</v>
      </c>
    </row>
    <row r="13" spans="1:20" ht="12.75">
      <c r="A13" s="3" t="s">
        <v>6</v>
      </c>
      <c r="B13" s="4">
        <v>71760</v>
      </c>
      <c r="C13" s="4">
        <v>71249</v>
      </c>
      <c r="D13" s="4">
        <v>68654</v>
      </c>
      <c r="E13" s="4">
        <v>67700</v>
      </c>
      <c r="F13" s="4">
        <v>65715</v>
      </c>
      <c r="G13" s="4">
        <v>64444</v>
      </c>
      <c r="H13" s="4">
        <v>56675</v>
      </c>
      <c r="I13" s="4">
        <v>31039</v>
      </c>
      <c r="J13" s="5" t="s">
        <v>22</v>
      </c>
      <c r="K13" s="5"/>
      <c r="L13" s="4">
        <f>L11</f>
        <v>67532.46753246753</v>
      </c>
      <c r="M13" s="4">
        <f>M11</f>
        <v>80272.72727272728</v>
      </c>
      <c r="N13" s="4">
        <f>N11</f>
        <v>74740.25974025975</v>
      </c>
      <c r="O13" s="7" t="s">
        <v>22</v>
      </c>
      <c r="P13" s="7" t="s">
        <v>22</v>
      </c>
      <c r="Q13" s="7" t="s">
        <v>22</v>
      </c>
      <c r="R13" s="4">
        <f>R11</f>
        <v>74740.25974025975</v>
      </c>
      <c r="T13" s="4">
        <f>T11</f>
        <v>74740.25974025975</v>
      </c>
    </row>
    <row r="14" spans="1:20" ht="12.75">
      <c r="A14" s="3" t="s">
        <v>10</v>
      </c>
      <c r="B14" s="4">
        <f aca="true" t="shared" si="3" ref="B14:G14">B21/(B12*2)</f>
        <v>34.5752427184466</v>
      </c>
      <c r="C14" s="4">
        <f t="shared" si="3"/>
        <v>9.433774834437086</v>
      </c>
      <c r="D14" s="4">
        <f t="shared" si="3"/>
        <v>44.23913043478261</v>
      </c>
      <c r="E14" s="4">
        <f t="shared" si="3"/>
        <v>11.432584269662922</v>
      </c>
      <c r="F14" s="4">
        <f t="shared" si="3"/>
        <v>60.876068376068375</v>
      </c>
      <c r="G14" s="4">
        <f t="shared" si="3"/>
        <v>14.447261663286003</v>
      </c>
      <c r="H14" s="4"/>
      <c r="I14" s="4"/>
      <c r="J14" s="5" t="s">
        <v>22</v>
      </c>
      <c r="K14" s="5"/>
      <c r="L14" s="4"/>
      <c r="M14" s="4"/>
      <c r="N14" s="4"/>
      <c r="O14" s="7" t="s">
        <v>22</v>
      </c>
      <c r="P14" s="7" t="s">
        <v>22</v>
      </c>
      <c r="Q14" s="7" t="s">
        <v>22</v>
      </c>
      <c r="R14" s="4"/>
      <c r="T14" s="4"/>
    </row>
    <row r="15" spans="1:20" ht="31.5" customHeight="1">
      <c r="A15" s="3" t="s">
        <v>28</v>
      </c>
      <c r="B15" s="7">
        <f aca="true" t="shared" si="4" ref="B15:G15">B21/B13</f>
        <v>2.5780379041248604</v>
      </c>
      <c r="C15" s="7">
        <f t="shared" si="4"/>
        <v>2.5965276705637974</v>
      </c>
      <c r="D15" s="7">
        <f t="shared" si="4"/>
        <v>2.694671832668162</v>
      </c>
      <c r="E15" s="7">
        <f t="shared" si="4"/>
        <v>2.7326440177252587</v>
      </c>
      <c r="F15" s="7">
        <f t="shared" si="4"/>
        <v>2.815186791447919</v>
      </c>
      <c r="G15" s="7">
        <f t="shared" si="4"/>
        <v>2.8707094531686423</v>
      </c>
      <c r="H15" s="7">
        <f>H21/H13</f>
        <v>3.2642258491398324</v>
      </c>
      <c r="I15" s="7">
        <f>I21/I13</f>
        <v>5.960243564547827</v>
      </c>
      <c r="J15" s="5" t="s">
        <v>22</v>
      </c>
      <c r="K15" s="5"/>
      <c r="L15" s="7">
        <f>L21/L13</f>
        <v>2.7394230769230767</v>
      </c>
      <c r="M15" s="7">
        <f>M21/M13</f>
        <v>2.304643261608154</v>
      </c>
      <c r="N15" s="7">
        <f>N21/N13</f>
        <v>2.475238922675934</v>
      </c>
      <c r="O15" s="7" t="s">
        <v>22</v>
      </c>
      <c r="P15" s="7" t="s">
        <v>22</v>
      </c>
      <c r="Q15" s="7" t="s">
        <v>22</v>
      </c>
      <c r="R15" s="7">
        <f>R21/R13</f>
        <v>2.475238922675934</v>
      </c>
      <c r="T15" s="7">
        <f>T21/T13</f>
        <v>2.475238922675934</v>
      </c>
    </row>
    <row r="16" spans="1:20" ht="12.75">
      <c r="A16" s="3"/>
      <c r="B16" s="8"/>
      <c r="C16" s="4"/>
      <c r="D16" s="4"/>
      <c r="E16" s="4"/>
      <c r="F16" s="4"/>
      <c r="G16" s="4"/>
      <c r="H16" s="8"/>
      <c r="I16" s="4"/>
      <c r="J16" s="6"/>
      <c r="K16" s="6"/>
      <c r="L16" s="4"/>
      <c r="M16" s="4"/>
      <c r="N16" s="4"/>
      <c r="O16" s="4"/>
      <c r="P16" s="4"/>
      <c r="Q16" s="4"/>
      <c r="R16" s="4"/>
      <c r="T16" s="4"/>
    </row>
    <row r="17" spans="1:21" ht="12.75">
      <c r="A17" s="3" t="s">
        <v>12</v>
      </c>
      <c r="B17" s="4">
        <f aca="true" t="shared" si="5" ref="B17:G17">B5/B23</f>
        <v>10204.08163265306</v>
      </c>
      <c r="C17" s="4">
        <f t="shared" si="5"/>
        <v>10204.08163265306</v>
      </c>
      <c r="D17" s="4">
        <f t="shared" si="5"/>
        <v>10204.08163265306</v>
      </c>
      <c r="E17" s="4">
        <f t="shared" si="5"/>
        <v>10204.08163265306</v>
      </c>
      <c r="F17" s="4">
        <f t="shared" si="5"/>
        <v>10204.08163265306</v>
      </c>
      <c r="G17" s="4">
        <f t="shared" si="5"/>
        <v>10204.08163265306</v>
      </c>
      <c r="H17" s="4">
        <f>H5/H23</f>
        <v>0</v>
      </c>
      <c r="I17" s="4">
        <f>I5/I23</f>
        <v>0</v>
      </c>
      <c r="J17" s="5">
        <f>J5/J23</f>
        <v>11337.868480725623</v>
      </c>
      <c r="K17" s="5"/>
      <c r="L17" s="4">
        <f aca="true" t="shared" si="6" ref="L17:R17">L5/L23</f>
        <v>10288.0658436214</v>
      </c>
      <c r="M17" s="4">
        <f t="shared" si="6"/>
        <v>10288.0658436214</v>
      </c>
      <c r="N17" s="4">
        <f t="shared" si="6"/>
        <v>10288.0658436214</v>
      </c>
      <c r="O17" s="4">
        <f t="shared" si="6"/>
        <v>10288.0658436214</v>
      </c>
      <c r="P17" s="4">
        <f t="shared" si="6"/>
        <v>10288.0658436214</v>
      </c>
      <c r="Q17" s="4">
        <f t="shared" si="6"/>
        <v>17667.8445229682</v>
      </c>
      <c r="R17" s="4">
        <f t="shared" si="6"/>
        <v>17667.8445229682</v>
      </c>
      <c r="S17" s="16" t="s">
        <v>45</v>
      </c>
      <c r="T17" s="4">
        <f>T5/T23</f>
        <v>11312.217194570136</v>
      </c>
      <c r="U17" s="1" t="s">
        <v>51</v>
      </c>
    </row>
    <row r="18" spans="1:21" ht="14.25" customHeight="1">
      <c r="A18" s="3" t="s">
        <v>11</v>
      </c>
      <c r="B18" s="4">
        <f aca="true" t="shared" si="7" ref="B18:G18">(B5+B7)/B23</f>
        <v>12503.401360544218</v>
      </c>
      <c r="C18" s="4">
        <f t="shared" si="7"/>
        <v>12081.632653061224</v>
      </c>
      <c r="D18" s="4">
        <f t="shared" si="7"/>
        <v>11970.521541950113</v>
      </c>
      <c r="E18" s="4">
        <f t="shared" si="7"/>
        <v>11564.625850340137</v>
      </c>
      <c r="F18" s="4">
        <f t="shared" si="7"/>
        <v>11464.85260770975</v>
      </c>
      <c r="G18" s="4">
        <f t="shared" si="7"/>
        <v>11086.167800453515</v>
      </c>
      <c r="H18" s="4">
        <f>(H5+H7)/H23</f>
        <v>9895.691609977324</v>
      </c>
      <c r="I18" s="4">
        <f>(I5+I7)/I23</f>
        <v>5419.501133786848</v>
      </c>
      <c r="J18" s="5">
        <f>(J5+J7)/J23</f>
        <v>13605.442176870749</v>
      </c>
      <c r="K18" s="5"/>
      <c r="L18" s="4">
        <f aca="true" t="shared" si="8" ref="L18:R18">(L5+L7)/L23</f>
        <v>10699.588477366255</v>
      </c>
      <c r="M18" s="4">
        <f t="shared" si="8"/>
        <v>12718.106995884775</v>
      </c>
      <c r="N18" s="4">
        <f t="shared" si="8"/>
        <v>11841.563786008232</v>
      </c>
      <c r="O18" s="4">
        <f t="shared" si="8"/>
        <v>12345.67901234568</v>
      </c>
      <c r="P18" s="4">
        <f t="shared" si="8"/>
        <v>15148.148148148148</v>
      </c>
      <c r="Q18" s="4">
        <f t="shared" si="8"/>
        <v>26014.134275618377</v>
      </c>
      <c r="R18" s="4">
        <f t="shared" si="8"/>
        <v>20335.689045936397</v>
      </c>
      <c r="S18" s="16" t="s">
        <v>45</v>
      </c>
      <c r="T18" s="4">
        <f>(T5+T7)/T23</f>
        <v>13020.361990950227</v>
      </c>
      <c r="U18" s="1" t="s">
        <v>51</v>
      </c>
    </row>
    <row r="19" spans="1:21" ht="19.5" customHeight="1">
      <c r="A19" s="3" t="s">
        <v>27</v>
      </c>
      <c r="B19" s="7">
        <f aca="true" t="shared" si="9" ref="B19:T19">B22/B18</f>
        <v>1.5690130576713819</v>
      </c>
      <c r="C19" s="7">
        <f t="shared" si="9"/>
        <v>1.6237871621621622</v>
      </c>
      <c r="D19" s="7">
        <f t="shared" si="9"/>
        <v>1.638859253646524</v>
      </c>
      <c r="E19" s="7">
        <f t="shared" si="9"/>
        <v>1.6963799999999998</v>
      </c>
      <c r="F19" s="7">
        <f t="shared" si="9"/>
        <v>1.7111428006329115</v>
      </c>
      <c r="G19" s="7">
        <f t="shared" si="9"/>
        <v>1.7695925547146656</v>
      </c>
      <c r="H19" s="7">
        <f t="shared" si="9"/>
        <v>1.9824789184234648</v>
      </c>
      <c r="I19" s="7">
        <f t="shared" si="9"/>
        <v>3.6198903765690376</v>
      </c>
      <c r="J19" s="9">
        <f>J22/J18</f>
        <v>1.4419229999999998</v>
      </c>
      <c r="K19" s="9"/>
      <c r="L19" s="7">
        <f t="shared" si="9"/>
        <v>1.8335284615384617</v>
      </c>
      <c r="M19" s="7">
        <f t="shared" si="9"/>
        <v>1.5425251577414656</v>
      </c>
      <c r="N19" s="7">
        <f t="shared" si="9"/>
        <v>1.656706863596872</v>
      </c>
      <c r="O19" s="7">
        <f t="shared" si="9"/>
        <v>1.5890579999999999</v>
      </c>
      <c r="P19" s="7">
        <f t="shared" si="9"/>
        <v>1.295075794621027</v>
      </c>
      <c r="Q19" s="7">
        <f t="shared" si="9"/>
        <v>1.6337272480304263</v>
      </c>
      <c r="R19" s="7">
        <f t="shared" si="9"/>
        <v>2.08992180712424</v>
      </c>
      <c r="S19" s="16" t="s">
        <v>45</v>
      </c>
      <c r="T19" s="7">
        <f t="shared" si="9"/>
        <v>2.688097306689835</v>
      </c>
      <c r="U19" s="1"/>
    </row>
    <row r="20" spans="1:21" ht="12.75">
      <c r="A20" s="3"/>
      <c r="B20" s="10"/>
      <c r="C20" s="10"/>
      <c r="D20" s="10"/>
      <c r="E20" s="10"/>
      <c r="F20" s="10"/>
      <c r="G20" s="10"/>
      <c r="H20" s="10"/>
      <c r="I20" s="10"/>
      <c r="J20" s="6"/>
      <c r="K20" s="6"/>
      <c r="L20" s="10"/>
      <c r="M20" s="8"/>
      <c r="N20" s="10"/>
      <c r="O20" s="10"/>
      <c r="P20" s="10"/>
      <c r="Q20" s="10"/>
      <c r="R20" s="10"/>
      <c r="T20" s="10"/>
      <c r="U20" s="1"/>
    </row>
    <row r="21" spans="1:21" ht="12.75">
      <c r="A21" s="3" t="s">
        <v>14</v>
      </c>
      <c r="B21" s="10">
        <v>185000</v>
      </c>
      <c r="C21" s="10">
        <v>185000</v>
      </c>
      <c r="D21" s="10">
        <v>185000</v>
      </c>
      <c r="E21" s="10">
        <v>185000</v>
      </c>
      <c r="F21" s="10">
        <v>185000</v>
      </c>
      <c r="G21" s="10">
        <v>185000</v>
      </c>
      <c r="H21" s="10">
        <v>185000</v>
      </c>
      <c r="I21" s="10">
        <v>185000</v>
      </c>
      <c r="J21" s="5" t="s">
        <v>22</v>
      </c>
      <c r="K21" s="5"/>
      <c r="L21" s="10">
        <v>185000</v>
      </c>
      <c r="M21" s="10">
        <v>185000</v>
      </c>
      <c r="N21" s="10">
        <v>185000</v>
      </c>
      <c r="O21" s="10">
        <v>185000</v>
      </c>
      <c r="P21" s="10">
        <v>185000</v>
      </c>
      <c r="Q21" s="10">
        <v>185000</v>
      </c>
      <c r="R21" s="10">
        <v>185000</v>
      </c>
      <c r="T21" s="10">
        <v>185000</v>
      </c>
      <c r="U21" s="1"/>
    </row>
    <row r="22" spans="1:21" ht="12.75">
      <c r="A22" s="3" t="s">
        <v>54</v>
      </c>
      <c r="B22" s="10">
        <f>34000*0.577</f>
        <v>19618</v>
      </c>
      <c r="C22" s="10">
        <f aca="true" t="shared" si="10" ref="C22:J22">34000*0.577</f>
        <v>19618</v>
      </c>
      <c r="D22" s="10">
        <f t="shared" si="10"/>
        <v>19618</v>
      </c>
      <c r="E22" s="10">
        <f t="shared" si="10"/>
        <v>19618</v>
      </c>
      <c r="F22" s="10">
        <f t="shared" si="10"/>
        <v>19618</v>
      </c>
      <c r="G22" s="10">
        <f t="shared" si="10"/>
        <v>19618</v>
      </c>
      <c r="H22" s="10">
        <f>34000*0.577</f>
        <v>19618</v>
      </c>
      <c r="I22" s="10">
        <f>34000*0.577</f>
        <v>19618</v>
      </c>
      <c r="J22" s="10">
        <f t="shared" si="10"/>
        <v>19618</v>
      </c>
      <c r="K22" s="10"/>
      <c r="L22" s="10">
        <f>34000*0.577</f>
        <v>19618</v>
      </c>
      <c r="M22" s="10">
        <f>34000*0.577</f>
        <v>19618</v>
      </c>
      <c r="N22" s="10">
        <f>34000*0.577</f>
        <v>19618</v>
      </c>
      <c r="O22" s="10">
        <f>34000*0.577</f>
        <v>19618</v>
      </c>
      <c r="P22" s="10">
        <f>34000*0.577</f>
        <v>19618</v>
      </c>
      <c r="Q22" s="10">
        <f>85000/2</f>
        <v>42500</v>
      </c>
      <c r="R22" s="10">
        <f>85000/2</f>
        <v>42500</v>
      </c>
      <c r="S22" s="16" t="s">
        <v>45</v>
      </c>
      <c r="T22" s="10">
        <v>35000</v>
      </c>
      <c r="U22" s="1" t="s">
        <v>52</v>
      </c>
    </row>
    <row r="23" spans="1:21" ht="12.75">
      <c r="A23" s="3" t="s">
        <v>13</v>
      </c>
      <c r="B23" s="10">
        <v>0.441</v>
      </c>
      <c r="C23" s="10">
        <v>0.441</v>
      </c>
      <c r="D23" s="10">
        <v>0.441</v>
      </c>
      <c r="E23" s="10">
        <v>0.441</v>
      </c>
      <c r="F23" s="10">
        <v>0.441</v>
      </c>
      <c r="G23" s="10">
        <v>0.441</v>
      </c>
      <c r="H23" s="10">
        <v>0.441</v>
      </c>
      <c r="I23" s="10">
        <v>0.441</v>
      </c>
      <c r="J23" s="6">
        <v>0.441</v>
      </c>
      <c r="K23" s="6"/>
      <c r="L23" s="10">
        <v>0.486</v>
      </c>
      <c r="M23" s="10">
        <v>0.486</v>
      </c>
      <c r="N23" s="10">
        <v>0.486</v>
      </c>
      <c r="O23" s="10">
        <v>0.486</v>
      </c>
      <c r="P23" s="10">
        <v>0.486</v>
      </c>
      <c r="Q23" s="10">
        <v>0.283</v>
      </c>
      <c r="R23" s="10">
        <v>0.283</v>
      </c>
      <c r="S23" s="16" t="s">
        <v>45</v>
      </c>
      <c r="T23" s="10">
        <v>0.442</v>
      </c>
      <c r="U23" s="1" t="s">
        <v>51</v>
      </c>
    </row>
    <row r="24" spans="1:21" ht="12.75">
      <c r="A24" s="3" t="s">
        <v>15</v>
      </c>
      <c r="B24" s="10">
        <v>0.077</v>
      </c>
      <c r="C24" s="10">
        <v>0.077</v>
      </c>
      <c r="D24" s="10">
        <v>0.077</v>
      </c>
      <c r="E24" s="10">
        <v>0.077</v>
      </c>
      <c r="F24" s="10">
        <v>0.077</v>
      </c>
      <c r="G24" s="10">
        <v>0.077</v>
      </c>
      <c r="H24" s="10">
        <v>0.077</v>
      </c>
      <c r="I24" s="10">
        <v>0.077</v>
      </c>
      <c r="J24" s="5" t="s">
        <v>22</v>
      </c>
      <c r="K24" s="5"/>
      <c r="L24" s="10">
        <v>0.077</v>
      </c>
      <c r="M24" s="10">
        <v>0.077</v>
      </c>
      <c r="N24" s="10">
        <v>0.077</v>
      </c>
      <c r="O24" s="10">
        <v>0.077</v>
      </c>
      <c r="P24" s="10">
        <v>0.077</v>
      </c>
      <c r="Q24" s="10" t="s">
        <v>22</v>
      </c>
      <c r="R24" s="10">
        <v>0.077</v>
      </c>
      <c r="T24" s="10">
        <v>0.077</v>
      </c>
      <c r="U24" s="1"/>
    </row>
    <row r="25" spans="1:21" ht="12.75">
      <c r="A25" s="3"/>
      <c r="B25" s="10"/>
      <c r="C25" s="10"/>
      <c r="D25" s="10"/>
      <c r="E25" s="10"/>
      <c r="F25" s="10"/>
      <c r="G25" s="10"/>
      <c r="H25" s="10"/>
      <c r="I25" s="10"/>
      <c r="J25" s="6"/>
      <c r="K25" s="6"/>
      <c r="L25" s="10"/>
      <c r="M25" s="10"/>
      <c r="N25" s="10"/>
      <c r="O25" s="10"/>
      <c r="P25" s="10"/>
      <c r="Q25" s="10"/>
      <c r="R25" s="10"/>
      <c r="T25" s="10"/>
      <c r="U25" s="1"/>
    </row>
    <row r="26" spans="1:21" ht="12.75">
      <c r="A26" s="3" t="s">
        <v>18</v>
      </c>
      <c r="B26" s="4">
        <f aca="true" t="shared" si="11" ref="B26:G26">2.5*(B13-B10)/2</f>
        <v>16648.051948051943</v>
      </c>
      <c r="C26" s="4">
        <f t="shared" si="11"/>
        <v>16009.301948051943</v>
      </c>
      <c r="D26" s="4">
        <f t="shared" si="11"/>
        <v>12765.551948051943</v>
      </c>
      <c r="E26" s="4">
        <f t="shared" si="11"/>
        <v>11573.051948051943</v>
      </c>
      <c r="F26" s="4">
        <f t="shared" si="11"/>
        <v>9091.801948051943</v>
      </c>
      <c r="G26" s="4">
        <f t="shared" si="11"/>
        <v>7503.051948051943</v>
      </c>
      <c r="H26" s="4">
        <f>2.5*(H13-H10)/2</f>
        <v>70843.75</v>
      </c>
      <c r="I26" s="4">
        <f>2.5*(I13-I10)/2</f>
        <v>38798.75</v>
      </c>
      <c r="J26" s="5" t="s">
        <v>22</v>
      </c>
      <c r="K26" s="5"/>
      <c r="L26" s="4">
        <f>2.5*(L13-L10)/2</f>
        <v>3246.753246753251</v>
      </c>
      <c r="M26" s="4">
        <f>2.5*(M13-M10)/2</f>
        <v>19172.077922077933</v>
      </c>
      <c r="N26" s="4">
        <f>2.5*(N13-N10)/2</f>
        <v>12256.493506493516</v>
      </c>
      <c r="O26" s="7" t="s">
        <v>22</v>
      </c>
      <c r="P26" s="7" t="s">
        <v>22</v>
      </c>
      <c r="Q26" s="7" t="s">
        <v>22</v>
      </c>
      <c r="R26" s="4">
        <f>2.5*(R13-R10)/2</f>
        <v>12256.493506493516</v>
      </c>
      <c r="T26" s="4">
        <f>2.5*(T13-T10)/2</f>
        <v>12256.493506493516</v>
      </c>
      <c r="U26" s="1"/>
    </row>
    <row r="27" spans="1:21" ht="12.75">
      <c r="A27" s="3" t="s">
        <v>17</v>
      </c>
      <c r="B27" s="4">
        <f aca="true" t="shared" si="12" ref="B27:G27">B10+(B13-B10)/2</f>
        <v>65100.77922077922</v>
      </c>
      <c r="C27" s="4">
        <f t="shared" si="12"/>
        <v>64845.27922077922</v>
      </c>
      <c r="D27" s="4">
        <f t="shared" si="12"/>
        <v>63547.77922077922</v>
      </c>
      <c r="E27" s="4">
        <f t="shared" si="12"/>
        <v>63070.77922077922</v>
      </c>
      <c r="F27" s="4">
        <f t="shared" si="12"/>
        <v>62078.27922077922</v>
      </c>
      <c r="G27" s="4">
        <f t="shared" si="12"/>
        <v>61442.77922077922</v>
      </c>
      <c r="H27" s="4">
        <f>H10+(H13-H10)/2</f>
        <v>28337.5</v>
      </c>
      <c r="I27" s="4">
        <f>I10+(I13-I10)/2</f>
        <v>15519.5</v>
      </c>
      <c r="J27" s="5" t="s">
        <v>22</v>
      </c>
      <c r="K27" s="5"/>
      <c r="L27" s="4">
        <f>L10+(L13-L10)/2</f>
        <v>66233.76623376623</v>
      </c>
      <c r="M27" s="4">
        <f>M10+(M13-M10)/2</f>
        <v>72603.89610389611</v>
      </c>
      <c r="N27" s="4">
        <f>N10+(N13-N10)/2</f>
        <v>69837.66233766233</v>
      </c>
      <c r="O27" s="7" t="s">
        <v>22</v>
      </c>
      <c r="P27" s="7" t="s">
        <v>22</v>
      </c>
      <c r="Q27" s="7" t="s">
        <v>22</v>
      </c>
      <c r="R27" s="4">
        <f>R10+(R13-R10)/2</f>
        <v>69837.66233766233</v>
      </c>
      <c r="T27" s="4">
        <f>T10+(T13-T10)/2</f>
        <v>69837.66233766233</v>
      </c>
      <c r="U27" s="1"/>
    </row>
    <row r="28" spans="1:21" ht="12.75">
      <c r="A28" s="3"/>
      <c r="B28" s="4"/>
      <c r="C28" s="4"/>
      <c r="D28" s="4"/>
      <c r="E28" s="4"/>
      <c r="F28" s="4"/>
      <c r="G28" s="4"/>
      <c r="H28" s="4"/>
      <c r="I28" s="4"/>
      <c r="J28" s="6"/>
      <c r="K28" s="6"/>
      <c r="L28" s="4"/>
      <c r="M28" s="4"/>
      <c r="N28" s="4"/>
      <c r="O28" s="4"/>
      <c r="P28" s="4"/>
      <c r="Q28" s="4"/>
      <c r="R28" s="4"/>
      <c r="T28" s="4"/>
      <c r="U28" s="1"/>
    </row>
    <row r="29" spans="1:21" ht="12.75">
      <c r="A29" s="3" t="s">
        <v>19</v>
      </c>
      <c r="B29" s="4">
        <f aca="true" t="shared" si="13" ref="B29:G29">2.5*(B18-B17)/2</f>
        <v>2874.149659863947</v>
      </c>
      <c r="C29" s="4">
        <f t="shared" si="13"/>
        <v>2346.938775510205</v>
      </c>
      <c r="D29" s="4">
        <f t="shared" si="13"/>
        <v>2208.0498866213156</v>
      </c>
      <c r="E29" s="4">
        <f t="shared" si="13"/>
        <v>1700.6802721088457</v>
      </c>
      <c r="F29" s="4">
        <f t="shared" si="13"/>
        <v>1575.9637188208626</v>
      </c>
      <c r="G29" s="4">
        <f t="shared" si="13"/>
        <v>1102.6077097505686</v>
      </c>
      <c r="H29" s="4">
        <f>2.5*(H18-H17)/2</f>
        <v>12369.614512471655</v>
      </c>
      <c r="I29" s="4">
        <f>2.5*(I18-I17)/2</f>
        <v>6774.3764172335605</v>
      </c>
      <c r="J29" s="5">
        <f>2.5*(J18-J17)/2</f>
        <v>2834.467120181407</v>
      </c>
      <c r="K29" s="5"/>
      <c r="L29" s="4">
        <f aca="true" t="shared" si="14" ref="L29:R29">2.5*(L18-L17)/2</f>
        <v>514.4032921810685</v>
      </c>
      <c r="M29" s="4">
        <f t="shared" si="14"/>
        <v>3037.5514403292186</v>
      </c>
      <c r="N29" s="4">
        <f t="shared" si="14"/>
        <v>1941.8724279835396</v>
      </c>
      <c r="O29" s="4">
        <f t="shared" si="14"/>
        <v>2572.0164609053495</v>
      </c>
      <c r="P29" s="4">
        <f t="shared" si="14"/>
        <v>6075.1028806584345</v>
      </c>
      <c r="Q29" s="4">
        <f t="shared" si="14"/>
        <v>10432.86219081272</v>
      </c>
      <c r="R29" s="4">
        <f t="shared" si="14"/>
        <v>3334.8056537102457</v>
      </c>
      <c r="S29" s="16" t="s">
        <v>45</v>
      </c>
      <c r="T29" s="4">
        <f>2.5*(T18-T17)/2</f>
        <v>2135.180995475114</v>
      </c>
      <c r="U29" s="1" t="s">
        <v>51</v>
      </c>
    </row>
    <row r="30" spans="1:21" ht="12.75">
      <c r="A30" s="3" t="s">
        <v>20</v>
      </c>
      <c r="B30" s="4">
        <f aca="true" t="shared" si="15" ref="B30:G30">B17+(B18-B17)/2</f>
        <v>11353.741496598639</v>
      </c>
      <c r="C30" s="4">
        <f t="shared" si="15"/>
        <v>11142.857142857141</v>
      </c>
      <c r="D30" s="4">
        <f t="shared" si="15"/>
        <v>11087.301587301587</v>
      </c>
      <c r="E30" s="4">
        <f t="shared" si="15"/>
        <v>10884.353741496598</v>
      </c>
      <c r="F30" s="4">
        <f t="shared" si="15"/>
        <v>10834.467120181405</v>
      </c>
      <c r="G30" s="4">
        <f t="shared" si="15"/>
        <v>10645.124716553288</v>
      </c>
      <c r="H30" s="4">
        <f>H17+(H18-H17)/2</f>
        <v>4947.845804988662</v>
      </c>
      <c r="I30" s="4">
        <f>I17+(I18-I17)/2</f>
        <v>2709.750566893424</v>
      </c>
      <c r="J30" s="5">
        <f>J17+(J18-J17)/2</f>
        <v>12471.655328798186</v>
      </c>
      <c r="K30" s="5"/>
      <c r="L30" s="4">
        <f aca="true" t="shared" si="16" ref="L30:R30">L17+(L18-L17)/2</f>
        <v>10493.827160493827</v>
      </c>
      <c r="M30" s="4">
        <f t="shared" si="16"/>
        <v>11503.086419753086</v>
      </c>
      <c r="N30" s="4">
        <f t="shared" si="16"/>
        <v>11064.814814814816</v>
      </c>
      <c r="O30" s="4">
        <f t="shared" si="16"/>
        <v>11316.87242798354</v>
      </c>
      <c r="P30" s="4">
        <f t="shared" si="16"/>
        <v>12718.106995884773</v>
      </c>
      <c r="Q30" s="4">
        <f t="shared" si="16"/>
        <v>21840.98939929329</v>
      </c>
      <c r="R30" s="4">
        <f t="shared" si="16"/>
        <v>19001.7667844523</v>
      </c>
      <c r="S30" s="16" t="s">
        <v>45</v>
      </c>
      <c r="T30" s="4">
        <f>T17+(T18-T17)/2</f>
        <v>12166.289592760182</v>
      </c>
      <c r="U30" s="1" t="s">
        <v>51</v>
      </c>
    </row>
    <row r="39" ht="12.75">
      <c r="J39" t="s">
        <v>48</v>
      </c>
    </row>
    <row r="40" ht="12.75">
      <c r="J40" t="s">
        <v>49</v>
      </c>
    </row>
    <row r="42" ht="18">
      <c r="A42" s="2" t="s">
        <v>53</v>
      </c>
    </row>
    <row r="43" ht="20.25">
      <c r="A43" s="18" t="s">
        <v>55</v>
      </c>
    </row>
    <row r="45" spans="1:19" ht="102">
      <c r="A45" s="11"/>
      <c r="B45" s="11" t="s">
        <v>0</v>
      </c>
      <c r="C45" s="11" t="s">
        <v>1</v>
      </c>
      <c r="D45" s="11" t="s">
        <v>23</v>
      </c>
      <c r="E45" s="11" t="s">
        <v>24</v>
      </c>
      <c r="F45" s="11" t="s">
        <v>25</v>
      </c>
      <c r="G45" s="11" t="s">
        <v>26</v>
      </c>
      <c r="H45" s="11" t="s">
        <v>30</v>
      </c>
      <c r="I45" s="11" t="s">
        <v>31</v>
      </c>
      <c r="J45" s="11" t="s">
        <v>21</v>
      </c>
      <c r="K45" s="11"/>
      <c r="L45" s="11" t="s">
        <v>32</v>
      </c>
      <c r="M45" s="11" t="s">
        <v>33</v>
      </c>
      <c r="N45" s="11" t="s">
        <v>34</v>
      </c>
      <c r="O45" s="11" t="s">
        <v>35</v>
      </c>
      <c r="P45" s="11" t="s">
        <v>43</v>
      </c>
      <c r="Q45" s="11" t="s">
        <v>46</v>
      </c>
      <c r="R45" s="11" t="s">
        <v>47</v>
      </c>
      <c r="S45" s="12"/>
    </row>
    <row r="46" spans="1:18" ht="12.75">
      <c r="A46" s="3" t="s">
        <v>2</v>
      </c>
      <c r="B46" s="4" t="s">
        <v>56</v>
      </c>
      <c r="C46" s="4"/>
      <c r="D46" s="4"/>
      <c r="E46" s="4"/>
      <c r="F46" s="4"/>
      <c r="G46" s="4"/>
      <c r="H46" s="4"/>
      <c r="I46" s="4"/>
      <c r="J46" s="5"/>
      <c r="K46" s="5"/>
      <c r="L46" s="4"/>
      <c r="M46" s="4"/>
      <c r="N46" s="4"/>
      <c r="O46" s="4"/>
      <c r="P46" s="4"/>
      <c r="Q46" s="4"/>
      <c r="R46" s="4"/>
    </row>
    <row r="47" spans="1:18" ht="12.75">
      <c r="A47" s="3" t="s">
        <v>7</v>
      </c>
      <c r="B47" s="4" t="s">
        <v>57</v>
      </c>
      <c r="C47" s="4"/>
      <c r="D47" s="4"/>
      <c r="E47" s="4"/>
      <c r="F47" s="4"/>
      <c r="G47" s="4"/>
      <c r="H47" s="4"/>
      <c r="I47" s="4"/>
      <c r="J47" s="5"/>
      <c r="K47" s="5"/>
      <c r="L47" s="4"/>
      <c r="M47" s="4"/>
      <c r="N47" s="4"/>
      <c r="O47" s="4"/>
      <c r="P47" s="4"/>
      <c r="Q47" s="4"/>
      <c r="R47" s="4"/>
    </row>
    <row r="48" spans="1:18" ht="12.75">
      <c r="A48" s="3" t="s">
        <v>8</v>
      </c>
      <c r="B48" s="4" t="s">
        <v>58</v>
      </c>
      <c r="C48" s="4"/>
      <c r="D48" s="4"/>
      <c r="E48" s="4"/>
      <c r="F48" s="4"/>
      <c r="G48" s="4"/>
      <c r="H48" s="4"/>
      <c r="I48" s="4"/>
      <c r="J48" s="5"/>
      <c r="K48" s="5"/>
      <c r="L48" s="4"/>
      <c r="M48" s="4"/>
      <c r="N48" s="4"/>
      <c r="O48" s="4"/>
      <c r="P48" s="4"/>
      <c r="Q48" s="4"/>
      <c r="R48" s="4"/>
    </row>
    <row r="49" spans="1:18" ht="12.75">
      <c r="A49" s="3" t="s">
        <v>3</v>
      </c>
      <c r="B49" s="4" t="s">
        <v>59</v>
      </c>
      <c r="C49" s="4"/>
      <c r="D49" s="4"/>
      <c r="E49" s="4"/>
      <c r="F49" s="4"/>
      <c r="G49" s="4"/>
      <c r="H49" s="4"/>
      <c r="I49" s="4"/>
      <c r="J49" s="5"/>
      <c r="K49" s="5"/>
      <c r="L49" s="4"/>
      <c r="M49" s="4"/>
      <c r="N49" s="4"/>
      <c r="O49" s="4"/>
      <c r="P49" s="4"/>
      <c r="Q49" s="4"/>
      <c r="R49" s="4"/>
    </row>
    <row r="50" spans="1:18" ht="12.75">
      <c r="A50" s="3"/>
      <c r="B50" s="4"/>
      <c r="C50" s="4"/>
      <c r="D50" s="4"/>
      <c r="E50" s="4"/>
      <c r="F50" s="4"/>
      <c r="G50" s="4"/>
      <c r="H50" s="4"/>
      <c r="I50" s="4"/>
      <c r="J50" s="6"/>
      <c r="K50" s="6"/>
      <c r="L50" s="4"/>
      <c r="M50" s="4"/>
      <c r="N50" s="4"/>
      <c r="O50" s="4"/>
      <c r="P50" s="4"/>
      <c r="Q50" s="4"/>
      <c r="R50" s="4"/>
    </row>
    <row r="51" spans="1:18" ht="12.75">
      <c r="A51" s="3" t="s">
        <v>4</v>
      </c>
      <c r="B51" s="4" t="s">
        <v>60</v>
      </c>
      <c r="C51" s="4"/>
      <c r="D51" s="4"/>
      <c r="E51" s="4"/>
      <c r="F51" s="4"/>
      <c r="G51" s="4"/>
      <c r="H51" s="4"/>
      <c r="I51" s="4"/>
      <c r="J51" s="5"/>
      <c r="K51" s="5"/>
      <c r="L51" s="4"/>
      <c r="M51" s="4"/>
      <c r="N51" s="4"/>
      <c r="O51" s="7"/>
      <c r="P51" s="7"/>
      <c r="Q51" s="7"/>
      <c r="R51" s="4"/>
    </row>
    <row r="52" spans="1:18" ht="12.75">
      <c r="A52" s="3" t="s">
        <v>9</v>
      </c>
      <c r="B52" s="4" t="s">
        <v>61</v>
      </c>
      <c r="C52" s="4"/>
      <c r="D52" s="4"/>
      <c r="E52" s="4"/>
      <c r="F52" s="4"/>
      <c r="G52" s="4"/>
      <c r="H52" s="4"/>
      <c r="I52" s="4"/>
      <c r="J52" s="5"/>
      <c r="K52" s="5"/>
      <c r="L52" s="4"/>
      <c r="M52" s="4"/>
      <c r="N52" s="4"/>
      <c r="O52" s="7"/>
      <c r="P52" s="7"/>
      <c r="Q52" s="7"/>
      <c r="R52" s="4"/>
    </row>
    <row r="53" spans="1:18" ht="12.75">
      <c r="A53" s="3" t="s">
        <v>5</v>
      </c>
      <c r="B53" s="4"/>
      <c r="C53" s="4"/>
      <c r="D53" s="4"/>
      <c r="E53" s="4"/>
      <c r="F53" s="4"/>
      <c r="G53" s="4"/>
      <c r="H53" s="4"/>
      <c r="I53" s="4"/>
      <c r="J53" s="5"/>
      <c r="K53" s="5"/>
      <c r="L53" s="4"/>
      <c r="M53" s="4"/>
      <c r="N53" s="4"/>
      <c r="O53" s="7"/>
      <c r="P53" s="7"/>
      <c r="Q53" s="7"/>
      <c r="R53" s="4"/>
    </row>
    <row r="54" spans="1:18" ht="12.75">
      <c r="A54" s="3" t="s">
        <v>6</v>
      </c>
      <c r="B54" s="4" t="s">
        <v>62</v>
      </c>
      <c r="C54" s="4"/>
      <c r="D54" s="4"/>
      <c r="E54" s="4"/>
      <c r="F54" s="4"/>
      <c r="G54" s="4"/>
      <c r="H54" s="4"/>
      <c r="I54" s="4"/>
      <c r="J54" s="5"/>
      <c r="K54" s="5"/>
      <c r="L54" s="4"/>
      <c r="M54" s="4"/>
      <c r="N54" s="4"/>
      <c r="O54" s="7"/>
      <c r="P54" s="7"/>
      <c r="Q54" s="7"/>
      <c r="R54" s="4"/>
    </row>
    <row r="55" spans="1:18" ht="12.75">
      <c r="A55" s="3" t="s">
        <v>10</v>
      </c>
      <c r="B55" s="4"/>
      <c r="C55" s="4" t="s">
        <v>63</v>
      </c>
      <c r="D55" s="4"/>
      <c r="E55" s="4"/>
      <c r="F55" s="4"/>
      <c r="G55" s="4"/>
      <c r="H55" s="4"/>
      <c r="I55" s="4"/>
      <c r="J55" s="5"/>
      <c r="K55" s="5"/>
      <c r="L55" s="4"/>
      <c r="M55" s="4"/>
      <c r="N55" s="4"/>
      <c r="O55" s="7"/>
      <c r="P55" s="7"/>
      <c r="Q55" s="7"/>
      <c r="R55" s="4"/>
    </row>
    <row r="56" spans="1:18" ht="12.75">
      <c r="A56" s="3" t="s">
        <v>28</v>
      </c>
      <c r="B56" s="7"/>
      <c r="C56" s="4" t="s">
        <v>63</v>
      </c>
      <c r="D56" s="7"/>
      <c r="E56" s="7"/>
      <c r="F56" s="7"/>
      <c r="G56" s="7"/>
      <c r="H56" s="7"/>
      <c r="I56" s="7"/>
      <c r="J56" s="5"/>
      <c r="K56" s="5"/>
      <c r="L56" s="7"/>
      <c r="M56" s="7"/>
      <c r="N56" s="7"/>
      <c r="O56" s="7"/>
      <c r="P56" s="7"/>
      <c r="Q56" s="7"/>
      <c r="R56" s="7"/>
    </row>
    <row r="57" spans="1:18" ht="12.75">
      <c r="A57" s="3"/>
      <c r="B57" s="8"/>
      <c r="C57" s="4"/>
      <c r="D57" s="4"/>
      <c r="E57" s="4"/>
      <c r="F57" s="4"/>
      <c r="G57" s="4"/>
      <c r="H57" s="8"/>
      <c r="I57" s="4"/>
      <c r="J57" s="6"/>
      <c r="K57" s="6"/>
      <c r="L57" s="4"/>
      <c r="M57" s="4"/>
      <c r="N57" s="4"/>
      <c r="O57" s="4"/>
      <c r="P57" s="4"/>
      <c r="Q57" s="4"/>
      <c r="R57" s="4"/>
    </row>
    <row r="58" spans="1:19" ht="12.75">
      <c r="A58" s="3" t="s">
        <v>12</v>
      </c>
      <c r="B58" s="4" t="s">
        <v>64</v>
      </c>
      <c r="C58" s="10"/>
      <c r="D58" s="4"/>
      <c r="E58" s="4"/>
      <c r="F58" s="4"/>
      <c r="G58" s="4"/>
      <c r="H58" s="4"/>
      <c r="I58" s="4"/>
      <c r="J58" s="5"/>
      <c r="K58" s="5"/>
      <c r="L58" s="4"/>
      <c r="M58" s="4"/>
      <c r="N58" s="4"/>
      <c r="O58" s="4"/>
      <c r="P58" s="4"/>
      <c r="Q58" s="4"/>
      <c r="R58" s="4"/>
      <c r="S58" s="16" t="s">
        <v>45</v>
      </c>
    </row>
    <row r="59" spans="1:19" ht="12.75">
      <c r="A59" s="3" t="s">
        <v>11</v>
      </c>
      <c r="B59" s="4" t="s">
        <v>65</v>
      </c>
      <c r="C59" s="4"/>
      <c r="D59" s="4"/>
      <c r="E59" s="4"/>
      <c r="F59" s="4"/>
      <c r="G59" s="4"/>
      <c r="H59" s="4"/>
      <c r="I59" s="4"/>
      <c r="J59" s="5"/>
      <c r="K59" s="5"/>
      <c r="L59" s="4"/>
      <c r="M59" s="4"/>
      <c r="N59" s="4"/>
      <c r="O59" s="4"/>
      <c r="P59" s="4"/>
      <c r="Q59" s="4"/>
      <c r="R59" s="4"/>
      <c r="S59" s="16" t="s">
        <v>45</v>
      </c>
    </row>
    <row r="60" spans="1:19" ht="12.75">
      <c r="A60" s="3" t="s">
        <v>27</v>
      </c>
      <c r="B60" s="19" t="s">
        <v>66</v>
      </c>
      <c r="C60" s="10"/>
      <c r="D60" s="7"/>
      <c r="E60" s="7"/>
      <c r="F60" s="7"/>
      <c r="G60" s="7"/>
      <c r="H60" s="7"/>
      <c r="I60" s="7"/>
      <c r="J60" s="9"/>
      <c r="K60" s="9"/>
      <c r="L60" s="7"/>
      <c r="M60" s="7"/>
      <c r="N60" s="7"/>
      <c r="O60" s="7"/>
      <c r="P60" s="7"/>
      <c r="Q60" s="7"/>
      <c r="R60" s="7"/>
      <c r="S60" s="16" t="s">
        <v>45</v>
      </c>
    </row>
    <row r="61" spans="1:18" ht="12.75">
      <c r="A61" s="3"/>
      <c r="B61" s="10"/>
      <c r="C61" s="10"/>
      <c r="D61" s="10"/>
      <c r="E61" s="10"/>
      <c r="F61" s="10"/>
      <c r="G61" s="10"/>
      <c r="H61" s="10"/>
      <c r="I61" s="10"/>
      <c r="J61" s="6"/>
      <c r="K61" s="6"/>
      <c r="L61" s="10"/>
      <c r="M61" s="8"/>
      <c r="N61" s="10"/>
      <c r="O61" s="10"/>
      <c r="P61" s="10"/>
      <c r="Q61" s="10"/>
      <c r="R61" s="10"/>
    </row>
    <row r="62" spans="1:18" ht="12.75">
      <c r="A62" s="3" t="s">
        <v>14</v>
      </c>
      <c r="B62" s="10" t="s">
        <v>67</v>
      </c>
      <c r="C62" s="10"/>
      <c r="D62" s="10"/>
      <c r="E62" s="10"/>
      <c r="F62" s="10"/>
      <c r="G62" s="10"/>
      <c r="H62" s="10"/>
      <c r="I62" s="10"/>
      <c r="J62" s="5"/>
      <c r="K62" s="5"/>
      <c r="L62" s="10"/>
      <c r="M62" s="10"/>
      <c r="N62" s="10"/>
      <c r="O62" s="10"/>
      <c r="P62" s="10"/>
      <c r="Q62" s="10"/>
      <c r="R62" s="10"/>
    </row>
    <row r="63" spans="1:19" ht="12.75">
      <c r="A63" s="3" t="s">
        <v>54</v>
      </c>
      <c r="B63" s="10" t="s">
        <v>68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6" t="s">
        <v>45</v>
      </c>
    </row>
    <row r="64" spans="1:19" ht="12.75">
      <c r="A64" s="3" t="s">
        <v>13</v>
      </c>
      <c r="B64" s="10" t="s">
        <v>69</v>
      </c>
      <c r="C64" s="10"/>
      <c r="D64" s="10"/>
      <c r="E64" s="10"/>
      <c r="F64" s="10"/>
      <c r="G64" s="10"/>
      <c r="H64" s="10"/>
      <c r="I64" s="10"/>
      <c r="J64" s="6"/>
      <c r="K64" s="6"/>
      <c r="L64" s="10"/>
      <c r="M64" s="10"/>
      <c r="N64" s="10"/>
      <c r="O64" s="10"/>
      <c r="P64" s="10"/>
      <c r="Q64" s="10"/>
      <c r="R64" s="10"/>
      <c r="S64" s="16" t="s">
        <v>45</v>
      </c>
    </row>
    <row r="65" spans="1:18" ht="12.75">
      <c r="A65" s="3" t="s">
        <v>15</v>
      </c>
      <c r="B65" s="10"/>
      <c r="C65" s="10"/>
      <c r="D65" s="10"/>
      <c r="E65" s="10"/>
      <c r="F65" s="10"/>
      <c r="G65" s="10"/>
      <c r="H65" s="10"/>
      <c r="I65" s="10"/>
      <c r="J65" s="5"/>
      <c r="K65" s="5"/>
      <c r="L65" s="10"/>
      <c r="M65" s="10"/>
      <c r="N65" s="10"/>
      <c r="O65" s="10"/>
      <c r="P65" s="10"/>
      <c r="Q65" s="10"/>
      <c r="R65" s="10"/>
    </row>
    <row r="66" spans="1:18" ht="12.75">
      <c r="A66" s="3"/>
      <c r="B66" s="10"/>
      <c r="C66" s="10"/>
      <c r="D66" s="10"/>
      <c r="E66" s="10"/>
      <c r="F66" s="10"/>
      <c r="G66" s="10"/>
      <c r="H66" s="10"/>
      <c r="I66" s="10"/>
      <c r="J66" s="6"/>
      <c r="K66" s="6"/>
      <c r="L66" s="10"/>
      <c r="M66" s="10"/>
      <c r="N66" s="10"/>
      <c r="O66" s="10"/>
      <c r="P66" s="10"/>
      <c r="Q66" s="10"/>
      <c r="R66" s="10"/>
    </row>
    <row r="67" spans="1:18" ht="12.75">
      <c r="A67" s="3" t="s">
        <v>18</v>
      </c>
      <c r="B67" s="4" t="s">
        <v>70</v>
      </c>
      <c r="C67" s="10"/>
      <c r="D67" s="4"/>
      <c r="E67" s="4"/>
      <c r="F67" s="4"/>
      <c r="G67" s="4"/>
      <c r="H67" s="4"/>
      <c r="I67" s="4"/>
      <c r="J67" s="5"/>
      <c r="K67" s="5"/>
      <c r="L67" s="4"/>
      <c r="M67" s="4"/>
      <c r="N67" s="4"/>
      <c r="O67" s="7"/>
      <c r="P67" s="7"/>
      <c r="Q67" s="7"/>
      <c r="R67" s="4"/>
    </row>
    <row r="68" spans="1:18" ht="12.75">
      <c r="A68" s="3" t="s">
        <v>17</v>
      </c>
      <c r="B68" s="4" t="s">
        <v>70</v>
      </c>
      <c r="C68" s="10"/>
      <c r="D68" s="4"/>
      <c r="E68" s="4"/>
      <c r="F68" s="4"/>
      <c r="G68" s="4"/>
      <c r="H68" s="4"/>
      <c r="I68" s="4"/>
      <c r="J68" s="5"/>
      <c r="K68" s="5"/>
      <c r="L68" s="4"/>
      <c r="M68" s="4"/>
      <c r="N68" s="4"/>
      <c r="O68" s="7"/>
      <c r="P68" s="7"/>
      <c r="Q68" s="7"/>
      <c r="R68" s="4"/>
    </row>
    <row r="69" spans="1:18" ht="12.75">
      <c r="A69" s="3"/>
      <c r="B69" s="4"/>
      <c r="C69" s="10"/>
      <c r="D69" s="4"/>
      <c r="E69" s="4"/>
      <c r="F69" s="4"/>
      <c r="G69" s="4"/>
      <c r="H69" s="4"/>
      <c r="I69" s="4"/>
      <c r="J69" s="6"/>
      <c r="K69" s="6"/>
      <c r="L69" s="4"/>
      <c r="M69" s="4"/>
      <c r="N69" s="4"/>
      <c r="O69" s="4"/>
      <c r="P69" s="4"/>
      <c r="Q69" s="4"/>
      <c r="R69" s="4"/>
    </row>
    <row r="70" spans="1:19" ht="12.75">
      <c r="A70" s="3" t="s">
        <v>19</v>
      </c>
      <c r="B70" s="4" t="s">
        <v>70</v>
      </c>
      <c r="C70" s="10"/>
      <c r="D70" s="4"/>
      <c r="E70" s="4"/>
      <c r="F70" s="4"/>
      <c r="G70" s="4"/>
      <c r="H70" s="4"/>
      <c r="I70" s="4"/>
      <c r="J70" s="5"/>
      <c r="K70" s="5"/>
      <c r="L70" s="4"/>
      <c r="M70" s="4"/>
      <c r="N70" s="4"/>
      <c r="O70" s="4"/>
      <c r="P70" s="4"/>
      <c r="Q70" s="4"/>
      <c r="R70" s="4"/>
      <c r="S70" s="16" t="s">
        <v>45</v>
      </c>
    </row>
    <row r="71" spans="1:19" ht="12.75">
      <c r="A71" s="3" t="s">
        <v>20</v>
      </c>
      <c r="B71" s="4" t="s">
        <v>70</v>
      </c>
      <c r="C71" s="10"/>
      <c r="D71" s="4"/>
      <c r="E71" s="4"/>
      <c r="F71" s="4"/>
      <c r="G71" s="4"/>
      <c r="H71" s="4"/>
      <c r="I71" s="4"/>
      <c r="J71" s="5"/>
      <c r="K71" s="5"/>
      <c r="L71" s="4"/>
      <c r="M71" s="4"/>
      <c r="N71" s="4"/>
      <c r="O71" s="4"/>
      <c r="P71" s="4"/>
      <c r="Q71" s="4"/>
      <c r="R71" s="4"/>
      <c r="S71" s="16" t="s">
        <v>45</v>
      </c>
    </row>
  </sheetData>
  <printOptions/>
  <pageMargins left="0.75" right="0.75" top="1" bottom="1" header="0.5" footer="0.5"/>
  <pageSetup horizontalDpi="600" verticalDpi="600" orientation="landscape" paperSize="17" r:id="rId1"/>
  <headerFooter alignWithMargins="0">
    <oddFooter>&amp;LMichael Kalish&amp;CPage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29" sqref="F29"/>
    </sheetView>
  </sheetViews>
  <sheetFormatPr defaultColWidth="9.140625" defaultRowHeight="12.75"/>
  <cols>
    <col min="1" max="1" width="44.00390625" style="0" customWidth="1"/>
    <col min="2" max="2" width="15.00390625" style="0" customWidth="1"/>
    <col min="3" max="3" width="14.7109375" style="0" hidden="1" customWidth="1"/>
    <col min="4" max="4" width="18.57421875" style="0" customWidth="1"/>
    <col min="5" max="5" width="13.00390625" style="0" customWidth="1"/>
    <col min="6" max="6" width="14.00390625" style="0" customWidth="1"/>
  </cols>
  <sheetData>
    <row r="1" spans="1:6" ht="32.25" customHeight="1">
      <c r="A1" s="10"/>
      <c r="B1" s="11" t="s">
        <v>32</v>
      </c>
      <c r="C1" s="11" t="s">
        <v>33</v>
      </c>
      <c r="D1" s="11" t="s">
        <v>38</v>
      </c>
      <c r="E1" s="11" t="s">
        <v>39</v>
      </c>
      <c r="F1" s="11" t="s">
        <v>40</v>
      </c>
    </row>
    <row r="2" spans="1:6" ht="12.75">
      <c r="A2" s="3" t="s">
        <v>2</v>
      </c>
      <c r="B2" s="4">
        <v>5000</v>
      </c>
      <c r="C2" s="4">
        <v>5000</v>
      </c>
      <c r="D2" s="4">
        <v>5000</v>
      </c>
      <c r="E2" s="4">
        <v>5000</v>
      </c>
      <c r="F2" s="4">
        <v>5000</v>
      </c>
    </row>
    <row r="3" spans="1:7" ht="12.75">
      <c r="A3" s="3" t="s">
        <v>7</v>
      </c>
      <c r="B3" s="4">
        <v>200</v>
      </c>
      <c r="C3" s="4">
        <v>1181</v>
      </c>
      <c r="D3" s="4">
        <f>981/2+(0.0006*215/2/0.001)+200</f>
        <v>755</v>
      </c>
      <c r="E3" s="4">
        <v>1000</v>
      </c>
      <c r="F3" s="4">
        <f>7360-5000</f>
        <v>2360</v>
      </c>
      <c r="G3" s="4"/>
    </row>
    <row r="4" spans="1:7" ht="12.75">
      <c r="A4" s="3" t="s">
        <v>36</v>
      </c>
      <c r="B4" s="4">
        <f>B2+B3</f>
        <v>5200</v>
      </c>
      <c r="C4" s="4">
        <f>C2+C3</f>
        <v>6181</v>
      </c>
      <c r="D4" s="4">
        <f>D2+D3</f>
        <v>5755</v>
      </c>
      <c r="E4" s="4">
        <f>E2+E3</f>
        <v>6000</v>
      </c>
      <c r="F4" s="4">
        <f>F2+F3</f>
        <v>7360</v>
      </c>
      <c r="G4" s="14"/>
    </row>
    <row r="5" spans="1:6" ht="12.75" hidden="1">
      <c r="A5" s="3" t="s">
        <v>8</v>
      </c>
      <c r="B5" s="4">
        <v>200</v>
      </c>
      <c r="C5" s="4">
        <v>1181</v>
      </c>
      <c r="D5" s="4">
        <f>D3</f>
        <v>755</v>
      </c>
      <c r="E5" s="4">
        <f>E3</f>
        <v>1000</v>
      </c>
      <c r="F5" s="4">
        <f>F3</f>
        <v>2360</v>
      </c>
    </row>
    <row r="6" spans="1:7" ht="12.75" hidden="1">
      <c r="A6" s="3" t="s">
        <v>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13"/>
    </row>
    <row r="7" spans="1:6" ht="6.75" customHeight="1">
      <c r="A7" s="3"/>
      <c r="B7" s="4"/>
      <c r="C7" s="4"/>
      <c r="D7" s="4"/>
      <c r="E7" s="4"/>
      <c r="F7" s="4"/>
    </row>
    <row r="8" spans="1:6" ht="12.75">
      <c r="A8" s="3" t="s">
        <v>4</v>
      </c>
      <c r="B8" s="4">
        <f>B2/B22</f>
        <v>64935.06493506493</v>
      </c>
      <c r="C8" s="4">
        <f>C2/C22</f>
        <v>64935.06493506493</v>
      </c>
      <c r="D8" s="4">
        <f>D2/D22</f>
        <v>64935.06493506493</v>
      </c>
      <c r="E8" s="5" t="s">
        <v>22</v>
      </c>
      <c r="F8" s="5" t="s">
        <v>22</v>
      </c>
    </row>
    <row r="9" spans="1:6" ht="12.75" hidden="1">
      <c r="A9" s="3" t="s">
        <v>9</v>
      </c>
      <c r="B9" s="4">
        <f>(B5+B2)/B22</f>
        <v>67532.46753246753</v>
      </c>
      <c r="C9" s="4">
        <f>(C5+C2)/C22</f>
        <v>80272.72727272728</v>
      </c>
      <c r="D9" s="4">
        <f>(D5+D2)/D22</f>
        <v>74740.25974025975</v>
      </c>
      <c r="E9" s="5" t="s">
        <v>22</v>
      </c>
      <c r="F9" s="5" t="s">
        <v>22</v>
      </c>
    </row>
    <row r="10" spans="1:6" ht="12.75" hidden="1">
      <c r="A10" s="3" t="s">
        <v>5</v>
      </c>
      <c r="B10" s="4">
        <f>B6/B22</f>
        <v>0</v>
      </c>
      <c r="C10" s="4">
        <f>C6/C22</f>
        <v>0</v>
      </c>
      <c r="D10" s="4">
        <f>D6/D22</f>
        <v>0</v>
      </c>
      <c r="E10" s="5" t="s">
        <v>22</v>
      </c>
      <c r="F10" s="5" t="s">
        <v>22</v>
      </c>
    </row>
    <row r="11" spans="1:6" ht="12.75">
      <c r="A11" s="3" t="s">
        <v>6</v>
      </c>
      <c r="B11" s="4">
        <f>B9</f>
        <v>67532.46753246753</v>
      </c>
      <c r="C11" s="4">
        <f>C9</f>
        <v>80272.72727272728</v>
      </c>
      <c r="D11" s="4">
        <f>D9</f>
        <v>74740.25974025975</v>
      </c>
      <c r="E11" s="5" t="s">
        <v>22</v>
      </c>
      <c r="F11" s="5" t="s">
        <v>22</v>
      </c>
    </row>
    <row r="12" spans="1:6" ht="12.75" hidden="1">
      <c r="A12" s="3" t="s">
        <v>10</v>
      </c>
      <c r="B12" s="4"/>
      <c r="C12" s="4"/>
      <c r="D12" s="4"/>
      <c r="E12" s="5" t="s">
        <v>22</v>
      </c>
      <c r="F12" s="5" t="s">
        <v>22</v>
      </c>
    </row>
    <row r="13" spans="1:6" ht="12.75">
      <c r="A13" s="3" t="s">
        <v>28</v>
      </c>
      <c r="B13" s="7">
        <f>B19/B11</f>
        <v>2.7394230769230767</v>
      </c>
      <c r="C13" s="7">
        <f>C19/C11</f>
        <v>2.304643261608154</v>
      </c>
      <c r="D13" s="7">
        <f>D19/D11</f>
        <v>2.475238922675934</v>
      </c>
      <c r="E13" s="5" t="s">
        <v>22</v>
      </c>
      <c r="F13" s="5" t="s">
        <v>22</v>
      </c>
    </row>
    <row r="14" spans="1:6" ht="6" customHeight="1">
      <c r="A14" s="3"/>
      <c r="B14" s="4"/>
      <c r="C14" s="4"/>
      <c r="D14" s="4"/>
      <c r="E14" s="4"/>
      <c r="F14" s="4"/>
    </row>
    <row r="15" spans="1:6" ht="12.75">
      <c r="A15" s="3" t="s">
        <v>12</v>
      </c>
      <c r="B15" s="4">
        <f>B2/B21</f>
        <v>11764.705882352942</v>
      </c>
      <c r="C15" s="4">
        <f>C2/C21</f>
        <v>11764.705882352942</v>
      </c>
      <c r="D15" s="4">
        <f>D2/D21</f>
        <v>11764.705882352942</v>
      </c>
      <c r="E15" s="4">
        <f>E2/E21</f>
        <v>11764.705882352942</v>
      </c>
      <c r="F15" s="4">
        <f>F2/F21</f>
        <v>11764.705882352942</v>
      </c>
    </row>
    <row r="16" spans="1:6" ht="12.75">
      <c r="A16" s="3" t="s">
        <v>11</v>
      </c>
      <c r="B16" s="4">
        <f>(B2+B5)/B21</f>
        <v>12235.29411764706</v>
      </c>
      <c r="C16" s="4">
        <f>(C2+C5)/C21</f>
        <v>14543.529411764706</v>
      </c>
      <c r="D16" s="4">
        <f>(D2+D5)/D21</f>
        <v>13541.176470588236</v>
      </c>
      <c r="E16" s="4">
        <f>(E2+E5)/E21</f>
        <v>14117.64705882353</v>
      </c>
      <c r="F16" s="4">
        <f>(F2+F5)/F21</f>
        <v>17317.64705882353</v>
      </c>
    </row>
    <row r="17" spans="1:6" ht="12.75">
      <c r="A17" s="3" t="s">
        <v>37</v>
      </c>
      <c r="B17" s="7">
        <f>B20/B16</f>
        <v>1.6033942307692306</v>
      </c>
      <c r="C17" s="7">
        <f>C20/C16</f>
        <v>1.3489160330043681</v>
      </c>
      <c r="D17" s="7">
        <f>D20/D16</f>
        <v>1.44876629018245</v>
      </c>
      <c r="E17" s="7">
        <f>E20/E16</f>
        <v>1.3896083333333333</v>
      </c>
      <c r="F17" s="7">
        <f>F20/F16</f>
        <v>1.1328328804347825</v>
      </c>
    </row>
    <row r="18" spans="1:6" ht="12.75">
      <c r="A18" s="3"/>
      <c r="B18" s="10"/>
      <c r="C18" s="8"/>
      <c r="D18" s="10"/>
      <c r="E18" s="10"/>
      <c r="F18" s="10"/>
    </row>
    <row r="19" spans="1:6" ht="12.75">
      <c r="A19" s="3" t="s">
        <v>14</v>
      </c>
      <c r="B19" s="10">
        <v>185000</v>
      </c>
      <c r="C19" s="10">
        <v>185000</v>
      </c>
      <c r="D19" s="10">
        <v>185000</v>
      </c>
      <c r="E19" s="10">
        <v>185000</v>
      </c>
      <c r="F19" s="10">
        <v>185000</v>
      </c>
    </row>
    <row r="20" spans="1:6" ht="12.75">
      <c r="A20" s="3" t="s">
        <v>16</v>
      </c>
      <c r="B20" s="10">
        <f>34000*0.577</f>
        <v>19618</v>
      </c>
      <c r="C20" s="10">
        <f>34000*0.577</f>
        <v>19618</v>
      </c>
      <c r="D20" s="10">
        <f>34000*0.577</f>
        <v>19618</v>
      </c>
      <c r="E20" s="10">
        <f>34000*0.577</f>
        <v>19618</v>
      </c>
      <c r="F20" s="10">
        <f>34000*0.577</f>
        <v>19618</v>
      </c>
    </row>
    <row r="21" spans="1:6" ht="12.75">
      <c r="A21" s="3" t="s">
        <v>13</v>
      </c>
      <c r="B21" s="10">
        <v>0.425</v>
      </c>
      <c r="C21" s="10">
        <v>0.425</v>
      </c>
      <c r="D21" s="10">
        <v>0.425</v>
      </c>
      <c r="E21" s="10">
        <v>0.425</v>
      </c>
      <c r="F21" s="10">
        <v>0.425</v>
      </c>
    </row>
    <row r="22" spans="1:6" ht="12.75">
      <c r="A22" s="3" t="s">
        <v>15</v>
      </c>
      <c r="B22" s="10">
        <v>0.077</v>
      </c>
      <c r="C22" s="10">
        <v>0.077</v>
      </c>
      <c r="D22" s="10">
        <v>0.077</v>
      </c>
      <c r="E22" s="10">
        <v>0.077</v>
      </c>
      <c r="F22" s="10">
        <v>0.077</v>
      </c>
    </row>
    <row r="23" spans="1:6" ht="12.75">
      <c r="A23" s="3"/>
      <c r="B23" s="10"/>
      <c r="C23" s="10"/>
      <c r="D23" s="10"/>
      <c r="E23" s="10"/>
      <c r="F23" s="10"/>
    </row>
    <row r="24" spans="1:6" ht="12.75">
      <c r="A24" s="3"/>
      <c r="B24" s="10"/>
      <c r="C24" s="10"/>
      <c r="D24" s="10"/>
      <c r="E24" s="10"/>
      <c r="F24" s="10"/>
    </row>
    <row r="25" spans="1:6" ht="12.75">
      <c r="A25" s="3" t="s">
        <v>18</v>
      </c>
      <c r="B25" s="4">
        <f>2.5*(B11-B8)/2</f>
        <v>3246.753246753251</v>
      </c>
      <c r="C25" s="4">
        <f>2.5*(C11-C8)/2</f>
        <v>19172.077922077933</v>
      </c>
      <c r="D25" s="4">
        <f>2.5*(D11-D8)/2</f>
        <v>12256.493506493516</v>
      </c>
      <c r="E25" s="5" t="s">
        <v>22</v>
      </c>
      <c r="F25" s="5" t="s">
        <v>22</v>
      </c>
    </row>
    <row r="26" spans="1:6" ht="12.75">
      <c r="A26" s="3" t="s">
        <v>17</v>
      </c>
      <c r="B26" s="4">
        <f>B8+(B11-B8)/2</f>
        <v>66233.76623376623</v>
      </c>
      <c r="C26" s="4">
        <f>C8+(C11-C8)/2</f>
        <v>72603.89610389611</v>
      </c>
      <c r="D26" s="4">
        <f>D8+(D11-D8)/2</f>
        <v>69837.66233766233</v>
      </c>
      <c r="E26" s="5" t="s">
        <v>22</v>
      </c>
      <c r="F26" s="5" t="s">
        <v>22</v>
      </c>
    </row>
    <row r="27" spans="1:6" ht="12.75">
      <c r="A27" s="3"/>
      <c r="B27" s="4"/>
      <c r="C27" s="4"/>
      <c r="D27" s="4"/>
      <c r="E27" s="4"/>
      <c r="F27" s="4"/>
    </row>
    <row r="28" spans="1:6" ht="12.75">
      <c r="A28" s="3" t="s">
        <v>19</v>
      </c>
      <c r="B28" s="4">
        <f>2.5*(B16-B15)/2</f>
        <v>588.2352941176464</v>
      </c>
      <c r="C28" s="4">
        <f>2.5*(C16-C15)/2</f>
        <v>3473.529411764705</v>
      </c>
      <c r="D28" s="4">
        <f>2.5*(D16-D15)/2</f>
        <v>2220.588235294117</v>
      </c>
      <c r="E28" s="4">
        <f>2.5*(E16-E15)/2</f>
        <v>2941.176470588234</v>
      </c>
      <c r="F28" s="4">
        <f>2.5*(F16-F15)/2</f>
        <v>6941.176470588236</v>
      </c>
    </row>
    <row r="29" spans="1:6" ht="12.75">
      <c r="A29" s="3" t="s">
        <v>20</v>
      </c>
      <c r="B29" s="4">
        <f>B15+(B16-B15)/2</f>
        <v>12000</v>
      </c>
      <c r="C29" s="4">
        <f>C15+(C16-C15)/2</f>
        <v>13154.117647058825</v>
      </c>
      <c r="D29" s="4">
        <f>D15+(D16-D15)/2</f>
        <v>12652.94117647059</v>
      </c>
      <c r="E29" s="4">
        <f>E15+(E16-E15)/2</f>
        <v>12941.176470588236</v>
      </c>
      <c r="F29" s="4">
        <f>F15+(F16-F15)/2</f>
        <v>14541.176470588238</v>
      </c>
    </row>
    <row r="33" ht="27">
      <c r="A33" s="15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F38" sqref="F38"/>
    </sheetView>
  </sheetViews>
  <sheetFormatPr defaultColWidth="9.140625" defaultRowHeight="12.75"/>
  <cols>
    <col min="1" max="1" width="44.140625" style="0" customWidth="1"/>
    <col min="2" max="3" width="12.421875" style="0" customWidth="1"/>
    <col min="4" max="4" width="10.00390625" style="0" customWidth="1"/>
    <col min="5" max="5" width="10.57421875" style="0" customWidth="1"/>
    <col min="6" max="6" width="9.7109375" style="0" customWidth="1"/>
    <col min="7" max="7" width="10.421875" style="0" customWidth="1"/>
    <col min="8" max="8" width="14.28125" style="0" hidden="1" customWidth="1"/>
    <col min="9" max="9" width="15.57421875" style="0" customWidth="1"/>
    <col min="10" max="10" width="13.8515625" style="0" customWidth="1"/>
  </cols>
  <sheetData>
    <row r="1" ht="18">
      <c r="A1" s="2" t="s">
        <v>29</v>
      </c>
    </row>
    <row r="2" ht="2.25" customHeight="1">
      <c r="A2" s="1"/>
    </row>
    <row r="3" ht="20.25" customHeight="1">
      <c r="A3" s="1"/>
    </row>
    <row r="4" spans="1:10" s="12" customFormat="1" ht="38.25">
      <c r="A4" s="11"/>
      <c r="B4" s="11" t="s">
        <v>0</v>
      </c>
      <c r="C4" s="11" t="s">
        <v>1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30</v>
      </c>
      <c r="I4" s="11" t="s">
        <v>31</v>
      </c>
      <c r="J4" s="11" t="s">
        <v>42</v>
      </c>
    </row>
    <row r="5" spans="1:10" ht="21.75" customHeight="1">
      <c r="A5" s="3" t="s">
        <v>2</v>
      </c>
      <c r="B5" s="4">
        <v>4500</v>
      </c>
      <c r="C5" s="4">
        <v>4500</v>
      </c>
      <c r="D5" s="4">
        <v>4500</v>
      </c>
      <c r="E5" s="4">
        <v>4500</v>
      </c>
      <c r="F5" s="4">
        <v>4500</v>
      </c>
      <c r="G5" s="4">
        <v>4500</v>
      </c>
      <c r="H5" s="4">
        <v>0</v>
      </c>
      <c r="I5" s="4">
        <v>0</v>
      </c>
      <c r="J5" s="5">
        <v>5000</v>
      </c>
    </row>
    <row r="6" spans="1:10" ht="12.75" hidden="1">
      <c r="A6" s="3" t="s">
        <v>7</v>
      </c>
      <c r="B6" s="4">
        <v>4364</v>
      </c>
      <c r="C6" s="4">
        <v>3560</v>
      </c>
      <c r="D6" s="4">
        <v>3348</v>
      </c>
      <c r="E6" s="4">
        <v>2580</v>
      </c>
      <c r="F6" s="4">
        <v>2390</v>
      </c>
      <c r="G6" s="4">
        <v>1665</v>
      </c>
      <c r="H6" s="4">
        <v>4364</v>
      </c>
      <c r="I6" s="4">
        <v>2390</v>
      </c>
      <c r="J6" s="5">
        <v>1000</v>
      </c>
    </row>
    <row r="7" spans="1:10" ht="14.25" customHeight="1">
      <c r="A7" s="3" t="s">
        <v>8</v>
      </c>
      <c r="B7" s="4">
        <v>1014</v>
      </c>
      <c r="C7" s="4">
        <v>828</v>
      </c>
      <c r="D7" s="4">
        <v>779</v>
      </c>
      <c r="E7" s="4">
        <v>600</v>
      </c>
      <c r="F7" s="4">
        <v>556</v>
      </c>
      <c r="G7" s="4">
        <v>389</v>
      </c>
      <c r="H7" s="4">
        <v>4364</v>
      </c>
      <c r="I7" s="4">
        <v>2390</v>
      </c>
      <c r="J7" s="5">
        <v>1000</v>
      </c>
    </row>
    <row r="8" spans="1:10" ht="14.25" customHeight="1" hidden="1">
      <c r="A8" s="3" t="s">
        <v>3</v>
      </c>
      <c r="B8" s="4">
        <v>206</v>
      </c>
      <c r="C8" s="4">
        <v>755</v>
      </c>
      <c r="D8" s="4">
        <v>161</v>
      </c>
      <c r="E8" s="4">
        <v>623</v>
      </c>
      <c r="F8" s="4">
        <v>117</v>
      </c>
      <c r="G8" s="4">
        <v>493</v>
      </c>
      <c r="H8" s="4">
        <v>0</v>
      </c>
      <c r="I8" s="4">
        <v>0</v>
      </c>
      <c r="J8" s="5">
        <v>0</v>
      </c>
    </row>
    <row r="9" spans="1:10" ht="14.25" customHeight="1">
      <c r="A9" s="3" t="s">
        <v>36</v>
      </c>
      <c r="B9" s="4">
        <f>B5+B7</f>
        <v>5514</v>
      </c>
      <c r="C9" s="4">
        <f aca="true" t="shared" si="0" ref="C9:I9">C5+C7</f>
        <v>5328</v>
      </c>
      <c r="D9" s="4">
        <f t="shared" si="0"/>
        <v>5279</v>
      </c>
      <c r="E9" s="4">
        <f t="shared" si="0"/>
        <v>5100</v>
      </c>
      <c r="F9" s="4">
        <f t="shared" si="0"/>
        <v>5056</v>
      </c>
      <c r="G9" s="4">
        <f t="shared" si="0"/>
        <v>4889</v>
      </c>
      <c r="H9" s="4">
        <f t="shared" si="0"/>
        <v>4364</v>
      </c>
      <c r="I9" s="4">
        <f t="shared" si="0"/>
        <v>2390</v>
      </c>
      <c r="J9" s="6">
        <v>6000</v>
      </c>
    </row>
    <row r="10" spans="1:10" ht="14.25" customHeight="1">
      <c r="A10" s="3"/>
      <c r="B10" s="4"/>
      <c r="C10" s="4"/>
      <c r="D10" s="4"/>
      <c r="E10" s="4"/>
      <c r="F10" s="4"/>
      <c r="G10" s="4"/>
      <c r="H10" s="4"/>
      <c r="I10" s="4"/>
      <c r="J10" s="6"/>
    </row>
    <row r="11" spans="1:10" ht="12.75">
      <c r="A11" s="3" t="s">
        <v>4</v>
      </c>
      <c r="B11" s="4">
        <f aca="true" t="shared" si="1" ref="B11:G11">B5/B25</f>
        <v>58441.558441558445</v>
      </c>
      <c r="C11" s="4">
        <f t="shared" si="1"/>
        <v>58441.558441558445</v>
      </c>
      <c r="D11" s="4">
        <f t="shared" si="1"/>
        <v>58441.558441558445</v>
      </c>
      <c r="E11" s="4">
        <f t="shared" si="1"/>
        <v>58441.558441558445</v>
      </c>
      <c r="F11" s="4">
        <f t="shared" si="1"/>
        <v>58441.558441558445</v>
      </c>
      <c r="G11" s="4">
        <f t="shared" si="1"/>
        <v>58441.558441558445</v>
      </c>
      <c r="H11" s="4">
        <f>H5/H25</f>
        <v>0</v>
      </c>
      <c r="I11" s="4">
        <f>I5/I25</f>
        <v>0</v>
      </c>
      <c r="J11" s="5" t="s">
        <v>22</v>
      </c>
    </row>
    <row r="12" spans="1:10" ht="12.75">
      <c r="A12" s="3" t="s">
        <v>9</v>
      </c>
      <c r="B12" s="4">
        <f aca="true" t="shared" si="2" ref="B12:G12">(B7+B5)/B25</f>
        <v>71610.38961038961</v>
      </c>
      <c r="C12" s="4">
        <f t="shared" si="2"/>
        <v>69194.8051948052</v>
      </c>
      <c r="D12" s="4">
        <f t="shared" si="2"/>
        <v>68558.44155844155</v>
      </c>
      <c r="E12" s="4">
        <f t="shared" si="2"/>
        <v>66233.76623376623</v>
      </c>
      <c r="F12" s="4">
        <f t="shared" si="2"/>
        <v>65662.33766233767</v>
      </c>
      <c r="G12" s="4">
        <f t="shared" si="2"/>
        <v>63493.506493506495</v>
      </c>
      <c r="H12" s="4">
        <f>(H7+H5)/H25</f>
        <v>56675.32467532468</v>
      </c>
      <c r="I12" s="4">
        <f>(I7+I5)/I25</f>
        <v>31038.96103896104</v>
      </c>
      <c r="J12" s="5" t="s">
        <v>22</v>
      </c>
    </row>
    <row r="13" spans="1:10" ht="12.75" hidden="1">
      <c r="A13" s="3" t="s">
        <v>5</v>
      </c>
      <c r="B13" s="4">
        <f aca="true" t="shared" si="3" ref="B13:G13">B8/B25</f>
        <v>2675.3246753246754</v>
      </c>
      <c r="C13" s="4">
        <f t="shared" si="3"/>
        <v>9805.194805194806</v>
      </c>
      <c r="D13" s="4">
        <f t="shared" si="3"/>
        <v>2090.909090909091</v>
      </c>
      <c r="E13" s="4">
        <f t="shared" si="3"/>
        <v>8090.909090909091</v>
      </c>
      <c r="F13" s="4">
        <f t="shared" si="3"/>
        <v>1519.4805194805194</v>
      </c>
      <c r="G13" s="4">
        <f t="shared" si="3"/>
        <v>6402.597402597403</v>
      </c>
      <c r="H13" s="4">
        <f>H8/H25</f>
        <v>0</v>
      </c>
      <c r="I13" s="4">
        <f>I8/I25</f>
        <v>0</v>
      </c>
      <c r="J13" s="5" t="s">
        <v>22</v>
      </c>
    </row>
    <row r="14" spans="1:10" ht="12.75" hidden="1">
      <c r="A14" s="3" t="s">
        <v>6</v>
      </c>
      <c r="B14" s="4">
        <v>71760</v>
      </c>
      <c r="C14" s="4">
        <v>71249</v>
      </c>
      <c r="D14" s="4">
        <v>68654</v>
      </c>
      <c r="E14" s="4">
        <v>67700</v>
      </c>
      <c r="F14" s="4">
        <v>65715</v>
      </c>
      <c r="G14" s="4">
        <v>64444</v>
      </c>
      <c r="H14" s="4">
        <v>56675</v>
      </c>
      <c r="I14" s="4">
        <v>31039</v>
      </c>
      <c r="J14" s="5" t="s">
        <v>22</v>
      </c>
    </row>
    <row r="15" spans="1:10" ht="12.75" hidden="1">
      <c r="A15" s="3" t="s">
        <v>10</v>
      </c>
      <c r="B15" s="4">
        <f aca="true" t="shared" si="4" ref="B15:G15">B22/B13*2</f>
        <v>138.3009708737864</v>
      </c>
      <c r="C15" s="4">
        <f t="shared" si="4"/>
        <v>37.735099337748345</v>
      </c>
      <c r="D15" s="4">
        <f t="shared" si="4"/>
        <v>176.95652173913044</v>
      </c>
      <c r="E15" s="4">
        <f t="shared" si="4"/>
        <v>45.73033707865169</v>
      </c>
      <c r="F15" s="4">
        <f t="shared" si="4"/>
        <v>243.5042735042735</v>
      </c>
      <c r="G15" s="4">
        <f t="shared" si="4"/>
        <v>57.78904665314401</v>
      </c>
      <c r="H15" s="4"/>
      <c r="I15" s="4"/>
      <c r="J15" s="5" t="s">
        <v>22</v>
      </c>
    </row>
    <row r="16" spans="1:10" ht="21" customHeight="1">
      <c r="A16" s="3" t="s">
        <v>41</v>
      </c>
      <c r="B16" s="7">
        <f aca="true" t="shared" si="5" ref="B16:G16">B22/B14</f>
        <v>2.5780379041248604</v>
      </c>
      <c r="C16" s="7">
        <f t="shared" si="5"/>
        <v>2.5965276705637974</v>
      </c>
      <c r="D16" s="7">
        <f t="shared" si="5"/>
        <v>2.694671832668162</v>
      </c>
      <c r="E16" s="7">
        <f t="shared" si="5"/>
        <v>2.7326440177252587</v>
      </c>
      <c r="F16" s="7">
        <f t="shared" si="5"/>
        <v>2.815186791447919</v>
      </c>
      <c r="G16" s="7">
        <f t="shared" si="5"/>
        <v>2.8707094531686423</v>
      </c>
      <c r="H16" s="7">
        <f>H22/H14</f>
        <v>3.2642258491398324</v>
      </c>
      <c r="I16" s="7">
        <f>I22/I14</f>
        <v>5.960243564547827</v>
      </c>
      <c r="J16" s="5" t="s">
        <v>22</v>
      </c>
    </row>
    <row r="17" spans="1:10" ht="12.75">
      <c r="A17" s="3"/>
      <c r="B17" s="8"/>
      <c r="C17" s="4"/>
      <c r="D17" s="4"/>
      <c r="E17" s="4"/>
      <c r="F17" s="4"/>
      <c r="G17" s="4"/>
      <c r="H17" s="8"/>
      <c r="I17" s="4"/>
      <c r="J17" s="6"/>
    </row>
    <row r="18" spans="1:10" ht="12.75">
      <c r="A18" s="3" t="s">
        <v>12</v>
      </c>
      <c r="B18" s="4">
        <f aca="true" t="shared" si="6" ref="B18:G18">B5/B24</f>
        <v>10204.08163265306</v>
      </c>
      <c r="C18" s="4">
        <f t="shared" si="6"/>
        <v>10204.08163265306</v>
      </c>
      <c r="D18" s="4">
        <f t="shared" si="6"/>
        <v>10204.08163265306</v>
      </c>
      <c r="E18" s="4">
        <f t="shared" si="6"/>
        <v>10204.08163265306</v>
      </c>
      <c r="F18" s="4">
        <f t="shared" si="6"/>
        <v>10204.08163265306</v>
      </c>
      <c r="G18" s="4">
        <f t="shared" si="6"/>
        <v>10204.08163265306</v>
      </c>
      <c r="H18" s="4">
        <f>H5/H24</f>
        <v>0</v>
      </c>
      <c r="I18" s="4">
        <f>I5/I24</f>
        <v>0</v>
      </c>
      <c r="J18" s="5">
        <f>J5/J24</f>
        <v>11337.868480725623</v>
      </c>
    </row>
    <row r="19" spans="1:10" ht="14.25" customHeight="1">
      <c r="A19" s="3" t="s">
        <v>11</v>
      </c>
      <c r="B19" s="4">
        <f aca="true" t="shared" si="7" ref="B19:G19">(B5+B7)/B24</f>
        <v>12503.401360544218</v>
      </c>
      <c r="C19" s="4">
        <f t="shared" si="7"/>
        <v>12081.632653061224</v>
      </c>
      <c r="D19" s="4">
        <f t="shared" si="7"/>
        <v>11970.521541950113</v>
      </c>
      <c r="E19" s="4">
        <f t="shared" si="7"/>
        <v>11564.625850340137</v>
      </c>
      <c r="F19" s="4">
        <f t="shared" si="7"/>
        <v>11464.85260770975</v>
      </c>
      <c r="G19" s="4">
        <f t="shared" si="7"/>
        <v>11086.167800453515</v>
      </c>
      <c r="H19" s="4">
        <f>(H5+H7)/H24</f>
        <v>9895.691609977324</v>
      </c>
      <c r="I19" s="4">
        <f>(I5+I7)/I24</f>
        <v>5419.501133786848</v>
      </c>
      <c r="J19" s="5">
        <f>(J5+J7)/J24</f>
        <v>13605.442176870749</v>
      </c>
    </row>
    <row r="20" spans="1:10" ht="19.5" customHeight="1">
      <c r="A20" s="3" t="s">
        <v>37</v>
      </c>
      <c r="B20" s="7">
        <f aca="true" t="shared" si="8" ref="B20:I20">B23/B19</f>
        <v>1.5690130576713819</v>
      </c>
      <c r="C20" s="7">
        <f t="shared" si="8"/>
        <v>1.6237871621621622</v>
      </c>
      <c r="D20" s="7">
        <f t="shared" si="8"/>
        <v>1.638859253646524</v>
      </c>
      <c r="E20" s="7">
        <f t="shared" si="8"/>
        <v>1.6963799999999998</v>
      </c>
      <c r="F20" s="7">
        <f t="shared" si="8"/>
        <v>1.7111428006329115</v>
      </c>
      <c r="G20" s="7">
        <f t="shared" si="8"/>
        <v>1.7695925547146656</v>
      </c>
      <c r="H20" s="7">
        <f t="shared" si="8"/>
        <v>1.9824789184234648</v>
      </c>
      <c r="I20" s="7">
        <f t="shared" si="8"/>
        <v>3.6198903765690376</v>
      </c>
      <c r="J20" s="9">
        <f>J23/J19</f>
        <v>1.4419229999999998</v>
      </c>
    </row>
    <row r="21" spans="1:10" ht="12.75">
      <c r="A21" s="3"/>
      <c r="B21" s="10"/>
      <c r="C21" s="10"/>
      <c r="D21" s="10"/>
      <c r="E21" s="10"/>
      <c r="F21" s="10"/>
      <c r="G21" s="10"/>
      <c r="H21" s="10"/>
      <c r="I21" s="10"/>
      <c r="J21" s="6"/>
    </row>
    <row r="22" spans="1:10" ht="12.75">
      <c r="A22" s="3" t="s">
        <v>14</v>
      </c>
      <c r="B22" s="10">
        <v>185000</v>
      </c>
      <c r="C22" s="10">
        <v>185000</v>
      </c>
      <c r="D22" s="10">
        <v>185000</v>
      </c>
      <c r="E22" s="10">
        <v>185000</v>
      </c>
      <c r="F22" s="10">
        <v>185000</v>
      </c>
      <c r="G22" s="10">
        <v>185000</v>
      </c>
      <c r="H22" s="10">
        <v>185000</v>
      </c>
      <c r="I22" s="10">
        <v>185000</v>
      </c>
      <c r="J22" s="5" t="s">
        <v>22</v>
      </c>
    </row>
    <row r="23" spans="1:10" ht="12.75">
      <c r="A23" s="3" t="s">
        <v>16</v>
      </c>
      <c r="B23" s="10">
        <f>34000*0.577</f>
        <v>19618</v>
      </c>
      <c r="C23" s="10">
        <f aca="true" t="shared" si="9" ref="C23:J23">34000*0.577</f>
        <v>19618</v>
      </c>
      <c r="D23" s="10">
        <f t="shared" si="9"/>
        <v>19618</v>
      </c>
      <c r="E23" s="10">
        <f t="shared" si="9"/>
        <v>19618</v>
      </c>
      <c r="F23" s="10">
        <f t="shared" si="9"/>
        <v>19618</v>
      </c>
      <c r="G23" s="10">
        <f t="shared" si="9"/>
        <v>19618</v>
      </c>
      <c r="H23" s="10">
        <f>34000*0.577</f>
        <v>19618</v>
      </c>
      <c r="I23" s="10">
        <f>34000*0.577</f>
        <v>19618</v>
      </c>
      <c r="J23" s="10">
        <f t="shared" si="9"/>
        <v>19618</v>
      </c>
    </row>
    <row r="24" spans="1:10" ht="12.75">
      <c r="A24" s="3" t="s">
        <v>13</v>
      </c>
      <c r="B24" s="10">
        <v>0.441</v>
      </c>
      <c r="C24" s="10">
        <v>0.441</v>
      </c>
      <c r="D24" s="10">
        <v>0.441</v>
      </c>
      <c r="E24" s="10">
        <v>0.441</v>
      </c>
      <c r="F24" s="10">
        <v>0.441</v>
      </c>
      <c r="G24" s="10">
        <v>0.441</v>
      </c>
      <c r="H24" s="10">
        <v>0.441</v>
      </c>
      <c r="I24" s="10">
        <v>0.441</v>
      </c>
      <c r="J24" s="6">
        <v>0.441</v>
      </c>
    </row>
    <row r="25" spans="1:10" ht="12.75">
      <c r="A25" s="3" t="s">
        <v>15</v>
      </c>
      <c r="B25" s="10">
        <v>0.077</v>
      </c>
      <c r="C25" s="10">
        <v>0.077</v>
      </c>
      <c r="D25" s="10">
        <v>0.077</v>
      </c>
      <c r="E25" s="10">
        <v>0.077</v>
      </c>
      <c r="F25" s="10">
        <v>0.077</v>
      </c>
      <c r="G25" s="10">
        <v>0.077</v>
      </c>
      <c r="H25" s="10">
        <v>0.077</v>
      </c>
      <c r="I25" s="10">
        <v>0.077</v>
      </c>
      <c r="J25" s="5" t="s">
        <v>22</v>
      </c>
    </row>
    <row r="26" spans="1:10" ht="12.75">
      <c r="A26" s="3"/>
      <c r="B26" s="10"/>
      <c r="C26" s="10"/>
      <c r="D26" s="10"/>
      <c r="E26" s="10"/>
      <c r="F26" s="10"/>
      <c r="G26" s="10"/>
      <c r="H26" s="10"/>
      <c r="I26" s="10"/>
      <c r="J26" s="6"/>
    </row>
    <row r="27" spans="1:10" ht="12.75">
      <c r="A27" s="3"/>
      <c r="B27" s="10"/>
      <c r="C27" s="10"/>
      <c r="D27" s="10"/>
      <c r="E27" s="10"/>
      <c r="F27" s="10"/>
      <c r="G27" s="10"/>
      <c r="H27" s="10"/>
      <c r="I27" s="10"/>
      <c r="J27" s="6"/>
    </row>
    <row r="28" spans="1:10" ht="12.75">
      <c r="A28" s="3" t="s">
        <v>18</v>
      </c>
      <c r="B28" s="4">
        <f aca="true" t="shared" si="10" ref="B28:G28">2.5*(B14-B11)/2</f>
        <v>16648.051948051943</v>
      </c>
      <c r="C28" s="4">
        <f t="shared" si="10"/>
        <v>16009.301948051943</v>
      </c>
      <c r="D28" s="4">
        <f t="shared" si="10"/>
        <v>12765.551948051943</v>
      </c>
      <c r="E28" s="4">
        <f t="shared" si="10"/>
        <v>11573.051948051943</v>
      </c>
      <c r="F28" s="4">
        <f t="shared" si="10"/>
        <v>9091.801948051943</v>
      </c>
      <c r="G28" s="4">
        <f t="shared" si="10"/>
        <v>7503.051948051943</v>
      </c>
      <c r="H28" s="4">
        <f>2.5*(H14-H11)/2</f>
        <v>70843.75</v>
      </c>
      <c r="I28" s="4">
        <f>2.5*(I14-I11)/2</f>
        <v>38798.75</v>
      </c>
      <c r="J28" s="5" t="s">
        <v>22</v>
      </c>
    </row>
    <row r="29" spans="1:10" ht="12.75">
      <c r="A29" s="3" t="s">
        <v>17</v>
      </c>
      <c r="B29" s="4">
        <f aca="true" t="shared" si="11" ref="B29:G29">B11+(B14-B11)/2</f>
        <v>65100.77922077922</v>
      </c>
      <c r="C29" s="4">
        <f t="shared" si="11"/>
        <v>64845.27922077922</v>
      </c>
      <c r="D29" s="4">
        <f t="shared" si="11"/>
        <v>63547.77922077922</v>
      </c>
      <c r="E29" s="4">
        <f t="shared" si="11"/>
        <v>63070.77922077922</v>
      </c>
      <c r="F29" s="4">
        <f t="shared" si="11"/>
        <v>62078.27922077922</v>
      </c>
      <c r="G29" s="4">
        <f t="shared" si="11"/>
        <v>61442.77922077922</v>
      </c>
      <c r="H29" s="4">
        <f>H11+(H14-H11)/2</f>
        <v>28337.5</v>
      </c>
      <c r="I29" s="4">
        <f>I11+(I14-I11)/2</f>
        <v>15519.5</v>
      </c>
      <c r="J29" s="5" t="s">
        <v>22</v>
      </c>
    </row>
    <row r="30" spans="1:10" ht="12.75">
      <c r="A30" s="3"/>
      <c r="B30" s="4"/>
      <c r="C30" s="4"/>
      <c r="D30" s="4"/>
      <c r="E30" s="4"/>
      <c r="F30" s="4"/>
      <c r="G30" s="4"/>
      <c r="H30" s="4"/>
      <c r="I30" s="4"/>
      <c r="J30" s="6"/>
    </row>
    <row r="31" spans="1:10" ht="12.75">
      <c r="A31" s="3" t="s">
        <v>19</v>
      </c>
      <c r="B31" s="4">
        <f aca="true" t="shared" si="12" ref="B31:G31">2.5*(B19-B18)/2</f>
        <v>2874.149659863947</v>
      </c>
      <c r="C31" s="4">
        <f t="shared" si="12"/>
        <v>2346.938775510205</v>
      </c>
      <c r="D31" s="4">
        <f t="shared" si="12"/>
        <v>2208.0498866213156</v>
      </c>
      <c r="E31" s="4">
        <f t="shared" si="12"/>
        <v>1700.6802721088457</v>
      </c>
      <c r="F31" s="4">
        <f t="shared" si="12"/>
        <v>1575.9637188208626</v>
      </c>
      <c r="G31" s="4">
        <f t="shared" si="12"/>
        <v>1102.6077097505686</v>
      </c>
      <c r="H31" s="4">
        <f>2.5*(H19-H18)/2</f>
        <v>12369.614512471655</v>
      </c>
      <c r="I31" s="4">
        <f>2.5*(I19-I18)/2</f>
        <v>6774.3764172335605</v>
      </c>
      <c r="J31" s="5">
        <f>2.5*(J19-J18)/2</f>
        <v>2834.467120181407</v>
      </c>
    </row>
    <row r="32" spans="1:10" ht="12.75">
      <c r="A32" s="3" t="s">
        <v>20</v>
      </c>
      <c r="B32" s="4">
        <f aca="true" t="shared" si="13" ref="B32:G32">B18+(B19-B18)/2</f>
        <v>11353.741496598639</v>
      </c>
      <c r="C32" s="4">
        <f t="shared" si="13"/>
        <v>11142.857142857141</v>
      </c>
      <c r="D32" s="4">
        <f t="shared" si="13"/>
        <v>11087.301587301587</v>
      </c>
      <c r="E32" s="4">
        <f t="shared" si="13"/>
        <v>10884.353741496598</v>
      </c>
      <c r="F32" s="4">
        <f t="shared" si="13"/>
        <v>10834.467120181405</v>
      </c>
      <c r="G32" s="4">
        <f t="shared" si="13"/>
        <v>10645.124716553288</v>
      </c>
      <c r="H32" s="4">
        <f>H18+(H19-H18)/2</f>
        <v>4947.845804988662</v>
      </c>
      <c r="I32" s="4">
        <f>I18+(I19-I18)/2</f>
        <v>2709.750566893424</v>
      </c>
      <c r="J32" s="5">
        <f>J18+(J19-J18)/2</f>
        <v>12471.655328798186</v>
      </c>
    </row>
    <row r="35" ht="27">
      <c r="A35" s="15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Kalish</dc:creator>
  <cp:keywords/>
  <dc:description/>
  <cp:lastModifiedBy>helpdesk</cp:lastModifiedBy>
  <cp:lastPrinted>2003-12-15T20:45:28Z</cp:lastPrinted>
  <dcterms:created xsi:type="dcterms:W3CDTF">2003-07-30T17:11:45Z</dcterms:created>
  <dcterms:modified xsi:type="dcterms:W3CDTF">2008-04-29T13:52:00Z</dcterms:modified>
  <cp:category/>
  <cp:version/>
  <cp:contentType/>
  <cp:contentStatus/>
</cp:coreProperties>
</file>