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5" yWindow="65521" windowWidth="16545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<sst xmlns="http://schemas.openxmlformats.org/spreadsheetml/2006/main" count="137" uniqueCount="118">
  <si>
    <t>Max. FS Friction OOP</t>
  </si>
  <si>
    <t>Min. FS Friction IP</t>
  </si>
  <si>
    <t>Avg. FS Friction IP</t>
  </si>
  <si>
    <t>Max. FS Friction IP</t>
  </si>
  <si>
    <t>kG</t>
  </si>
  <si>
    <t>in-lbf</t>
  </si>
  <si>
    <t>in</t>
  </si>
  <si>
    <t>lbf</t>
  </si>
  <si>
    <t>Test FS for Threads 
(FS=1.5 for 2/3 yield) uses 25000 lb pull test as tensile strength</t>
  </si>
  <si>
    <t>calc torque to get axial load using simple formula</t>
  </si>
  <si>
    <t>Torque for 5500lb using advanced formula and cof of .3 see Mathcad Calc.</t>
  </si>
  <si>
    <t>Calc. FS for Bolt
(unrealistically high - no torsional stress used) 
Allowable Yield / Row 61 Load</t>
  </si>
  <si>
    <t>Theory predicts 5500 lbs at 100 Ft-Lbs using COF for bolt of .3 matching nominal test data</t>
  </si>
  <si>
    <t xml:space="preserve">For the minimum resultant load as tested at 100 Ft-Lbs with a COF of .23 for the box to the hub plate 
</t>
  </si>
  <si>
    <t>we are just above a FS =1</t>
  </si>
  <si>
    <t xml:space="preserve">For the Max resultant load as tested at 100 Ft-Lbs with a COF of .23 for the box to the hub plate </t>
  </si>
  <si>
    <t>we are at 2/3 shear yield stress in the bolt threads per testing and 77% yield per theory</t>
  </si>
  <si>
    <t>We are at 1/3 the Torque at which the stud failed</t>
  </si>
  <si>
    <t>Hardnes (Brinell) max</t>
  </si>
  <si>
    <t>Kalish / Heitzenroeder</t>
  </si>
  <si>
    <t>A286 Stud as shipped</t>
  </si>
  <si>
    <t>Torque Test FS for Bolt 
(for .89% Tensile and 2/3 Yield at 100FtLb)
FS=1 at 2/3 Yield</t>
  </si>
  <si>
    <t>In Plane Load</t>
  </si>
  <si>
    <t>Out Of Plane Load</t>
  </si>
  <si>
    <t>At 6 kG</t>
  </si>
  <si>
    <t>Field Strength kG</t>
  </si>
  <si>
    <t>Resultant Load</t>
  </si>
  <si>
    <t>COF for Coated Plates</t>
  </si>
  <si>
    <t>Calc. FS for Friction Out of Plane</t>
  </si>
  <si>
    <t>Min. FS Friction Resultant</t>
  </si>
  <si>
    <t>Avg. FS Friction Resultant</t>
  </si>
  <si>
    <t>Max. FS Friction Resultant</t>
  </si>
  <si>
    <t>bolt size</t>
  </si>
  <si>
    <t>Pitch diameter</t>
  </si>
  <si>
    <t>threads/in.</t>
  </si>
  <si>
    <t>tensile area</t>
  </si>
  <si>
    <t>Tension allowable</t>
  </si>
  <si>
    <t>coeff. Of frict.</t>
  </si>
  <si>
    <t>Frict. Load/bolt</t>
  </si>
  <si>
    <t>Total no. bolts</t>
  </si>
  <si>
    <t>total frict. Load</t>
  </si>
  <si>
    <t>lateral load on box</t>
  </si>
  <si>
    <t>Shear allowable</t>
  </si>
  <si>
    <t>Thread engagement length</t>
  </si>
  <si>
    <t>Eq. 3.7 "An Introduction…</t>
  </si>
  <si>
    <t>At tension allowable</t>
  </si>
  <si>
    <t>Friction F.S.</t>
  </si>
  <si>
    <t>Type</t>
  </si>
  <si>
    <t>UNS</t>
  </si>
  <si>
    <t xml:space="preserve">Avg. Bolt Tension </t>
  </si>
  <si>
    <t xml:space="preserve">Max. Bolt Tension </t>
  </si>
  <si>
    <t xml:space="preserve">Min Resistance to Load </t>
  </si>
  <si>
    <t xml:space="preserve">Avg Resistance to Load </t>
  </si>
  <si>
    <t xml:space="preserve">Max Resistance to Load </t>
  </si>
  <si>
    <t xml:space="preserve">Min Bolt Tension </t>
  </si>
  <si>
    <t>% In Plane Load to Hub/Box Shear</t>
  </si>
  <si>
    <t>Tensile (ksi) min</t>
  </si>
  <si>
    <t>Yield (ksi) min</t>
  </si>
  <si>
    <t>Elongation min</t>
  </si>
  <si>
    <t>Hardness (Rockwell B) max</t>
  </si>
  <si>
    <t>S30200</t>
  </si>
  <si>
    <t>40% in 2"</t>
  </si>
  <si>
    <t>S30400</t>
  </si>
  <si>
    <t>304L</t>
  </si>
  <si>
    <t>S30403</t>
  </si>
  <si>
    <t>S30900</t>
  </si>
  <si>
    <t>300 Series Austinetic  (from http://www.sppusa.com/reference/stainless_steel/physical.html)</t>
  </si>
  <si>
    <t>Friction load achieved / lateral load on box.</t>
  </si>
  <si>
    <t>Ultimate tensile str.</t>
  </si>
  <si>
    <t>Tensile Yield strength</t>
  </si>
  <si>
    <t>Max Axial load/bolt</t>
  </si>
  <si>
    <t>Applied Axial load/bolt</t>
  </si>
  <si>
    <t>Test Load at Failure</t>
  </si>
  <si>
    <t>Bolt Pull Out Force</t>
  </si>
  <si>
    <t>Ratio of 2/3 yield to Tensile for 304 Plate</t>
  </si>
  <si>
    <t>LB</t>
  </si>
  <si>
    <t>Load at 2/3 yield per test</t>
  </si>
  <si>
    <t>2/3 Yield for Stud</t>
  </si>
  <si>
    <t>Eq. 2.1 "An Intro. to the design and Behavior of Bolted Joints".</t>
  </si>
  <si>
    <t>Pull Out Testing:  Bolt threaded into SS plate and pulled</t>
  </si>
  <si>
    <t>LBS</t>
  </si>
  <si>
    <t>Vendor Pull test of Stud</t>
  </si>
  <si>
    <t>SS Plate</t>
  </si>
  <si>
    <t>Actual Box</t>
  </si>
  <si>
    <t>Ft-Lbs</t>
  </si>
  <si>
    <t>Pull test: Stud out of Threaded SS, Threads Pulled Out</t>
  </si>
  <si>
    <t>No Failure of threads, Stud Failed all times for torque test (threads fail with pull test</t>
  </si>
  <si>
    <t>Load at 2/3 yield per pull-out testing</t>
  </si>
  <si>
    <t>Failure,        Ft-Lbs</t>
  </si>
  <si>
    <t>2/3 Apparent Yield,       Ft-Lbs</t>
  </si>
  <si>
    <t>40% of Tensile SS,      Ft-Lbs</t>
  </si>
  <si>
    <t>.89% of Tensile A286,      Ft-Lbs</t>
  </si>
  <si>
    <t>2/3x40% Tensile SS,       Ft-Lbs</t>
  </si>
  <si>
    <t>2/3x.89%Tensile A286,        Ft-Lbs</t>
  </si>
  <si>
    <t>Average, Minimum, Maximum</t>
  </si>
  <si>
    <t>Per Calc but less than 2/3 yield per test</t>
  </si>
  <si>
    <t>Min. Load</t>
  </si>
  <si>
    <t>Avg. Load</t>
  </si>
  <si>
    <t>Max Load</t>
  </si>
  <si>
    <t>Calc. FS for Threads (FS=1.5 for 2/3 yield)</t>
  </si>
  <si>
    <t>Recommend using 100 Ft-Lbs torque on Box Bolts</t>
  </si>
  <si>
    <t>At 100 Ft-Lbs Curve from testing actual hardware shows</t>
  </si>
  <si>
    <t>minimum load of 3900 lbs, max. load of 6500 lbs and average load of 5500 lbs</t>
  </si>
  <si>
    <t>Apparent Yield,      Ft-Lbs subjective</t>
  </si>
  <si>
    <t>Torqued to Failure Test (all in Ft-Lbs)</t>
  </si>
  <si>
    <t>Moment Arm to Interface</t>
  </si>
  <si>
    <t>In Plane Shear Load per Interface</t>
  </si>
  <si>
    <t>Total In Plane EM Moment</t>
  </si>
  <si>
    <t>Min. FS Friction OOP</t>
  </si>
  <si>
    <t>Avg. FS Friction OOP</t>
  </si>
  <si>
    <t>Out Of Plane EM (shear) Load Total</t>
  </si>
  <si>
    <t>Out Of Plane EM (shear) Load per Side</t>
  </si>
  <si>
    <t xml:space="preserve">Thread Shear (pull out) F.S. </t>
  </si>
  <si>
    <t>Thread Shear area</t>
  </si>
  <si>
    <t>Thread Shear stress</t>
  </si>
  <si>
    <t>Revision F  10-27-04</t>
  </si>
  <si>
    <t>Calculated by Irv. Zatz</t>
  </si>
  <si>
    <t>For Coated Plates per T. Kozub Testing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</si>
</sst>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0"/>
      <color indexed="57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0" fillId="0" borderId="1" xfId="0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164" fontId="0" fillId="0" borderId="1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1" fontId="0" fillId="0" borderId="2" xfId="0" applyNumberForma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/>
    </xf>
    <xf numFmtId="169" fontId="2" fillId="0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4" fillId="0" borderId="3" xfId="0" applyFon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1" fontId="0" fillId="0" borderId="0" xfId="0" applyNumberFormat="1" applyFill="1" applyAlignment="1">
      <alignment/>
    </xf>
    <xf numFmtId="164" fontId="0" fillId="0" borderId="1" xfId="0" applyNumberFormat="1" applyFill="1" applyBorder="1" applyAlignment="1">
      <alignment wrapText="1"/>
    </xf>
    <xf numFmtId="16" fontId="0" fillId="0" borderId="1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1" fontId="0" fillId="0" borderId="1" xfId="0" applyNumberFormat="1" applyFill="1" applyBorder="1" applyAlignment="1">
      <alignment horizontal="left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wrapText="1"/>
    </xf>
    <xf numFmtId="169" fontId="0" fillId="0" borderId="1" xfId="0" applyNumberFormat="1" applyFill="1" applyBorder="1" applyAlignment="1">
      <alignment/>
    </xf>
    <xf numFmtId="169" fontId="4" fillId="0" borderId="1" xfId="0" applyNumberFormat="1" applyFont="1" applyFill="1" applyBorder="1" applyAlignment="1">
      <alignment/>
    </xf>
    <xf numFmtId="169" fontId="4" fillId="0" borderId="1" xfId="0" applyNumberFormat="1" applyFont="1" applyFill="1" applyBorder="1" applyAlignment="1">
      <alignment wrapText="1"/>
    </xf>
    <xf numFmtId="169" fontId="0" fillId="0" borderId="1" xfId="0" applyNumberFormat="1" applyFill="1" applyBorder="1" applyAlignment="1">
      <alignment wrapText="1"/>
    </xf>
    <xf numFmtId="169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9" fontId="0" fillId="0" borderId="1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8" xfId="0" applyFill="1" applyBorder="1" applyAlignment="1">
      <alignment/>
    </xf>
    <xf numFmtId="2" fontId="4" fillId="0" borderId="9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2" fontId="4" fillId="0" borderId="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workbookViewId="0" topLeftCell="A22">
      <selection activeCell="H20" sqref="H20"/>
    </sheetView>
  </sheetViews>
  <sheetFormatPr defaultColWidth="9.140625" defaultRowHeight="12.75"/>
  <cols>
    <col min="1" max="1" width="32.00390625" style="6" customWidth="1"/>
    <col min="2" max="2" width="10.00390625" style="5" customWidth="1"/>
    <col min="3" max="3" width="9.421875" style="6" customWidth="1"/>
    <col min="4" max="4" width="8.421875" style="6" customWidth="1"/>
    <col min="5" max="5" width="8.140625" style="6" customWidth="1"/>
    <col min="6" max="6" width="8.28125" style="6" customWidth="1"/>
    <col min="7" max="7" width="19.140625" style="6" customWidth="1"/>
    <col min="8" max="8" width="10.7109375" style="6" customWidth="1"/>
    <col min="9" max="9" width="9.421875" style="6" customWidth="1"/>
    <col min="10" max="16384" width="8.8515625" style="6" customWidth="1"/>
  </cols>
  <sheetData>
    <row r="1" spans="1:7" ht="12.75">
      <c r="A1" s="4"/>
      <c r="G1" s="6" t="s">
        <v>115</v>
      </c>
    </row>
    <row r="2" spans="1:7" ht="12.75">
      <c r="A2" s="4"/>
      <c r="G2" s="6" t="s">
        <v>19</v>
      </c>
    </row>
    <row r="3" spans="1:2" ht="12.75">
      <c r="A3" s="7" t="s">
        <v>32</v>
      </c>
      <c r="B3" s="8">
        <v>0.5</v>
      </c>
    </row>
    <row r="4" spans="1:2" ht="12.75">
      <c r="A4" s="7" t="s">
        <v>34</v>
      </c>
      <c r="B4" s="8">
        <v>20</v>
      </c>
    </row>
    <row r="5" spans="1:2" ht="12.75">
      <c r="A5" s="7" t="s">
        <v>33</v>
      </c>
      <c r="B5" s="8">
        <v>0.4675</v>
      </c>
    </row>
    <row r="6" spans="1:3" ht="12.75">
      <c r="A6" s="7" t="s">
        <v>35</v>
      </c>
      <c r="B6" s="8">
        <f>0.7854*(B3-0.9743/B4)^2</f>
        <v>0.159953111972115</v>
      </c>
      <c r="C6" s="6" t="s">
        <v>78</v>
      </c>
    </row>
    <row r="7" spans="1:3" ht="12.75">
      <c r="A7" s="7" t="s">
        <v>69</v>
      </c>
      <c r="B7" s="9">
        <v>189000</v>
      </c>
      <c r="C7" s="6" t="s">
        <v>20</v>
      </c>
    </row>
    <row r="8" spans="1:3" ht="12.75">
      <c r="A8" s="7" t="s">
        <v>68</v>
      </c>
      <c r="B8" s="9">
        <v>211000</v>
      </c>
      <c r="C8" s="6" t="s">
        <v>20</v>
      </c>
    </row>
    <row r="9" spans="1:3" ht="12.75">
      <c r="A9" s="7" t="s">
        <v>36</v>
      </c>
      <c r="B9" s="9">
        <f>B7*2/3</f>
        <v>126000</v>
      </c>
      <c r="C9" s="6" t="s">
        <v>77</v>
      </c>
    </row>
    <row r="10" spans="1:3" ht="12.75">
      <c r="A10" s="7" t="s">
        <v>70</v>
      </c>
      <c r="B10" s="9">
        <f>B9*B6</f>
        <v>20154.09210848649</v>
      </c>
      <c r="C10" s="6" t="s">
        <v>45</v>
      </c>
    </row>
    <row r="11" spans="1:3" ht="12.75">
      <c r="A11" s="7" t="s">
        <v>72</v>
      </c>
      <c r="B11" s="9">
        <v>25000</v>
      </c>
      <c r="C11" s="6" t="s">
        <v>85</v>
      </c>
    </row>
    <row r="12" spans="1:2" ht="12.75">
      <c r="A12" s="10" t="s">
        <v>76</v>
      </c>
      <c r="B12" s="11">
        <f>B11*0.4*0.6666</f>
        <v>6666</v>
      </c>
    </row>
    <row r="13" spans="1:5" ht="12.75">
      <c r="A13" s="7" t="s">
        <v>71</v>
      </c>
      <c r="B13" s="9">
        <v>5500</v>
      </c>
      <c r="C13" s="7">
        <v>3900</v>
      </c>
      <c r="D13" s="7">
        <v>6500</v>
      </c>
      <c r="E13" s="6" t="s">
        <v>94</v>
      </c>
    </row>
    <row r="14" spans="1:5" ht="12.75">
      <c r="A14" s="7" t="s">
        <v>37</v>
      </c>
      <c r="B14" s="12">
        <v>0.6</v>
      </c>
      <c r="C14" s="8">
        <f>B14</f>
        <v>0.6</v>
      </c>
      <c r="D14" s="8">
        <f>B14</f>
        <v>0.6</v>
      </c>
      <c r="E14" s="6" t="s">
        <v>117</v>
      </c>
    </row>
    <row r="15" spans="1:4" ht="12.75">
      <c r="A15" s="7" t="s">
        <v>38</v>
      </c>
      <c r="B15" s="9">
        <f>B14*B13</f>
        <v>3300</v>
      </c>
      <c r="C15" s="9">
        <f>C14*C13</f>
        <v>2340</v>
      </c>
      <c r="D15" s="9">
        <f>D14*D13</f>
        <v>3900</v>
      </c>
    </row>
    <row r="16" spans="1:4" ht="12.75">
      <c r="A16" s="7" t="s">
        <v>39</v>
      </c>
      <c r="B16" s="13">
        <v>6</v>
      </c>
      <c r="C16" s="13">
        <v>6</v>
      </c>
      <c r="D16" s="13">
        <v>6</v>
      </c>
    </row>
    <row r="17" spans="1:4" ht="12.75">
      <c r="A17" s="7" t="s">
        <v>40</v>
      </c>
      <c r="B17" s="9">
        <f>B16*B15</f>
        <v>19800</v>
      </c>
      <c r="C17" s="9">
        <f>C16*C15</f>
        <v>14040</v>
      </c>
      <c r="D17" s="9">
        <f>D16*D15</f>
        <v>23400</v>
      </c>
    </row>
    <row r="18" spans="1:4" ht="12.75">
      <c r="A18" s="7" t="s">
        <v>41</v>
      </c>
      <c r="B18" s="9">
        <v>4700</v>
      </c>
      <c r="C18" s="9">
        <v>4700</v>
      </c>
      <c r="D18" s="9">
        <v>4700</v>
      </c>
    </row>
    <row r="19" spans="1:5" ht="12.75">
      <c r="A19" s="7" t="s">
        <v>46</v>
      </c>
      <c r="B19" s="14">
        <f>B17/B18</f>
        <v>4.212765957446808</v>
      </c>
      <c r="C19" s="14">
        <f>C17/C18</f>
        <v>2.9872340425531916</v>
      </c>
      <c r="D19" s="14">
        <f>D17/D18</f>
        <v>4.9787234042553195</v>
      </c>
      <c r="E19" s="6" t="s">
        <v>67</v>
      </c>
    </row>
    <row r="20" spans="1:5" ht="12.75">
      <c r="A20" s="7" t="s">
        <v>42</v>
      </c>
      <c r="B20" s="9">
        <v>15000</v>
      </c>
      <c r="C20" s="9">
        <v>15000</v>
      </c>
      <c r="D20" s="9">
        <v>15000</v>
      </c>
      <c r="E20" s="15"/>
    </row>
    <row r="21" spans="1:5" ht="12.75">
      <c r="A21" s="7" t="s">
        <v>43</v>
      </c>
      <c r="B21" s="8">
        <v>0.5</v>
      </c>
      <c r="C21" s="8">
        <v>0.5</v>
      </c>
      <c r="D21" s="8">
        <v>0.5</v>
      </c>
      <c r="E21" s="6" t="s">
        <v>44</v>
      </c>
    </row>
    <row r="22" spans="1:4" ht="12.75">
      <c r="A22" s="7" t="s">
        <v>113</v>
      </c>
      <c r="B22" s="8">
        <f>PI()*B5*B21*0.75</f>
        <v>0.5507604620824607</v>
      </c>
      <c r="C22" s="8">
        <f>B22</f>
        <v>0.5507604620824607</v>
      </c>
      <c r="D22" s="8">
        <f>B22</f>
        <v>0.5507604620824607</v>
      </c>
    </row>
    <row r="23" spans="1:5" ht="12.75">
      <c r="A23" s="7" t="s">
        <v>114</v>
      </c>
      <c r="B23" s="9">
        <f>B13/B22</f>
        <v>9986.192507726766</v>
      </c>
      <c r="C23" s="9">
        <f>C13/C22</f>
        <v>7081.118323660798</v>
      </c>
      <c r="D23" s="9">
        <f>D13/D22</f>
        <v>11801.863872767995</v>
      </c>
      <c r="E23" s="6" t="s">
        <v>95</v>
      </c>
    </row>
    <row r="24" spans="1:4" ht="12.75">
      <c r="A24" s="7" t="s">
        <v>112</v>
      </c>
      <c r="B24" s="14">
        <f>B20/B23</f>
        <v>1.50207398749762</v>
      </c>
      <c r="C24" s="14">
        <f>C20/C23</f>
        <v>2.1183094695479254</v>
      </c>
      <c r="D24" s="14">
        <f>D20/D23</f>
        <v>1.2709856817287555</v>
      </c>
    </row>
    <row r="25" spans="1:4" ht="20.25" customHeight="1">
      <c r="A25" s="7"/>
      <c r="B25" s="14"/>
      <c r="C25" s="14"/>
      <c r="D25" s="14"/>
    </row>
    <row r="26" spans="1:4" ht="26.25" customHeight="1">
      <c r="A26" s="2" t="s">
        <v>9</v>
      </c>
      <c r="B26" s="9">
        <f>0.2*B5*B13/12</f>
        <v>42.85416666666668</v>
      </c>
      <c r="C26" s="7"/>
      <c r="D26" s="7"/>
    </row>
    <row r="27" spans="1:4" ht="38.25" customHeight="1">
      <c r="A27" s="2" t="s">
        <v>10</v>
      </c>
      <c r="B27" s="16">
        <v>101</v>
      </c>
      <c r="C27" s="7" t="s">
        <v>84</v>
      </c>
      <c r="D27" s="7"/>
    </row>
    <row r="28" ht="14.25" customHeight="1">
      <c r="D28" s="17"/>
    </row>
    <row r="29" ht="15.75" customHeight="1"/>
    <row r="30" spans="1:7" ht="12.75">
      <c r="A30" s="57" t="s">
        <v>66</v>
      </c>
      <c r="B30" s="57"/>
      <c r="C30" s="57"/>
      <c r="D30" s="57"/>
      <c r="E30" s="57"/>
      <c r="F30" s="57"/>
      <c r="G30" s="57"/>
    </row>
    <row r="31" spans="1:7" ht="13.5" customHeight="1">
      <c r="A31" s="57"/>
      <c r="B31" s="57"/>
      <c r="C31" s="57"/>
      <c r="D31" s="57"/>
      <c r="E31" s="57"/>
      <c r="F31" s="57"/>
      <c r="G31" s="57"/>
    </row>
    <row r="32" spans="1:7" ht="45" customHeight="1">
      <c r="A32" s="18" t="s">
        <v>47</v>
      </c>
      <c r="B32" s="18" t="s">
        <v>48</v>
      </c>
      <c r="C32" s="18" t="s">
        <v>56</v>
      </c>
      <c r="D32" s="18" t="s">
        <v>57</v>
      </c>
      <c r="E32" s="18" t="s">
        <v>58</v>
      </c>
      <c r="F32" s="18" t="s">
        <v>18</v>
      </c>
      <c r="G32" s="18" t="s">
        <v>59</v>
      </c>
    </row>
    <row r="33" spans="1:7" ht="2.25" customHeight="1" hidden="1">
      <c r="A33" s="58"/>
      <c r="B33" s="58"/>
      <c r="C33" s="58"/>
      <c r="D33" s="58"/>
      <c r="E33" s="58"/>
      <c r="F33" s="58"/>
      <c r="G33" s="58"/>
    </row>
    <row r="34" spans="1:7" ht="12.75">
      <c r="A34" s="19">
        <v>302</v>
      </c>
      <c r="B34" s="20" t="s">
        <v>60</v>
      </c>
      <c r="C34" s="19">
        <v>75</v>
      </c>
      <c r="D34" s="19">
        <v>30</v>
      </c>
      <c r="E34" s="19" t="s">
        <v>61</v>
      </c>
      <c r="F34" s="19">
        <v>183</v>
      </c>
      <c r="G34" s="19">
        <v>88</v>
      </c>
    </row>
    <row r="35" spans="1:7" ht="12.75">
      <c r="A35" s="19">
        <v>304</v>
      </c>
      <c r="B35" s="20" t="s">
        <v>62</v>
      </c>
      <c r="C35" s="19">
        <v>75</v>
      </c>
      <c r="D35" s="19">
        <v>30</v>
      </c>
      <c r="E35" s="19" t="s">
        <v>61</v>
      </c>
      <c r="F35" s="19">
        <v>183</v>
      </c>
      <c r="G35" s="19">
        <v>88</v>
      </c>
    </row>
    <row r="36" spans="1:7" ht="12.75">
      <c r="A36" s="19" t="s">
        <v>63</v>
      </c>
      <c r="B36" s="20" t="s">
        <v>64</v>
      </c>
      <c r="C36" s="19">
        <v>70</v>
      </c>
      <c r="D36" s="19">
        <v>30</v>
      </c>
      <c r="E36" s="19" t="s">
        <v>61</v>
      </c>
      <c r="F36" s="19">
        <v>183</v>
      </c>
      <c r="G36" s="19">
        <v>88</v>
      </c>
    </row>
    <row r="37" spans="1:7" ht="12.75">
      <c r="A37" s="19">
        <v>309</v>
      </c>
      <c r="B37" s="20" t="s">
        <v>65</v>
      </c>
      <c r="C37" s="19">
        <v>75</v>
      </c>
      <c r="D37" s="19">
        <v>30</v>
      </c>
      <c r="E37" s="19" t="s">
        <v>61</v>
      </c>
      <c r="F37" s="19">
        <v>217</v>
      </c>
      <c r="G37" s="19">
        <v>95</v>
      </c>
    </row>
    <row r="38" spans="1:7" ht="12.75">
      <c r="A38" s="21"/>
      <c r="B38" s="22"/>
      <c r="C38" s="21"/>
      <c r="D38" s="21"/>
      <c r="E38" s="21"/>
      <c r="F38" s="21"/>
      <c r="G38" s="21"/>
    </row>
    <row r="39" spans="1:8" ht="12.75">
      <c r="A39" s="23" t="s">
        <v>79</v>
      </c>
      <c r="B39" s="24"/>
      <c r="C39" s="25"/>
      <c r="D39" s="25"/>
      <c r="E39" s="26"/>
      <c r="F39" s="27"/>
      <c r="G39" s="27"/>
      <c r="H39" s="27"/>
    </row>
    <row r="40" spans="1:8" ht="12.75">
      <c r="A40" s="28"/>
      <c r="B40" s="8"/>
      <c r="C40" s="7"/>
      <c r="D40" s="7"/>
      <c r="E40" s="29"/>
      <c r="F40" s="27"/>
      <c r="G40" s="27"/>
      <c r="H40" s="27"/>
    </row>
    <row r="41" spans="1:8" ht="12.75">
      <c r="A41" s="7" t="s">
        <v>73</v>
      </c>
      <c r="B41" s="8"/>
      <c r="C41" s="9">
        <v>25000</v>
      </c>
      <c r="D41" s="7" t="s">
        <v>75</v>
      </c>
      <c r="E41" s="29"/>
      <c r="F41" s="27"/>
      <c r="G41" s="27"/>
      <c r="H41" s="27"/>
    </row>
    <row r="42" spans="1:8" ht="12.75">
      <c r="A42" s="7" t="s">
        <v>74</v>
      </c>
      <c r="B42" s="8"/>
      <c r="C42" s="8">
        <f>20/75</f>
        <v>0.26666666666666666</v>
      </c>
      <c r="D42" s="7"/>
      <c r="E42" s="29"/>
      <c r="F42" s="27"/>
      <c r="G42" s="27"/>
      <c r="H42" s="27"/>
    </row>
    <row r="43" spans="1:8" ht="12.75">
      <c r="A43" s="7" t="s">
        <v>87</v>
      </c>
      <c r="B43" s="8"/>
      <c r="C43" s="16">
        <f>C41*C42</f>
        <v>6666.666666666667</v>
      </c>
      <c r="D43" s="7" t="s">
        <v>75</v>
      </c>
      <c r="E43" s="29"/>
      <c r="F43" s="27"/>
      <c r="G43" s="27"/>
      <c r="H43" s="27"/>
    </row>
    <row r="44" spans="1:8" ht="12.75">
      <c r="A44" s="7"/>
      <c r="B44" s="7"/>
      <c r="C44" s="7"/>
      <c r="D44" s="7"/>
      <c r="E44" s="29"/>
      <c r="F44" s="27"/>
      <c r="G44" s="27"/>
      <c r="H44" s="27"/>
    </row>
    <row r="45" spans="1:8" ht="12.75">
      <c r="A45" s="7" t="s">
        <v>81</v>
      </c>
      <c r="B45" s="8"/>
      <c r="C45" s="9">
        <v>35000</v>
      </c>
      <c r="D45" s="7" t="s">
        <v>80</v>
      </c>
      <c r="E45" s="30"/>
      <c r="F45" s="27"/>
      <c r="G45" s="27"/>
      <c r="H45" s="27"/>
    </row>
    <row r="46" ht="12.75">
      <c r="C46" s="31"/>
    </row>
    <row r="47" ht="12.75">
      <c r="C47" s="5"/>
    </row>
    <row r="48" spans="1:8" ht="12.75">
      <c r="A48" s="28" t="s">
        <v>104</v>
      </c>
      <c r="B48" s="12"/>
      <c r="C48" s="12"/>
      <c r="D48" s="7"/>
      <c r="E48" s="7"/>
      <c r="F48" s="7"/>
      <c r="G48" s="7"/>
      <c r="H48" s="7"/>
    </row>
    <row r="49" spans="1:12" ht="60.75" customHeight="1">
      <c r="A49" s="7"/>
      <c r="B49" s="32" t="s">
        <v>88</v>
      </c>
      <c r="C49" s="2" t="s">
        <v>103</v>
      </c>
      <c r="D49" s="33" t="s">
        <v>89</v>
      </c>
      <c r="E49" s="2" t="s">
        <v>90</v>
      </c>
      <c r="F49" s="2" t="s">
        <v>91</v>
      </c>
      <c r="G49" s="2" t="s">
        <v>92</v>
      </c>
      <c r="H49" s="2" t="s">
        <v>93</v>
      </c>
      <c r="K49" s="34"/>
      <c r="L49" s="34"/>
    </row>
    <row r="50" spans="1:8" ht="14.25" customHeight="1">
      <c r="A50" s="35" t="s">
        <v>83</v>
      </c>
      <c r="B50" s="36">
        <v>300</v>
      </c>
      <c r="C50" s="37">
        <v>200</v>
      </c>
      <c r="D50" s="36">
        <f>C50*0.66666</f>
        <v>133.332</v>
      </c>
      <c r="E50" s="37">
        <f>B50*0.4</f>
        <v>120</v>
      </c>
      <c r="F50" s="36">
        <f>189/211*B50</f>
        <v>268.7203791469194</v>
      </c>
      <c r="G50" s="36">
        <f>E50*0.6666</f>
        <v>79.99199999999999</v>
      </c>
      <c r="H50" s="36">
        <f>F50*0.666</f>
        <v>178.96777251184835</v>
      </c>
    </row>
    <row r="51" spans="1:8" ht="12.75">
      <c r="A51" s="35" t="s">
        <v>83</v>
      </c>
      <c r="B51" s="36">
        <v>300</v>
      </c>
      <c r="C51" s="37">
        <v>250</v>
      </c>
      <c r="D51" s="36">
        <f>C51*0.66666</f>
        <v>166.66500000000002</v>
      </c>
      <c r="E51" s="37">
        <f>B51*0.4</f>
        <v>120</v>
      </c>
      <c r="F51" s="36">
        <f>189/211*B51</f>
        <v>268.7203791469194</v>
      </c>
      <c r="G51" s="36">
        <f>E51*0.6666</f>
        <v>79.99199999999999</v>
      </c>
      <c r="H51" s="36">
        <f>F51*0.666</f>
        <v>178.96777251184835</v>
      </c>
    </row>
    <row r="52" spans="1:8" ht="12.75">
      <c r="A52" s="35" t="s">
        <v>83</v>
      </c>
      <c r="B52" s="36">
        <v>325</v>
      </c>
      <c r="C52" s="37">
        <v>300</v>
      </c>
      <c r="D52" s="36">
        <f>C52*0.66666</f>
        <v>199.99800000000002</v>
      </c>
      <c r="E52" s="37">
        <f>B52*0.4</f>
        <v>130</v>
      </c>
      <c r="F52" s="36">
        <f>189/211*B52</f>
        <v>291.1137440758294</v>
      </c>
      <c r="G52" s="36">
        <f>E52*0.6666</f>
        <v>86.658</v>
      </c>
      <c r="H52" s="36">
        <f>F52*0.666</f>
        <v>193.88175355450238</v>
      </c>
    </row>
    <row r="53" spans="1:8" ht="12.75">
      <c r="A53" s="7" t="s">
        <v>82</v>
      </c>
      <c r="B53" s="36">
        <v>375</v>
      </c>
      <c r="C53" s="37">
        <v>275</v>
      </c>
      <c r="D53" s="36">
        <f>C53*0.66666</f>
        <v>183.3315</v>
      </c>
      <c r="E53" s="37">
        <f>B53*0.4</f>
        <v>150</v>
      </c>
      <c r="F53" s="36">
        <f>189/211*B53</f>
        <v>335.9004739336493</v>
      </c>
      <c r="G53" s="36">
        <f>E53*0.6666</f>
        <v>99.99</v>
      </c>
      <c r="H53" s="36">
        <f>F53*0.666</f>
        <v>223.70971563981047</v>
      </c>
    </row>
    <row r="54" spans="1:8" ht="12.75">
      <c r="A54" s="35" t="s">
        <v>86</v>
      </c>
      <c r="B54" s="8"/>
      <c r="C54" s="7"/>
      <c r="D54" s="7"/>
      <c r="E54" s="7"/>
      <c r="F54" s="7"/>
      <c r="G54" s="7"/>
      <c r="H54" s="7"/>
    </row>
    <row r="55" ht="12.75">
      <c r="E55" s="38"/>
    </row>
    <row r="56" ht="12.75">
      <c r="I56" s="31"/>
    </row>
    <row r="57" spans="1:9" ht="12.75">
      <c r="A57" s="17" t="s">
        <v>100</v>
      </c>
      <c r="I57" s="31"/>
    </row>
    <row r="58" spans="1:9" ht="14.25" customHeight="1">
      <c r="A58" s="39" t="s">
        <v>101</v>
      </c>
      <c r="I58" s="31"/>
    </row>
    <row r="59" ht="12.75">
      <c r="A59" s="17" t="s">
        <v>102</v>
      </c>
    </row>
    <row r="60" ht="15.75" customHeight="1">
      <c r="A60" s="17" t="s">
        <v>12</v>
      </c>
    </row>
    <row r="61" ht="15.75" customHeight="1">
      <c r="A61" s="17"/>
    </row>
    <row r="62" spans="1:4" ht="12.75">
      <c r="A62" s="7"/>
      <c r="B62" s="12" t="s">
        <v>96</v>
      </c>
      <c r="C62" s="28" t="s">
        <v>97</v>
      </c>
      <c r="D62" s="28" t="s">
        <v>98</v>
      </c>
    </row>
    <row r="63" spans="1:4" ht="12.75">
      <c r="A63" s="7"/>
      <c r="B63" s="16">
        <f>C13</f>
        <v>3900</v>
      </c>
      <c r="C63" s="16">
        <f>B13</f>
        <v>5500</v>
      </c>
      <c r="D63" s="28">
        <f>D13</f>
        <v>6500</v>
      </c>
    </row>
    <row r="64" spans="1:4" ht="29.25" customHeight="1">
      <c r="A64" s="40" t="s">
        <v>99</v>
      </c>
      <c r="B64" s="41">
        <f>C24</f>
        <v>2.1183094695479254</v>
      </c>
      <c r="C64" s="41">
        <f>B24</f>
        <v>1.50207398749762</v>
      </c>
      <c r="D64" s="41">
        <f>D24</f>
        <v>1.2709856817287555</v>
      </c>
    </row>
    <row r="65" spans="1:4" ht="58.5" customHeight="1">
      <c r="A65" s="40" t="s">
        <v>8</v>
      </c>
      <c r="B65" s="41">
        <f>(25000*0.4)/B63</f>
        <v>2.5641025641025643</v>
      </c>
      <c r="C65" s="41">
        <f>(25000*0.4)/C63</f>
        <v>1.8181818181818181</v>
      </c>
      <c r="D65" s="42">
        <f>(25000*0.4)/D63</f>
        <v>1.5384615384615385</v>
      </c>
    </row>
    <row r="66" spans="1:4" s="34" customFormat="1" ht="29.25" customHeight="1">
      <c r="A66" s="40" t="s">
        <v>28</v>
      </c>
      <c r="B66" s="43">
        <f>C19</f>
        <v>2.9872340425531916</v>
      </c>
      <c r="C66" s="44">
        <f>B19</f>
        <v>4.212765957446808</v>
      </c>
      <c r="D66" s="44">
        <f>D19</f>
        <v>4.9787234042553195</v>
      </c>
    </row>
    <row r="67" spans="1:4" ht="67.5" customHeight="1">
      <c r="A67" s="40" t="s">
        <v>11</v>
      </c>
      <c r="B67" s="41">
        <f>B7/(B63/B6)</f>
        <v>7.751573887879419</v>
      </c>
      <c r="C67" s="41">
        <f>B7/(C63/B6)</f>
        <v>5.49657057504177</v>
      </c>
      <c r="D67" s="41">
        <f>B7/(D63/B6)</f>
        <v>4.650944332727652</v>
      </c>
    </row>
    <row r="68" spans="1:4" ht="54.75" customHeight="1">
      <c r="A68" s="40" t="s">
        <v>21</v>
      </c>
      <c r="B68" s="41">
        <f>H50/100</f>
        <v>1.7896777251184834</v>
      </c>
      <c r="C68" s="41">
        <f>H50/100</f>
        <v>1.7896777251184834</v>
      </c>
      <c r="D68" s="41">
        <f>H50/100</f>
        <v>1.7896777251184834</v>
      </c>
    </row>
    <row r="69" spans="1:2" ht="33.75" customHeight="1">
      <c r="A69" s="3" t="s">
        <v>13</v>
      </c>
      <c r="B69" s="45"/>
    </row>
    <row r="70" spans="1:2" ht="12.75">
      <c r="A70" s="17" t="s">
        <v>14</v>
      </c>
      <c r="B70" s="45"/>
    </row>
    <row r="71" ht="12.75">
      <c r="A71" s="39" t="s">
        <v>15</v>
      </c>
    </row>
    <row r="72" ht="12.75">
      <c r="A72" s="17" t="s">
        <v>16</v>
      </c>
    </row>
    <row r="73" ht="12.75">
      <c r="A73" s="1" t="s">
        <v>17</v>
      </c>
    </row>
    <row r="80" spans="5:8" ht="12.75">
      <c r="E80" s="27"/>
      <c r="F80" s="27"/>
      <c r="H80" s="27"/>
    </row>
    <row r="81" spans="1:8" ht="12.75">
      <c r="A81" s="7" t="s">
        <v>27</v>
      </c>
      <c r="B81" s="8">
        <f>B14</f>
        <v>0.6</v>
      </c>
      <c r="C81" s="8">
        <f>B81</f>
        <v>0.6</v>
      </c>
      <c r="D81" s="8">
        <f>B81</f>
        <v>0.6</v>
      </c>
      <c r="E81" s="46"/>
      <c r="F81" s="46"/>
      <c r="H81" s="27"/>
    </row>
    <row r="82" spans="1:8" ht="12.75">
      <c r="A82" s="7"/>
      <c r="B82" s="8"/>
      <c r="C82" s="8"/>
      <c r="D82" s="8"/>
      <c r="E82" s="46"/>
      <c r="F82" s="46"/>
      <c r="H82" s="27"/>
    </row>
    <row r="83" spans="1:8" ht="12.75">
      <c r="A83" s="7" t="s">
        <v>24</v>
      </c>
      <c r="B83" s="9">
        <v>6</v>
      </c>
      <c r="C83" s="9">
        <v>6</v>
      </c>
      <c r="D83" s="9">
        <v>6</v>
      </c>
      <c r="E83" s="47" t="s">
        <v>4</v>
      </c>
      <c r="F83" s="47"/>
      <c r="H83" s="27"/>
    </row>
    <row r="84" spans="1:8" ht="12.75">
      <c r="A84" s="7" t="s">
        <v>107</v>
      </c>
      <c r="B84" s="9">
        <v>70653</v>
      </c>
      <c r="C84" s="9">
        <v>70653</v>
      </c>
      <c r="D84" s="9">
        <v>70653</v>
      </c>
      <c r="E84" s="47" t="s">
        <v>5</v>
      </c>
      <c r="F84" s="47"/>
      <c r="H84" s="27"/>
    </row>
    <row r="85" spans="1:8" ht="12.75">
      <c r="A85" s="7" t="s">
        <v>55</v>
      </c>
      <c r="B85" s="48">
        <v>0.42034308521931135</v>
      </c>
      <c r="C85" s="48">
        <f>B85</f>
        <v>0.42034308521931135</v>
      </c>
      <c r="D85" s="48">
        <f>C85</f>
        <v>0.42034308521931135</v>
      </c>
      <c r="E85" s="46" t="s">
        <v>116</v>
      </c>
      <c r="F85" s="46"/>
      <c r="H85" s="27"/>
    </row>
    <row r="86" spans="1:8" ht="12.75">
      <c r="A86" s="7" t="s">
        <v>105</v>
      </c>
      <c r="B86" s="49">
        <f>6.5/2</f>
        <v>3.25</v>
      </c>
      <c r="C86" s="49">
        <f>6.5/2</f>
        <v>3.25</v>
      </c>
      <c r="D86" s="49">
        <f>6.5/2</f>
        <v>3.25</v>
      </c>
      <c r="E86" s="47" t="s">
        <v>6</v>
      </c>
      <c r="F86" s="47"/>
      <c r="G86" s="27"/>
      <c r="H86" s="27"/>
    </row>
    <row r="87" spans="1:8" ht="12.75">
      <c r="A87" s="7" t="s">
        <v>106</v>
      </c>
      <c r="B87" s="9">
        <f>B85*B84/B86/2</f>
        <v>4569.000000000001</v>
      </c>
      <c r="C87" s="9">
        <f>C85*C84/C86/2</f>
        <v>4569.000000000001</v>
      </c>
      <c r="D87" s="9">
        <f>D85*D84/D86/2</f>
        <v>4569.000000000001</v>
      </c>
      <c r="E87" s="47" t="s">
        <v>7</v>
      </c>
      <c r="F87" s="47"/>
      <c r="G87" s="27"/>
      <c r="H87" s="27"/>
    </row>
    <row r="88" spans="1:8" ht="12.75">
      <c r="A88" s="7" t="s">
        <v>110</v>
      </c>
      <c r="B88" s="9">
        <v>5073</v>
      </c>
      <c r="C88" s="9">
        <v>5073</v>
      </c>
      <c r="D88" s="9">
        <v>5073</v>
      </c>
      <c r="E88" s="47" t="s">
        <v>7</v>
      </c>
      <c r="F88" s="47"/>
      <c r="G88" s="27"/>
      <c r="H88" s="27"/>
    </row>
    <row r="89" spans="1:8" ht="12.75">
      <c r="A89" s="7" t="s">
        <v>111</v>
      </c>
      <c r="B89" s="9">
        <f>B88/2</f>
        <v>2536.5</v>
      </c>
      <c r="C89" s="9">
        <f>C88/2</f>
        <v>2536.5</v>
      </c>
      <c r="D89" s="9">
        <f>D88/2</f>
        <v>2536.5</v>
      </c>
      <c r="E89" s="47" t="s">
        <v>7</v>
      </c>
      <c r="F89" s="47"/>
      <c r="G89" s="27"/>
      <c r="H89" s="27"/>
    </row>
    <row r="90" spans="1:8" ht="12.75">
      <c r="A90" s="7"/>
      <c r="B90" s="9"/>
      <c r="C90" s="9"/>
      <c r="D90" s="9"/>
      <c r="E90" s="47"/>
      <c r="F90" s="47"/>
      <c r="G90" s="27"/>
      <c r="H90" s="27"/>
    </row>
    <row r="91" spans="1:8" ht="12.75">
      <c r="A91" s="7" t="s">
        <v>25</v>
      </c>
      <c r="B91" s="54">
        <v>6</v>
      </c>
      <c r="C91" s="54">
        <v>5</v>
      </c>
      <c r="D91" s="54">
        <v>4</v>
      </c>
      <c r="E91" s="47" t="s">
        <v>4</v>
      </c>
      <c r="F91" s="47"/>
      <c r="G91" s="27"/>
      <c r="H91" s="27"/>
    </row>
    <row r="92" spans="1:8" ht="12.75">
      <c r="A92" s="7"/>
      <c r="B92" s="9"/>
      <c r="C92" s="9"/>
      <c r="D92" s="9"/>
      <c r="E92" s="47"/>
      <c r="F92" s="47"/>
      <c r="G92" s="27"/>
      <c r="H92" s="27"/>
    </row>
    <row r="93" spans="1:8" ht="12.75">
      <c r="A93" s="7" t="s">
        <v>22</v>
      </c>
      <c r="B93" s="9">
        <f>(B91^2/B83^2)*B87</f>
        <v>4569.000000000001</v>
      </c>
      <c r="C93" s="9">
        <f>(C91^2/C83^2)*C87</f>
        <v>3172.916666666667</v>
      </c>
      <c r="D93" s="9">
        <f>(D91^2/D83^2)*D87</f>
        <v>2030.666666666667</v>
      </c>
      <c r="E93" s="47" t="s">
        <v>7</v>
      </c>
      <c r="F93" s="47"/>
      <c r="G93" s="27"/>
      <c r="H93" s="27"/>
    </row>
    <row r="94" spans="1:8" ht="12.75">
      <c r="A94" s="7" t="s">
        <v>23</v>
      </c>
      <c r="B94" s="9">
        <f>B91/B83*B89</f>
        <v>2536.5</v>
      </c>
      <c r="C94" s="9">
        <f>C91/C83*C89</f>
        <v>2113.75</v>
      </c>
      <c r="D94" s="9">
        <f>D91/D83*D89</f>
        <v>1691</v>
      </c>
      <c r="E94" s="47" t="s">
        <v>7</v>
      </c>
      <c r="F94" s="47"/>
      <c r="G94" s="27"/>
      <c r="H94" s="27"/>
    </row>
    <row r="95" spans="1:8" ht="12.75">
      <c r="A95" s="7"/>
      <c r="B95" s="9"/>
      <c r="C95" s="9"/>
      <c r="D95" s="9"/>
      <c r="E95" s="47"/>
      <c r="F95" s="47"/>
      <c r="G95" s="27"/>
      <c r="H95" s="27"/>
    </row>
    <row r="96" spans="1:8" ht="12.75">
      <c r="A96" s="7"/>
      <c r="B96" s="9"/>
      <c r="C96" s="9"/>
      <c r="D96" s="9"/>
      <c r="E96" s="47"/>
      <c r="F96" s="47"/>
      <c r="G96" s="27"/>
      <c r="H96" s="27"/>
    </row>
    <row r="97" spans="1:8" ht="12.75">
      <c r="A97" s="7" t="s">
        <v>26</v>
      </c>
      <c r="B97" s="9">
        <f>(B93^2+B94^2)^0.5</f>
        <v>5225.858135273097</v>
      </c>
      <c r="C97" s="9">
        <f>(C93^2+C94^2)^0.5</f>
        <v>3812.5239981029777</v>
      </c>
      <c r="D97" s="9">
        <f>(D93^2+D94^2)^0.5</f>
        <v>2642.5533317439617</v>
      </c>
      <c r="E97" s="47" t="s">
        <v>7</v>
      </c>
      <c r="F97" s="47"/>
      <c r="G97" s="27"/>
      <c r="H97" s="27"/>
    </row>
    <row r="98" spans="1:8" ht="12.75">
      <c r="A98" s="7"/>
      <c r="B98" s="9"/>
      <c r="C98" s="9"/>
      <c r="D98" s="9"/>
      <c r="E98" s="47"/>
      <c r="F98" s="47"/>
      <c r="G98" s="27"/>
      <c r="H98" s="27"/>
    </row>
    <row r="99" spans="1:8" ht="12.75">
      <c r="A99" s="7" t="s">
        <v>54</v>
      </c>
      <c r="B99" s="9">
        <f>B63</f>
        <v>3900</v>
      </c>
      <c r="C99" s="9">
        <f aca="true" t="shared" si="0" ref="C99:D101">B99</f>
        <v>3900</v>
      </c>
      <c r="D99" s="9">
        <f t="shared" si="0"/>
        <v>3900</v>
      </c>
      <c r="E99" s="47" t="s">
        <v>7</v>
      </c>
      <c r="F99" s="47"/>
      <c r="G99" s="27"/>
      <c r="H99" s="27"/>
    </row>
    <row r="100" spans="1:8" ht="12.75">
      <c r="A100" s="7" t="s">
        <v>49</v>
      </c>
      <c r="B100" s="9">
        <f>C63</f>
        <v>5500</v>
      </c>
      <c r="C100" s="9">
        <f t="shared" si="0"/>
        <v>5500</v>
      </c>
      <c r="D100" s="9">
        <f t="shared" si="0"/>
        <v>5500</v>
      </c>
      <c r="E100" s="47" t="s">
        <v>7</v>
      </c>
      <c r="F100" s="47"/>
      <c r="G100" s="27"/>
      <c r="H100" s="27"/>
    </row>
    <row r="101" spans="1:8" ht="12.75">
      <c r="A101" s="7" t="s">
        <v>50</v>
      </c>
      <c r="B101" s="9">
        <f>D63</f>
        <v>6500</v>
      </c>
      <c r="C101" s="9">
        <f t="shared" si="0"/>
        <v>6500</v>
      </c>
      <c r="D101" s="9">
        <f t="shared" si="0"/>
        <v>6500</v>
      </c>
      <c r="E101" s="47" t="s">
        <v>7</v>
      </c>
      <c r="F101" s="47"/>
      <c r="G101" s="27"/>
      <c r="H101" s="27"/>
    </row>
    <row r="102" spans="1:8" ht="12.75">
      <c r="A102" s="7"/>
      <c r="B102" s="9"/>
      <c r="C102" s="9"/>
      <c r="D102" s="9"/>
      <c r="E102" s="47"/>
      <c r="F102" s="47"/>
      <c r="G102" s="27"/>
      <c r="H102" s="27"/>
    </row>
    <row r="103" spans="1:8" ht="12.75">
      <c r="A103" s="7" t="s">
        <v>51</v>
      </c>
      <c r="B103" s="9">
        <f>B99*B81*3</f>
        <v>7020</v>
      </c>
      <c r="C103" s="9">
        <f>C99*C81*3</f>
        <v>7020</v>
      </c>
      <c r="D103" s="9">
        <f>D99*D81*3</f>
        <v>7020</v>
      </c>
      <c r="E103" s="47" t="s">
        <v>7</v>
      </c>
      <c r="F103" s="47"/>
      <c r="G103" s="27"/>
      <c r="H103" s="27"/>
    </row>
    <row r="104" spans="1:8" ht="12.75">
      <c r="A104" s="7" t="s">
        <v>52</v>
      </c>
      <c r="B104" s="9">
        <f>B100*B81*3</f>
        <v>9900</v>
      </c>
      <c r="C104" s="9">
        <f>C100*C81*3</f>
        <v>9900</v>
      </c>
      <c r="D104" s="9">
        <f>D100*D81*3</f>
        <v>9900</v>
      </c>
      <c r="E104" s="47" t="s">
        <v>7</v>
      </c>
      <c r="F104" s="47"/>
      <c r="G104" s="27"/>
      <c r="H104" s="27"/>
    </row>
    <row r="105" spans="1:8" ht="12.75">
      <c r="A105" s="7" t="s">
        <v>53</v>
      </c>
      <c r="B105" s="9">
        <f>B101*B81*3</f>
        <v>11700</v>
      </c>
      <c r="C105" s="9">
        <f>C101*C81*3</f>
        <v>11700</v>
      </c>
      <c r="D105" s="9">
        <f>D101*D81*3</f>
        <v>11700</v>
      </c>
      <c r="E105" s="47" t="s">
        <v>7</v>
      </c>
      <c r="F105" s="47"/>
      <c r="G105" s="27"/>
      <c r="H105" s="27"/>
    </row>
    <row r="106" spans="1:8" ht="13.5" thickBot="1">
      <c r="A106" s="10"/>
      <c r="B106" s="11"/>
      <c r="C106" s="11"/>
      <c r="D106" s="11"/>
      <c r="E106" s="47"/>
      <c r="F106" s="47"/>
      <c r="G106" s="27"/>
      <c r="H106" s="27"/>
    </row>
    <row r="107" spans="1:8" ht="12.75" hidden="1">
      <c r="A107" s="50" t="s">
        <v>108</v>
      </c>
      <c r="B107" s="51">
        <f>B103/B94</f>
        <v>2.767593140153755</v>
      </c>
      <c r="C107" s="51">
        <f>C103/C94</f>
        <v>3.3211117681845064</v>
      </c>
      <c r="D107" s="51">
        <f>D103/D94</f>
        <v>4.1513897102306325</v>
      </c>
      <c r="E107" s="52"/>
      <c r="F107" s="52"/>
      <c r="G107" s="27"/>
      <c r="H107" s="27"/>
    </row>
    <row r="108" spans="1:8" ht="12.75" hidden="1">
      <c r="A108" s="53" t="s">
        <v>109</v>
      </c>
      <c r="B108" s="54">
        <f>B104/B94</f>
        <v>3.9030159668835007</v>
      </c>
      <c r="C108" s="54">
        <f>C104/C94</f>
        <v>4.683619160260201</v>
      </c>
      <c r="D108" s="54">
        <f>D104/D94</f>
        <v>5.854523950325252</v>
      </c>
      <c r="E108" s="52"/>
      <c r="F108" s="52"/>
      <c r="G108" s="27"/>
      <c r="H108" s="27"/>
    </row>
    <row r="109" spans="1:8" ht="13.5" hidden="1" thickBot="1">
      <c r="A109" s="55" t="s">
        <v>0</v>
      </c>
      <c r="B109" s="56">
        <f>B105/B94</f>
        <v>4.612655233589592</v>
      </c>
      <c r="C109" s="56">
        <f>C105/C94</f>
        <v>5.53518628030751</v>
      </c>
      <c r="D109" s="56">
        <f>D105/D94</f>
        <v>6.9189828503843875</v>
      </c>
      <c r="E109" s="52"/>
      <c r="F109" s="52"/>
      <c r="G109" s="27"/>
      <c r="H109" s="27"/>
    </row>
    <row r="110" spans="3:8" ht="13.5" hidden="1" thickBot="1">
      <c r="C110" s="5"/>
      <c r="D110" s="5"/>
      <c r="E110" s="27"/>
      <c r="F110" s="27"/>
      <c r="G110" s="27"/>
      <c r="H110" s="27"/>
    </row>
    <row r="111" spans="1:7" ht="12.75" hidden="1">
      <c r="A111" s="50" t="s">
        <v>1</v>
      </c>
      <c r="B111" s="51">
        <f>B103/B93</f>
        <v>1.5364412344057778</v>
      </c>
      <c r="C111" s="51">
        <f>C103/C93</f>
        <v>2.21247537754432</v>
      </c>
      <c r="D111" s="51">
        <f>D103/D93</f>
        <v>3.4569927774130003</v>
      </c>
      <c r="E111" s="27"/>
      <c r="F111" s="27"/>
      <c r="G111" s="27"/>
    </row>
    <row r="112" spans="1:4" ht="12.75" hidden="1">
      <c r="A112" s="53" t="s">
        <v>2</v>
      </c>
      <c r="B112" s="54">
        <f>B104/B93</f>
        <v>2.16677609980302</v>
      </c>
      <c r="C112" s="54">
        <f>C104/C93</f>
        <v>3.120157583716349</v>
      </c>
      <c r="D112" s="54">
        <f>D104/D93</f>
        <v>4.875246224556795</v>
      </c>
    </row>
    <row r="113" spans="1:4" ht="13.5" hidden="1" thickBot="1">
      <c r="A113" s="55" t="s">
        <v>3</v>
      </c>
      <c r="B113" s="56">
        <f>B105/B93</f>
        <v>2.5607353906762964</v>
      </c>
      <c r="C113" s="56">
        <f>C105/C93</f>
        <v>3.687458962573867</v>
      </c>
      <c r="D113" s="56">
        <f>D105/D93</f>
        <v>5.761654629021667</v>
      </c>
    </row>
    <row r="114" spans="3:4" ht="13.5" hidden="1" thickBot="1">
      <c r="C114" s="5"/>
      <c r="D114" s="5"/>
    </row>
    <row r="115" spans="1:7" ht="12.75">
      <c r="A115" s="50" t="s">
        <v>29</v>
      </c>
      <c r="B115" s="51">
        <f>B103/B97</f>
        <v>1.3433200477863991</v>
      </c>
      <c r="C115" s="51">
        <f>C103/C97</f>
        <v>1.841299885192326</v>
      </c>
      <c r="D115" s="51">
        <f>D103/D97</f>
        <v>2.656521598134456</v>
      </c>
      <c r="E115" s="27"/>
      <c r="F115" s="27"/>
      <c r="G115" s="27"/>
    </row>
    <row r="116" spans="1:4" ht="12.75">
      <c r="A116" s="53" t="s">
        <v>30</v>
      </c>
      <c r="B116" s="54">
        <f>B104/B97</f>
        <v>1.8944257084167169</v>
      </c>
      <c r="C116" s="54">
        <f>C104/C97</f>
        <v>2.59670496629687</v>
      </c>
      <c r="D116" s="54">
        <f>D104/D97</f>
        <v>3.74637661275372</v>
      </c>
    </row>
    <row r="117" spans="1:4" ht="13.5" thickBot="1">
      <c r="A117" s="55" t="s">
        <v>31</v>
      </c>
      <c r="B117" s="56">
        <f>B105/B97</f>
        <v>2.2388667463106655</v>
      </c>
      <c r="C117" s="56">
        <f>C105/C97</f>
        <v>3.0688331419872097</v>
      </c>
      <c r="D117" s="56">
        <f>D105/D97</f>
        <v>4.42753599689076</v>
      </c>
    </row>
  </sheetData>
  <mergeCells count="2">
    <mergeCell ref="A30:G31"/>
    <mergeCell ref="A33:G33"/>
  </mergeCells>
  <printOptions/>
  <pageMargins left="0.57" right="0.55" top="1" bottom="1" header="0.5" footer="0.5"/>
  <pageSetup horizontalDpi="600" verticalDpi="600" orientation="portrait" r:id="rId1"/>
  <headerFooter alignWithMargins="0">
    <oddHeader>&amp;C&amp;"Arial,Bold"&amp;14Calculation for NSTX Flag Box Bolt Torque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Heitzenroeder</dc:creator>
  <cp:keywords/>
  <dc:description/>
  <cp:lastModifiedBy>helpdesk</cp:lastModifiedBy>
  <cp:lastPrinted>2004-10-27T18:22:29Z</cp:lastPrinted>
  <dcterms:created xsi:type="dcterms:W3CDTF">2003-07-07T14:14:38Z</dcterms:created>
  <dcterms:modified xsi:type="dcterms:W3CDTF">2008-04-29T14:09:43Z</dcterms:modified>
  <cp:category/>
  <cp:version/>
  <cp:contentType/>
  <cp:contentStatus/>
</cp:coreProperties>
</file>