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61" windowWidth="24120" windowHeight="12735" activeTab="2"/>
  </bookViews>
  <sheets>
    <sheet name="Funding analysis" sheetId="1" r:id="rId1"/>
    <sheet name="cpr" sheetId="2" r:id="rId2"/>
    <sheet name="job 8221 documentation manhour " sheetId="3" r:id="rId3"/>
    <sheet name="Sheet2" sheetId="4" r:id="rId4"/>
    <sheet name="bcws" sheetId="5" r:id="rId5"/>
    <sheet name="bcwr" sheetId="6" r:id="rId6"/>
  </sheets>
  <definedNames>
    <definedName name="_xlnm.Print_Area" localSheetId="5">'bcwr'!$B$1:$C$32</definedName>
    <definedName name="_xlnm.Print_Area" localSheetId="4">'bcws'!$C$4:$D$32</definedName>
    <definedName name="_xlnm.Print_Area" localSheetId="1">'cpr'!$A$1:$U$46</definedName>
    <definedName name="_xlnm.Print_Area" localSheetId="0">'Funding analysis'!$T$30:$X$51</definedName>
    <definedName name="_xlnm.Print_Area" localSheetId="2">'job 8221 documentation manhour '!$A$1:$O$137</definedName>
    <definedName name="_xlnm.Print_Area" localSheetId="3">'Sheet2'!$B$4:$F$106</definedName>
    <definedName name="_xlnm.Print_Titles" localSheetId="1">'cpr'!$1:$3</definedName>
  </definedNames>
  <calcPr fullCalcOnLoad="1"/>
</workbook>
</file>

<file path=xl/sharedStrings.xml><?xml version="1.0" encoding="utf-8"?>
<sst xmlns="http://schemas.openxmlformats.org/spreadsheetml/2006/main" count="738" uniqueCount="483">
  <si>
    <t>WBS</t>
  </si>
  <si>
    <t>Job</t>
  </si>
  <si>
    <t>Rev/Date</t>
  </si>
  <si>
    <t> Job Title</t>
  </si>
  <si>
    <t>13 - Conventional Coils</t>
  </si>
  <si>
    <t>Rev 7/Mar 7</t>
  </si>
  <si>
    <t>Chrzanowski</t>
  </si>
  <si>
    <t>Dahlgren</t>
  </si>
  <si>
    <t>Cole</t>
  </si>
  <si>
    <t>Rev 5/Mar 3</t>
  </si>
  <si>
    <t>TF Coil Fabrication</t>
  </si>
  <si>
    <t>Kalish/Meighan</t>
  </si>
  <si>
    <t>14 - Modular Coils</t>
  </si>
  <si>
    <t>Rev 11/Mar 10</t>
  </si>
  <si>
    <t xml:space="preserve">Modular Coil Winding Supplies </t>
  </si>
  <si>
    <t xml:space="preserve">Modular Coil Winding Operations </t>
  </si>
  <si>
    <t>Modular Coil Type A&amp;B Design</t>
  </si>
  <si>
    <t>Rev 6/Feb 23</t>
  </si>
  <si>
    <t>Modular Coil Interface Design</t>
  </si>
  <si>
    <t>15 - Coil Support Structures</t>
  </si>
  <si>
    <t>Rev 12a/Mar 20</t>
  </si>
  <si>
    <t xml:space="preserve">Coil Structures Design </t>
  </si>
  <si>
    <t>18 - Field Period Assembly</t>
  </si>
  <si>
    <t>Rev 22/Mar 8</t>
  </si>
  <si>
    <t xml:space="preserve">FPA Oversight &amp; Support </t>
  </si>
  <si>
    <t xml:space="preserve">FPA Operations - Stations 1, 2 &amp; 3 </t>
  </si>
  <si>
    <t>Viola</t>
  </si>
  <si>
    <t>Rev 7/Feb 29</t>
  </si>
  <si>
    <t>Brown</t>
  </si>
  <si>
    <t>Rev 7/Feb 23</t>
  </si>
  <si>
    <t xml:space="preserve">FPA Specifications &amp; Drawings </t>
  </si>
  <si>
    <t>19 - Stellarator Core Mgmt &amp; Integration</t>
  </si>
  <si>
    <t>Rev 6/Mar 5</t>
  </si>
  <si>
    <t>Rev 4/Feb 29</t>
  </si>
  <si>
    <t>Perry</t>
  </si>
  <si>
    <t>81 - Project Management &amp; Integration</t>
  </si>
  <si>
    <t>Rev 14/Mar 21</t>
  </si>
  <si>
    <t xml:space="preserve">Project Management @ PPPL </t>
  </si>
  <si>
    <t xml:space="preserve">PPPL Direct Allocations </t>
  </si>
  <si>
    <t>Rej</t>
  </si>
  <si>
    <t>Harris</t>
  </si>
  <si>
    <t>82 - Project Engineering</t>
  </si>
  <si>
    <t>Heitzenroeder</t>
  </si>
  <si>
    <t>Rev 5/Feb 29</t>
  </si>
  <si>
    <t>Design Integration</t>
  </si>
  <si>
    <t>Rev 4/Mar 1</t>
  </si>
  <si>
    <t>Brooks</t>
  </si>
  <si>
    <t>Dimensional Control Coordination</t>
  </si>
  <si>
    <t>Ellis</t>
  </si>
  <si>
    <t>Job Manager</t>
  </si>
  <si>
    <t>Documentation for Closeout</t>
  </si>
  <si>
    <t>Equipment Disposition &amp; Facility Restorations</t>
  </si>
  <si>
    <t>JOB</t>
  </si>
  <si>
    <t>COST</t>
  </si>
  <si>
    <t>4/30/03 - 4/30/07</t>
  </si>
  <si>
    <t>5/1/07 - 1/31/08</t>
  </si>
  <si>
    <t>2/1/08 - 4/30/08</t>
  </si>
  <si>
    <t>1201 - Vacuum Vessel  Prelim Dsn</t>
  </si>
  <si>
    <t>1202 - Vacuum Vessel R&amp;D</t>
  </si>
  <si>
    <t xml:space="preserve">1203 - Vacuum Vessel Final Dsn </t>
  </si>
  <si>
    <t>1206 - VV Field Weld Joint R&amp;D</t>
  </si>
  <si>
    <t>1301 - TF Design</t>
  </si>
  <si>
    <t>1303 - Central Solenoid Support Design</t>
  </si>
  <si>
    <t xml:space="preserve">1350 - TF Coil Fabr Prep </t>
  </si>
  <si>
    <t>1351 - TF Coil Fabr Supplies</t>
  </si>
  <si>
    <t xml:space="preserve">1401 - Mod Coil  Prel.Dsn </t>
  </si>
  <si>
    <t xml:space="preserve">1402 - Mod.Coil Analyses     </t>
  </si>
  <si>
    <t>1406 - Mod. Coil Winding Facility</t>
  </si>
  <si>
    <t>1407 -Mod Coil Winding Facility</t>
  </si>
  <si>
    <t>1410 MC Twisted Racetrack Fabr</t>
  </si>
  <si>
    <t>1412 - Complete Winding Facilities</t>
  </si>
  <si>
    <t xml:space="preserve">1413 - Mod Coil Fracture Analysis             </t>
  </si>
  <si>
    <t>1409 - Mod. Coil Test Stand</t>
  </si>
  <si>
    <t>1414 - Coil Testing</t>
  </si>
  <si>
    <t>1415 - Dimensional Control Testing</t>
  </si>
  <si>
    <t>1419 - Winding Facility Modification</t>
  </si>
  <si>
    <t>1411-MCWF Fabrication S005242</t>
  </si>
  <si>
    <t>1451 - Mod Coil Winding  (incl 1459 punch list and unplanned work)</t>
  </si>
  <si>
    <t>1460 - 3rd Winding Fixture</t>
  </si>
  <si>
    <t>1501 - Structures  Design</t>
  </si>
  <si>
    <t xml:space="preserve">1550 - Structures Procurement     </t>
  </si>
  <si>
    <t>1601 - Coil Services</t>
  </si>
  <si>
    <t xml:space="preserve">1751 - Cryostat Procurement                </t>
  </si>
  <si>
    <t xml:space="preserve">1752 - Base Support Structure Procurement  </t>
  </si>
  <si>
    <t xml:space="preserve">1802 - FP Assy Oversight Support </t>
  </si>
  <si>
    <t>1804-FP Assy Measurement</t>
  </si>
  <si>
    <t>1806 - FP Assy Specs and Drawings</t>
  </si>
  <si>
    <t xml:space="preserve">1810 - Field Period Assembly      plus 1859 unplanned work </t>
  </si>
  <si>
    <t>1901 - Stellarator Core Mngt &amp; Integr</t>
  </si>
  <si>
    <t>2001-VPS Gas&amp; Cond Sys Oversight</t>
  </si>
  <si>
    <t>2501 - Neutral Beam Refurbishment</t>
  </si>
  <si>
    <t xml:space="preserve">3101 Magnetic Diagnostics                  </t>
  </si>
  <si>
    <t>3901 - Diagnostics sys Integration</t>
  </si>
  <si>
    <t xml:space="preserve">4101 - AC Power             </t>
  </si>
  <si>
    <t xml:space="preserve">4301 - DC Systems         </t>
  </si>
  <si>
    <t xml:space="preserve">4401 - Control &amp; Protection </t>
  </si>
  <si>
    <t>4501 - Power Sys Dsn &amp; Integr</t>
  </si>
  <si>
    <t xml:space="preserve">4601 - FCPC Bldg Mods     </t>
  </si>
  <si>
    <t>5801 -Central I&amp;C Integr</t>
  </si>
  <si>
    <t xml:space="preserve">6501 - Facility Systems Integration </t>
  </si>
  <si>
    <t>7101 - Shield Wall Modif</t>
  </si>
  <si>
    <t xml:space="preserve">7201 - Control Room Walls Floors   </t>
  </si>
  <si>
    <t>7301 - Platform Design &amp;</t>
  </si>
  <si>
    <t>7401 - TC Prep &amp; Mach Assy Planning</t>
  </si>
  <si>
    <t xml:space="preserve">7501 - Construction Support Crew                </t>
  </si>
  <si>
    <t xml:space="preserve">7502 - Test Cell Facility Preparations          </t>
  </si>
  <si>
    <t>7503 - Machine Assembly</t>
  </si>
  <si>
    <t xml:space="preserve">7601 - Tooling Design &amp; Fabrication        </t>
  </si>
  <si>
    <t>8101 - Project Management &amp; Control</t>
  </si>
  <si>
    <t>8102 - NCSX MIE Management ORNL</t>
  </si>
  <si>
    <t>8998 - Allocations</t>
  </si>
  <si>
    <t>8202 - Engr Mgmt &amp; Sys Eng Support</t>
  </si>
  <si>
    <t>8203 - Design Integration</t>
  </si>
  <si>
    <t xml:space="preserve">8204 - Systems Analysis         </t>
  </si>
  <si>
    <t>8205 - Dimensional Control Coord.</t>
  </si>
  <si>
    <t>8210 - Project Rebaseline Estimating</t>
  </si>
  <si>
    <t xml:space="preserve">8401 - Project Physics       </t>
  </si>
  <si>
    <t xml:space="preserve">8402 - Project Physics MIE ORNL     </t>
  </si>
  <si>
    <t xml:space="preserve">Job: 1204 - VV Sys Procurements (nonVVSA)-DUDEK </t>
  </si>
  <si>
    <t xml:space="preserve">Job: 1250 - Vacuum Vessel Fabrication**CLOSED** </t>
  </si>
  <si>
    <t xml:space="preserve">Job: 1302 - PF  Design -KALISH                  </t>
  </si>
  <si>
    <t xml:space="preserve">Job: 1352 - PF Coil Procurement-KALISH          </t>
  </si>
  <si>
    <t xml:space="preserve">Job: 1353 - CS Structure Procurement-DAHLGREN   </t>
  </si>
  <si>
    <t>Job: 1354 - Trim Coil Design &amp;Procurement-KALISH</t>
  </si>
  <si>
    <t>Job: 1355 - WBS 13 I&amp;C Proc and Coil Assy-KALISH</t>
  </si>
  <si>
    <t xml:space="preserve">Job: 1361 - TF Fabrication-KALISH               </t>
  </si>
  <si>
    <t>Job: 1421 - Mod Coil Interface Design-WILLIAMSON</t>
  </si>
  <si>
    <t xml:space="preserve">Job: 1431 - Mod. Coil Interface Hardware-DUDEK  </t>
  </si>
  <si>
    <t xml:space="preserve">Job: 1803/1805- FPA Tooling/Constr-BROWN/DUDEK  </t>
  </si>
  <si>
    <t>Job: 1815 - Field Period Assy</t>
  </si>
  <si>
    <t>Job: 6401 - PFC/VV Htng/Cooling(bakeout)- KALISH</t>
  </si>
  <si>
    <t>Job: 8215 Plant Design</t>
  </si>
  <si>
    <t>1404 -MCWF R&amp;D &amp; 1st Prod Casting</t>
  </si>
  <si>
    <t>1405 -Mod Coil Winding R&amp;D Prep</t>
  </si>
  <si>
    <t>1429 Interface R&amp;D/Test</t>
  </si>
  <si>
    <t xml:space="preserve">1408 -Mod Coil Winding Supplies  </t>
  </si>
  <si>
    <t>1701 -Cryostat design</t>
  </si>
  <si>
    <t>1702 -Base Support structure design</t>
  </si>
  <si>
    <t xml:space="preserve">1801 -Field Period Assy </t>
  </si>
  <si>
    <t>2101 - Fueling Systems</t>
  </si>
  <si>
    <t>2201 - Torus Vacuum Pumping Systems</t>
  </si>
  <si>
    <t>3601 - Edge and Divertor Diagnostics</t>
  </si>
  <si>
    <t>3801 - Electron Beam (EB) Mapping</t>
  </si>
  <si>
    <t>5101- TCP/IP Infrastructure Systems</t>
  </si>
  <si>
    <t>5201 - Central Instrumentation &amp; Control</t>
  </si>
  <si>
    <t>5301 - Data Acquisition &amp; Fac Computing</t>
  </si>
  <si>
    <t>5401 - Facility Timing &amp; Synchronization</t>
  </si>
  <si>
    <t>5501 - Real Time Plasma &amp; Power Supply Ctrl</t>
  </si>
  <si>
    <t>5601 - Central Safety Interlock Systems</t>
  </si>
  <si>
    <t>6101 - Water Systems</t>
  </si>
  <si>
    <t>6201 - Cryogenic Systems</t>
  </si>
  <si>
    <t>6301 - Utility Systems</t>
  </si>
  <si>
    <t>8501 - Integrated Systems Testing</t>
  </si>
  <si>
    <t>1416 Mod Coil  Design  Job 1403, 1416 Coil Design, Job 1421 Interface design</t>
  </si>
  <si>
    <t xml:space="preserve">Job: 1260 NB Transition Ducts- COLE             </t>
  </si>
  <si>
    <t xml:space="preserve">Job: 1270 - Heater Control System-PPPL ( tbd)   </t>
  </si>
  <si>
    <t>dcma</t>
  </si>
  <si>
    <t>May 08</t>
  </si>
  <si>
    <t>may pppl</t>
  </si>
  <si>
    <t>may ornl</t>
  </si>
  <si>
    <t>TOTAL COST TRHOUGH MAY 2008</t>
  </si>
  <si>
    <t>Prepare manuscripts for peer-reviewed archival journals</t>
  </si>
  <si>
    <t>Subtotal =</t>
  </si>
  <si>
    <t>Total =</t>
  </si>
  <si>
    <t>1803 &amp; 1805</t>
  </si>
  <si>
    <t>FPA Tooling Design &amp; Constructability and Procurements</t>
  </si>
  <si>
    <t xml:space="preserve">Job: 1302 - PF  Design -CHRZANOWSKI             </t>
  </si>
  <si>
    <t xml:space="preserve">Job: 1352 - PF Coil Procurement-CHRZANOWSKI     </t>
  </si>
  <si>
    <t xml:space="preserve">Job: 1353 - CS Structure Procurement-PERRY      </t>
  </si>
  <si>
    <t xml:space="preserve">Job: 1355 - WBS 13 I&amp;C Proc and Coil Assy-COLE  </t>
  </si>
  <si>
    <t xml:space="preserve">Job: 1408 - MC Winding Supplies-CHRZANOWSKI     </t>
  </si>
  <si>
    <t xml:space="preserve">Job: 1416 - Mod Coil Type AB Fnl Dsn-WILLIAMSON </t>
  </si>
  <si>
    <t xml:space="preserve">Job: 1429 - MC Interface R&amp;D-DUDEK              </t>
  </si>
  <si>
    <t xml:space="preserve">Job: 1451 - Mod Coil Winding-CHRZANOWSKI        </t>
  </si>
  <si>
    <t>Job: 1459 - Mod Coil Fabr.Punch List-CHRZANOWSKI</t>
  </si>
  <si>
    <t xml:space="preserve">Job: 1501 - Coil Structures  Design-DAHLGREN    </t>
  </si>
  <si>
    <t xml:space="preserve">Job: 1550 - Coil Struct. Procurement -PERRY     </t>
  </si>
  <si>
    <t xml:space="preserve">Job: 1601 - Coil Services  Design-GORANSON      </t>
  </si>
  <si>
    <t xml:space="preserve">Job: 1701 - Cryostat Design-RAFTOPOLOUS         </t>
  </si>
  <si>
    <t xml:space="preserve">Job: 1702 - Base Support Struct Design-DAHLGREN </t>
  </si>
  <si>
    <t xml:space="preserve">Job: 1751 - Cryostat Procurement-RAFTOPOLOUS    </t>
  </si>
  <si>
    <t xml:space="preserve">Job: 1752 - Base Support Proc-PERRY             </t>
  </si>
  <si>
    <t xml:space="preserve">Job: 1802 - FP Assy Oversight&amp;Support-VIOLA     </t>
  </si>
  <si>
    <t>Job: 1806 - FP Assembly specs</t>
  </si>
  <si>
    <t>Job: 1810 - Field Period AssyStation 1 2 3 VIOLA</t>
  </si>
  <si>
    <t xml:space="preserve">Job: 1901 - Stellarator Core Mngtt&amp;Integr-COLE  </t>
  </si>
  <si>
    <t xml:space="preserve">Job: 2101 - Fueling Systems-BLANCHARD           </t>
  </si>
  <si>
    <t xml:space="preserve">Job: 2201 - Vacuum Pumping Systems-BLANCHARD    </t>
  </si>
  <si>
    <t xml:space="preserve">Job: 3101 - Magnetic Diagnostics-STRATTON       </t>
  </si>
  <si>
    <t xml:space="preserve">Job: 3601 - Edge Divertor Diagnostics-STRATTON  </t>
  </si>
  <si>
    <t xml:space="preserve">Job: 3801 - Electron Beam Mapping-FOGARTY       </t>
  </si>
  <si>
    <t>Job: 3901 - Diagnostics sys Integration-STRATTON</t>
  </si>
  <si>
    <t xml:space="preserve">Job: 4101 - AC Power-RAMAKRISHNAN               </t>
  </si>
  <si>
    <t xml:space="preserve">Job: 4301 - DC Systems-RAMAKRISHNAN             </t>
  </si>
  <si>
    <t xml:space="preserve">Job: 4401 - Control &amp; Protection-RAMAKRISHNAN   </t>
  </si>
  <si>
    <t xml:space="preserve">Job: 4501 - Power Sys Dsn &amp; Integr-RAMAKRISHNAN </t>
  </si>
  <si>
    <t>Job: 5101 - Network and Fiber</t>
  </si>
  <si>
    <t xml:space="preserve">Job: 5201 - I&amp;C Systems-SICHTA                  </t>
  </si>
  <si>
    <t xml:space="preserve">Job: 5301 - Data Acquisition-SICHTA             </t>
  </si>
  <si>
    <t>Job: 5401 - Facility Timing &amp;</t>
  </si>
  <si>
    <t>Job: 5501 - Real Time Control</t>
  </si>
  <si>
    <t>Job: 5601 - Central Safety &amp;Interlock Sys-SICHTA</t>
  </si>
  <si>
    <t>Job: 5801 - Central I&amp;C Integr&amp; Oversight-SICHTA</t>
  </si>
  <si>
    <t xml:space="preserve">Job: 6101 - Water Systems-DUDEK                 </t>
  </si>
  <si>
    <t xml:space="preserve">Job: 6201 - Cryogenic Syst-RAFTOPOLOUS          </t>
  </si>
  <si>
    <t xml:space="preserve">Job: 6301 - Utility Systems-DUDEK               </t>
  </si>
  <si>
    <t xml:space="preserve">Job: 6401 - Bakeout System GORANSON             </t>
  </si>
  <si>
    <t>Job: 7301 - Platform Design &amp;</t>
  </si>
  <si>
    <t xml:space="preserve">Job: 7401 - TC Prep &amp; Mach Assy Planning-PERRY  </t>
  </si>
  <si>
    <t xml:space="preserve">Job: 7501 - Construction Support Crew-PERRY     </t>
  </si>
  <si>
    <t xml:space="preserve">Job: 7503 - Machine Assembly (station 6)-PERRY  </t>
  </si>
  <si>
    <t xml:space="preserve">Job: 7601 - Tooling Design &amp; Fabrication-PERRY  </t>
  </si>
  <si>
    <t>Job: 8101 - Project Management &amp;Control-ANDERSON</t>
  </si>
  <si>
    <t xml:space="preserve">Job: 8102 - NCSX MIE Management ORNL-LYON       </t>
  </si>
  <si>
    <t>Job: 8202 - Engr Mgmt &amp; Sys Eng Sprt-HEITZENROED</t>
  </si>
  <si>
    <t xml:space="preserve">Job: 8203 - Design Integration-BROWN            </t>
  </si>
  <si>
    <t xml:space="preserve">Job: 8204 - Systems Analysis-BROOKS             </t>
  </si>
  <si>
    <t xml:space="preserve">Job: 8205 - Dimensional Control Coordin-ELLIS   </t>
  </si>
  <si>
    <t xml:space="preserve">Job: 8501 - Integrated Systems Testing-GENTILE  </t>
  </si>
  <si>
    <t xml:space="preserve">Job: 8998 - Allocations-STRYKOWSKY              </t>
  </si>
  <si>
    <t>Total project (May 1 through completion)</t>
  </si>
  <si>
    <t>etc</t>
  </si>
  <si>
    <t>cost thru 2/1/08</t>
  </si>
  <si>
    <t>April lehman eac</t>
  </si>
  <si>
    <t>Contingency =</t>
  </si>
  <si>
    <t>Neilson</t>
  </si>
  <si>
    <t>Strykowsky</t>
  </si>
  <si>
    <t>Project Management @ ORNL</t>
  </si>
  <si>
    <t xml:space="preserve">NCSX Closeout Scope </t>
  </si>
  <si>
    <t xml:space="preserve">PF Coil Procurements </t>
  </si>
  <si>
    <t>Rev 4/Mar 3</t>
  </si>
  <si>
    <t>Trim Coil Design &amp; Procurement</t>
  </si>
  <si>
    <t>Kalish</t>
  </si>
  <si>
    <t>Rev 9/Mar 3</t>
  </si>
  <si>
    <t>Modular Coil Interface Hardware</t>
  </si>
  <si>
    <t>Dudek</t>
  </si>
  <si>
    <t>16 - Coil Services</t>
  </si>
  <si>
    <t>Rev 9a/Mar 19</t>
  </si>
  <si>
    <t xml:space="preserve">LN2 Distribution System </t>
  </si>
  <si>
    <t>Goranson</t>
  </si>
  <si>
    <t>Rev 4a/Mar 20</t>
  </si>
  <si>
    <t xml:space="preserve">Base Support Structure Design </t>
  </si>
  <si>
    <t>3 - Diagnostic Systems</t>
  </si>
  <si>
    <t>Rev 8/Mar 1</t>
  </si>
  <si>
    <t>Magnetic Diagnostic Systems</t>
  </si>
  <si>
    <t>Stratton</t>
  </si>
  <si>
    <t>17 - Cryostat &amp; Base Support Structure</t>
  </si>
  <si>
    <t>Remaining Budget ($K)</t>
  </si>
  <si>
    <t>June Costs ($K)</t>
  </si>
  <si>
    <t>July Costs ($K)</t>
  </si>
  <si>
    <t>Diagnostics System Integration</t>
  </si>
  <si>
    <t>4- Power Sys</t>
  </si>
  <si>
    <t>DC Systems</t>
  </si>
  <si>
    <t>Raki</t>
  </si>
  <si>
    <t>Control &amp; Protection</t>
  </si>
  <si>
    <t>Cryogenic systems</t>
  </si>
  <si>
    <t>Raftopoulos</t>
  </si>
  <si>
    <t>Proj Rebaseline Estimate</t>
  </si>
  <si>
    <t>Reiersen</t>
  </si>
  <si>
    <t>VV System</t>
  </si>
  <si>
    <t>Mod Coil Interface R&amp;D</t>
  </si>
  <si>
    <t>Gettelfinger?</t>
  </si>
  <si>
    <t>Cryostat</t>
  </si>
  <si>
    <t>Central I&amp;C Integration</t>
  </si>
  <si>
    <t>TC Prep 7 Mach Assy Planning</t>
  </si>
  <si>
    <t>Integrated Test Documetnation</t>
  </si>
  <si>
    <t>Gentile</t>
  </si>
  <si>
    <t>BCWS</t>
  </si>
  <si>
    <t>BCWP</t>
  </si>
  <si>
    <t>ACWP</t>
  </si>
  <si>
    <t>SPI</t>
  </si>
  <si>
    <t>CPI</t>
  </si>
  <si>
    <t>ETC (or BCWR)</t>
  </si>
  <si>
    <t xml:space="preserve">Job: 1416 - Mod Coil Type AB Fnl Dsn-COLE       </t>
  </si>
  <si>
    <t xml:space="preserve">Job: 1421 - Mod Coil Interface Design-COLE      </t>
  </si>
  <si>
    <t xml:space="preserve">Job: 1803/1805- FPA Tooling/Constr-BROWN        </t>
  </si>
  <si>
    <t xml:space="preserve">Job: 8101 - Project Management &amp;Control-REJ     </t>
  </si>
  <si>
    <t xml:space="preserve">Job: 8102 - NCSX MIE Management ORNL-HARRIS     </t>
  </si>
  <si>
    <t>Job: 8220 - Equipt Save &amp; Facility Restora-PERRY</t>
  </si>
  <si>
    <t>Job: 8221 -Documentation  Closeout-HEITZENROEDER</t>
  </si>
  <si>
    <t xml:space="preserve">Job: 8222 - Manuscripts and Papers - NEILSON    </t>
  </si>
  <si>
    <t>ACT CODE</t>
  </si>
  <si>
    <t>DESCRIPTION</t>
  </si>
  <si>
    <t xml:space="preserve">   TOTAL    </t>
  </si>
  <si>
    <t xml:space="preserve">         JUN        FY08</t>
  </si>
  <si>
    <t xml:space="preserve">         JUL        FY08</t>
  </si>
  <si>
    <t xml:space="preserve">         AUG        FY08</t>
  </si>
  <si>
    <t xml:space="preserve">         SEP        FY08</t>
  </si>
  <si>
    <t xml:space="preserve">         OCT        FY09</t>
  </si>
  <si>
    <t xml:space="preserve">         NOV        FY09</t>
  </si>
  <si>
    <t xml:space="preserve">         DEC        FY09</t>
  </si>
  <si>
    <t xml:space="preserve">         JAN        FY09</t>
  </si>
  <si>
    <t xml:space="preserve">         FEB        FY09</t>
  </si>
  <si>
    <t xml:space="preserve">         MAR        FY09</t>
  </si>
  <si>
    <t xml:space="preserve">         APR        FY09</t>
  </si>
  <si>
    <t>CCCP</t>
  </si>
  <si>
    <t>Contingency-Project</t>
  </si>
  <si>
    <r>
      <t>over</t>
    </r>
    <r>
      <rPr>
        <b/>
        <sz val="10"/>
        <rFont val="Arial"/>
        <family val="2"/>
      </rPr>
      <t xml:space="preserve"> / (under)</t>
    </r>
  </si>
  <si>
    <t>5- I&amp;C</t>
  </si>
  <si>
    <t>6 - Facility Systems</t>
  </si>
  <si>
    <t>7 - Test Cell Preparation and  Machine Assy</t>
  </si>
  <si>
    <t>12 - Vacuum Vessel Systems</t>
  </si>
  <si>
    <t>BUDGET (Closeout ETC ($K) from 6/1/08)</t>
  </si>
  <si>
    <t>Aug Costs ($K)</t>
  </si>
  <si>
    <t>Total Costs ($K)</t>
  </si>
  <si>
    <t>July</t>
  </si>
  <si>
    <t>Aug</t>
  </si>
  <si>
    <t>remaining</t>
  </si>
  <si>
    <t>Cost Performance Through August 2008</t>
  </si>
  <si>
    <t>bcws june july aug</t>
  </si>
  <si>
    <t>JJJJ</t>
  </si>
  <si>
    <t>None</t>
  </si>
  <si>
    <t xml:space="preserve">         MAY        FY09</t>
  </si>
  <si>
    <t xml:space="preserve">         JUN        FY09</t>
  </si>
  <si>
    <t xml:space="preserve">         JUL        FY09</t>
  </si>
  <si>
    <t xml:space="preserve">         AUG        FY09</t>
  </si>
  <si>
    <t xml:space="preserve">         SEP        FY09</t>
  </si>
  <si>
    <t>1361 - Job: 1361 - TF Fabrication-KALISH</t>
  </si>
  <si>
    <t>1302 - Job: 1302 - PF  Design -CHRZANOWSKI</t>
  </si>
  <si>
    <t>1352 - Job: 1352 - PF Coil Procurement-CHRZANOWSKI</t>
  </si>
  <si>
    <t>1354 - Job: 1354 - Trim Coil Design &amp;Procurement-KALISH</t>
  </si>
  <si>
    <t>1416 - Job: 1416 - Mod Coil Type AB Fnl Dsn-COLE</t>
  </si>
  <si>
    <t>1408 - Job: 1408 - MC Winding Supplies-CHRZANOWSKI</t>
  </si>
  <si>
    <t>1451 - Job: 1451 - Mod Coil Winding-CHRZANOWSKI</t>
  </si>
  <si>
    <t>1459 - Job: 1459 - Mod Coil Fabr.Punch List-CHRZANOWSKI</t>
  </si>
  <si>
    <t>1421 - Job: 1421 - Mod Coil Interface Design-COLE</t>
  </si>
  <si>
    <t>1431 - Job: 1431 - Mod. Coil Interface Hardware-DUDEK</t>
  </si>
  <si>
    <t>1601 - Job: 1601 - Coil Services  Design-GORANSON</t>
  </si>
  <si>
    <t>1702 - Job: 1702 - Base Support Struct Design-DAHLGREN</t>
  </si>
  <si>
    <t>1901 - Job: 1901 - Stellarator Core Mngtt&amp;Integr-COLE</t>
  </si>
  <si>
    <t>1803 - Job: 1803/1805- FPA Tooling/Constr-BROWN</t>
  </si>
  <si>
    <t>1806 - Job: 1806 - FP Assembly specs and drawings-COLE</t>
  </si>
  <si>
    <t>8205 - Job: 8205 - Dimensional Control Coordin-ELLIS</t>
  </si>
  <si>
    <t>1802 - Job: 1802 - FP Assy Oversight&amp;Support-VIOLA</t>
  </si>
  <si>
    <t>1810 - Job: 1810 - Field Period AssyStation 1 2 3 VIOLA</t>
  </si>
  <si>
    <t>1501 - Job: 1501 - Coil Structures  Design-DAHLGREN</t>
  </si>
  <si>
    <t>3101 - Job: 3101 - Magnetic Diagnostics-STRATTON</t>
  </si>
  <si>
    <t>8101 - Job: 8101 - Project Management &amp;Control-REJ</t>
  </si>
  <si>
    <t>8102 - Job: 8102 - NCSX MIE Management ORNL-HARRIS</t>
  </si>
  <si>
    <t>8202 - Job: 8202 - Engr Mgmt &amp; Sys Eng Sprt-HEITZENROED</t>
  </si>
  <si>
    <t>8203 - Job: 8203 - Design Integration-BROWN</t>
  </si>
  <si>
    <t>8204 - Job: 8204 - Systems Analysis-BROOKS</t>
  </si>
  <si>
    <t>8220 - Job: 8220 - Equipt Save &amp; Facility Restora-PERRY</t>
  </si>
  <si>
    <t>8221 - Job: 8221 -Documentation  Closeout-HEITZENROEDER</t>
  </si>
  <si>
    <t>8222 - Job: 8222 - Manuscripts and Papers - NEILSON</t>
  </si>
  <si>
    <t>8998 - Job: 8998 - Allocations-STRYKOWSKY</t>
  </si>
  <si>
    <t>Variance Analysis</t>
  </si>
  <si>
    <t>Re-iterated design based on Trim Coil design and Cryostat Concep. Fault modes and structural models developed which were not planned.</t>
  </si>
  <si>
    <t>Status</t>
  </si>
  <si>
    <t>EAC</t>
  </si>
  <si>
    <t>Closeout documentation, analyses, and as-built drawings all behind</t>
  </si>
  <si>
    <t>Sichta</t>
  </si>
  <si>
    <t>Stellarator Core Mgmnt &amp; Integration</t>
  </si>
  <si>
    <t>Engr Management &amp; Syst Engineering</t>
  </si>
  <si>
    <t>Systems Analysis &amp; Tech Assurance</t>
  </si>
  <si>
    <t xml:space="preserve">Modular Coil Fabr Punch List Items </t>
  </si>
  <si>
    <t>Spent through 9/1/08</t>
  </si>
  <si>
    <t>Total Cost Through FY08</t>
  </si>
  <si>
    <t>FY09 ETC</t>
  </si>
  <si>
    <t>Total Under-run (give back)</t>
  </si>
  <si>
    <t>PPPL</t>
  </si>
  <si>
    <t>LANL</t>
  </si>
  <si>
    <t>ORNL</t>
  </si>
  <si>
    <t>TOTAL</t>
  </si>
  <si>
    <t>DCMA</t>
  </si>
  <si>
    <t>Carryover (FY08 into FY09)</t>
  </si>
  <si>
    <t>MIE  Budget (BA in-hand)</t>
  </si>
  <si>
    <t>*</t>
  </si>
  <si>
    <t xml:space="preserve">* $323,000 for closeout manuscripts/journals to be converted to OPC in accordance with Generally Accepted Accounting Principals and applicable DOE accounting rules.  </t>
  </si>
  <si>
    <t>NCSX FUNDING ANALYSIS (MIE FUNDS)</t>
  </si>
  <si>
    <t>TOTAL EAC FORECAST</t>
  </si>
  <si>
    <t>September Forcast</t>
  </si>
  <si>
    <t>COLE</t>
  </si>
  <si>
    <t>Planned</t>
  </si>
  <si>
    <t>Actual</t>
  </si>
  <si>
    <t>FOGARTY</t>
  </si>
  <si>
    <t>FREUDENBERG</t>
  </si>
  <si>
    <t>GORANSON</t>
  </si>
  <si>
    <t>HARRIS/HILLIS</t>
  </si>
  <si>
    <t>MMORRIS</t>
  </si>
  <si>
    <t>MOON</t>
  </si>
  <si>
    <t>NELSON</t>
  </si>
  <si>
    <t>WILLIAMSON</t>
  </si>
  <si>
    <t>AVASARALA</t>
  </si>
  <si>
    <t>BLANCHARD</t>
  </si>
  <si>
    <t>BROOKS</t>
  </si>
  <si>
    <t>BROWN</t>
  </si>
  <si>
    <t>CARROL</t>
  </si>
  <si>
    <t>CHRZANOWSKI</t>
  </si>
  <si>
    <t>DAHLGREN</t>
  </si>
  <si>
    <t>DODSON</t>
  </si>
  <si>
    <t>DUDEK</t>
  </si>
  <si>
    <t>ELLIS</t>
  </si>
  <si>
    <t>FAN</t>
  </si>
  <si>
    <t>GENTILE</t>
  </si>
  <si>
    <t>HAMPTON</t>
  </si>
  <si>
    <t>HEITZENROED</t>
  </si>
  <si>
    <t>JUN</t>
  </si>
  <si>
    <t>KALISH</t>
  </si>
  <si>
    <t>LABIK</t>
  </si>
  <si>
    <t>LANGISH</t>
  </si>
  <si>
    <t>MORRIS</t>
  </si>
  <si>
    <t>PERRY</t>
  </si>
  <si>
    <t>PRINISKI</t>
  </si>
  <si>
    <t>RAFTOPOULOS</t>
  </si>
  <si>
    <t>RAKI</t>
  </si>
  <si>
    <t>REIERSEN</t>
  </si>
  <si>
    <t>RUSHINSKI</t>
  </si>
  <si>
    <t>SICHTA</t>
  </si>
  <si>
    <t>SIMMONS</t>
  </si>
  <si>
    <t>SMITH</t>
  </si>
  <si>
    <t>STRATTON</t>
  </si>
  <si>
    <t>STRYKOWSKY</t>
  </si>
  <si>
    <t>SUCH</t>
  </si>
  <si>
    <t>TYRELL</t>
  </si>
  <si>
    <t>UPCAVAGE</t>
  </si>
  <si>
    <t>VIOLA</t>
  </si>
  <si>
    <t>ZHANG</t>
  </si>
  <si>
    <t>TOTAL PLAN =</t>
  </si>
  <si>
    <t>TOTAL ACTUAL =</t>
  </si>
  <si>
    <t>NCSX Closeout Status</t>
  </si>
  <si>
    <t>Page</t>
  </si>
  <si>
    <t>Funding Analysis</t>
  </si>
  <si>
    <t>Cost Performance Report</t>
  </si>
  <si>
    <t>Staffing</t>
  </si>
  <si>
    <t>Summary</t>
  </si>
  <si>
    <t>Detail</t>
  </si>
  <si>
    <t>Documentation Closeout (Job 8221)</t>
  </si>
  <si>
    <t>Resource Loaded Statused Schedule</t>
  </si>
  <si>
    <t>5-9</t>
  </si>
  <si>
    <t>10-11</t>
  </si>
  <si>
    <t>13-21</t>
  </si>
  <si>
    <t>September 1, 2008</t>
  </si>
  <si>
    <t>Man-hour Tracking</t>
  </si>
  <si>
    <t xml:space="preserve">ETC </t>
  </si>
  <si>
    <t>Comments</t>
  </si>
  <si>
    <t>Jobs</t>
  </si>
  <si>
    <t>TOTALs (Thru Aug)</t>
  </si>
  <si>
    <t>Actuals</t>
  </si>
  <si>
    <t>Done</t>
  </si>
  <si>
    <t>Close-Out Notes/Backup Analysis Files 
(Due Dates)</t>
  </si>
  <si>
    <t>Need new dates &amp; ETC</t>
  </si>
  <si>
    <t>Files received - only need summary</t>
  </si>
  <si>
    <t>Only backup ANSYS files/models needed</t>
  </si>
  <si>
    <t xml:space="preserve">Close out note &amp;  backup ANSYS files/models </t>
  </si>
  <si>
    <t>Need backup data files</t>
  </si>
  <si>
    <t>Include designer hours to complete drawings</t>
  </si>
  <si>
    <t>Include hours to review overall close out report</t>
  </si>
  <si>
    <t>Include hours for as-built drawings</t>
  </si>
  <si>
    <t>Include hours to update FPA assembly estimate</t>
  </si>
  <si>
    <t>TOTAL ETC =</t>
  </si>
  <si>
    <t>TOTAL EAC =</t>
  </si>
  <si>
    <t>TOTAL Delta =</t>
  </si>
  <si>
    <t>Participant</t>
  </si>
  <si>
    <t>Org</t>
  </si>
  <si>
    <t>Responsible Manager</t>
  </si>
  <si>
    <t>Mike Cole</t>
  </si>
  <si>
    <t>Jeff Harris</t>
  </si>
  <si>
    <t>Art Brooks</t>
  </si>
  <si>
    <t>Brooks, Fan, Zhang</t>
  </si>
  <si>
    <t>Tom Brown</t>
  </si>
  <si>
    <t>Cole, Fogarty, Freudenberg, Goranson, Morris, Moon, Nelson, Williamson</t>
  </si>
  <si>
    <t>Bob Elllis</t>
  </si>
  <si>
    <t>Phil Heitzenroeder</t>
  </si>
  <si>
    <t>Jim Chrzanowski</t>
  </si>
  <si>
    <t>Langish</t>
  </si>
  <si>
    <t>Mike Kalish</t>
  </si>
  <si>
    <t>Brown + ETC for Designers (by name) who will support as-builts</t>
  </si>
  <si>
    <t>Brent Stratton</t>
  </si>
  <si>
    <t>Stratton &amp; Labik</t>
  </si>
  <si>
    <t>Kalish+ ETC for Designers (by name)  supporting his work</t>
  </si>
  <si>
    <t>Erik Perry</t>
  </si>
  <si>
    <t>Bob Simmons</t>
  </si>
  <si>
    <t>Simmons &amp; Such</t>
  </si>
  <si>
    <t>Mike Viola</t>
  </si>
  <si>
    <t>Steve Raftopoulos</t>
  </si>
  <si>
    <t>Personnel that you should provide ETC for:</t>
  </si>
  <si>
    <t>Heitzenroeder, Tyrrell, Jun, Dahlgren, &amp; Fan (in support of Fred)</t>
  </si>
  <si>
    <t>Ron Strykowsky</t>
  </si>
  <si>
    <t>Wayne Reiersen</t>
  </si>
  <si>
    <t>Raki Ramakrishnan</t>
  </si>
  <si>
    <t>Raki + any designer hours to complete in-process drawings</t>
  </si>
  <si>
    <t>Ellis, Priniski, Smith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</si>
</sst>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"/>
    <numFmt numFmtId="171" formatCode="_(* #,##0.0_);_(* \(#,##0.0\);_(* &quot;-&quot;?_);_(@_)"/>
    <numFmt numFmtId="172" formatCode="#,##0.0_);[Red]\(#,##0.0\)"/>
    <numFmt numFmtId="173" formatCode="[Red]\(#,##0\)"/>
    <numFmt numFmtId="174" formatCode="[Red]\(#,##0.0\)"/>
    <numFmt numFmtId="175" formatCode="\(#,##0.0_);[Red]#,##0.0\)"/>
    <numFmt numFmtId="176" formatCode="#,##0.0_);[Blue]\(#,##0.0\)"/>
    <numFmt numFmtId="177" formatCode="[Red]\ #,##0.0_);[Blue]\(#,##0.0\)"/>
    <numFmt numFmtId="178" formatCode="_(* #,##0_);_(* \(#,##0\);_(* &quot;-&quot;?_);_(@_)"/>
    <numFmt numFmtId="179" formatCode="&quot;$&quot;#,##0.00"/>
    <numFmt numFmtId="180" formatCode="&quot;$&quot;#,##0.0"/>
    <numFmt numFmtId="181" formatCode="&quot;$&quot;#,##0"/>
    <numFmt numFmtId="182" formatCode="[$-409]dddd\,\ mmmm\ dd\,\ yyyy"/>
    <numFmt numFmtId="183" formatCode="m/d;@"/>
    <numFmt numFmtId="184" formatCode="0.0000"/>
  </numFmts>
  <fonts count="2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u val="single"/>
      <sz val="16"/>
      <name val="Arial"/>
      <family val="2"/>
    </font>
    <font>
      <b/>
      <sz val="18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b/>
      <sz val="10"/>
      <color indexed="16"/>
      <name val="Arial"/>
      <family val="2"/>
    </font>
    <font>
      <u val="single"/>
      <sz val="10"/>
      <name val="Arial"/>
      <family val="0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sz val="14"/>
      <name val="Arial"/>
      <family val="0"/>
    </font>
    <font>
      <u val="single"/>
      <sz val="14"/>
      <name val="Arial"/>
      <family val="0"/>
    </font>
    <font>
      <b/>
      <sz val="14"/>
      <name val="Times New Roman"/>
      <family val="1"/>
    </font>
    <font>
      <b/>
      <sz val="10"/>
      <color indexed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69" fontId="6" fillId="0" borderId="0" xfId="15" applyNumberFormat="1" applyFont="1" applyFill="1" applyBorder="1" applyAlignment="1">
      <alignment horizontal="center"/>
    </xf>
    <xf numFmtId="169" fontId="6" fillId="0" borderId="0" xfId="15" applyNumberFormat="1" applyFont="1" applyFill="1" applyBorder="1" applyAlignment="1">
      <alignment/>
    </xf>
    <xf numFmtId="169" fontId="6" fillId="0" borderId="0" xfId="15" applyNumberFormat="1" applyFont="1" applyFill="1" applyBorder="1" applyAlignment="1" quotePrefix="1">
      <alignment horizontal="center"/>
    </xf>
    <xf numFmtId="169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169" fontId="7" fillId="0" borderId="0" xfId="0" applyNumberFormat="1" applyFont="1" applyFill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6" fillId="3" borderId="0" xfId="0" applyFont="1" applyFill="1" applyBorder="1" applyAlignment="1">
      <alignment/>
    </xf>
    <xf numFmtId="169" fontId="6" fillId="3" borderId="0" xfId="15" applyNumberFormat="1" applyFont="1" applyFill="1" applyBorder="1" applyAlignment="1">
      <alignment/>
    </xf>
    <xf numFmtId="0" fontId="6" fillId="3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169" fontId="1" fillId="0" borderId="1" xfId="15" applyNumberFormat="1" applyFont="1" applyFill="1" applyBorder="1" applyAlignment="1">
      <alignment/>
    </xf>
    <xf numFmtId="0" fontId="0" fillId="4" borderId="0" xfId="0" applyFill="1" applyAlignment="1">
      <alignment/>
    </xf>
    <xf numFmtId="0" fontId="1" fillId="0" borderId="0" xfId="0" applyFont="1" applyFill="1" applyBorder="1" applyAlignment="1">
      <alignment/>
    </xf>
    <xf numFmtId="169" fontId="1" fillId="0" borderId="0" xfId="15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171" fontId="1" fillId="0" borderId="0" xfId="15" applyNumberFormat="1" applyFont="1" applyFill="1" applyBorder="1" applyAlignment="1">
      <alignment/>
    </xf>
    <xf numFmtId="169" fontId="11" fillId="0" borderId="0" xfId="15" applyNumberFormat="1" applyFont="1" applyFill="1" applyBorder="1" applyAlignment="1">
      <alignment/>
    </xf>
    <xf numFmtId="169" fontId="11" fillId="0" borderId="1" xfId="15" applyNumberFormat="1" applyFont="1" applyFill="1" applyBorder="1" applyAlignment="1">
      <alignment/>
    </xf>
    <xf numFmtId="177" fontId="1" fillId="0" borderId="0" xfId="15" applyNumberFormat="1" applyFont="1" applyFill="1" applyBorder="1" applyAlignment="1">
      <alignment/>
    </xf>
    <xf numFmtId="177" fontId="1" fillId="0" borderId="1" xfId="15" applyNumberFormat="1" applyFont="1" applyFill="1" applyBorder="1" applyAlignment="1">
      <alignment/>
    </xf>
    <xf numFmtId="169" fontId="4" fillId="0" borderId="0" xfId="15" applyNumberFormat="1" applyFont="1" applyFill="1" applyBorder="1" applyAlignment="1">
      <alignment/>
    </xf>
    <xf numFmtId="169" fontId="4" fillId="0" borderId="1" xfId="15" applyNumberFormat="1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 wrapText="1"/>
    </xf>
    <xf numFmtId="169" fontId="1" fillId="0" borderId="7" xfId="15" applyNumberFormat="1" applyFont="1" applyFill="1" applyBorder="1" applyAlignment="1">
      <alignment horizontal="center" vertical="top" wrapText="1"/>
    </xf>
    <xf numFmtId="177" fontId="1" fillId="0" borderId="7" xfId="15" applyNumberFormat="1" applyFont="1" applyFill="1" applyBorder="1" applyAlignment="1">
      <alignment horizontal="center" vertical="top" wrapText="1"/>
    </xf>
    <xf numFmtId="169" fontId="4" fillId="0" borderId="7" xfId="15" applyNumberFormat="1" applyFont="1" applyFill="1" applyBorder="1" applyAlignment="1">
      <alignment horizontal="center" vertical="top" wrapText="1"/>
    </xf>
    <xf numFmtId="169" fontId="1" fillId="0" borderId="7" xfId="15" applyNumberFormat="1" applyFont="1" applyFill="1" applyBorder="1" applyAlignment="1">
      <alignment vertical="top" wrapText="1"/>
    </xf>
    <xf numFmtId="0" fontId="1" fillId="0" borderId="7" xfId="2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vertical="top" wrapText="1"/>
    </xf>
    <xf numFmtId="178" fontId="0" fillId="0" borderId="7" xfId="15" applyNumberFormat="1" applyFont="1" applyFill="1" applyBorder="1" applyAlignment="1">
      <alignment vertical="top" wrapText="1"/>
    </xf>
    <xf numFmtId="43" fontId="0" fillId="0" borderId="7" xfId="15" applyNumberFormat="1" applyFont="1" applyFill="1" applyBorder="1" applyAlignment="1">
      <alignment vertical="top" wrapText="1"/>
    </xf>
    <xf numFmtId="169" fontId="11" fillId="0" borderId="7" xfId="15" applyNumberFormat="1" applyFont="1" applyFill="1" applyBorder="1" applyAlignment="1">
      <alignment vertical="top" wrapText="1"/>
    </xf>
    <xf numFmtId="169" fontId="4" fillId="0" borderId="7" xfId="15" applyNumberFormat="1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left"/>
    </xf>
    <xf numFmtId="0" fontId="1" fillId="0" borderId="7" xfId="0" applyFont="1" applyFill="1" applyBorder="1" applyAlignment="1">
      <alignment/>
    </xf>
    <xf numFmtId="178" fontId="0" fillId="0" borderId="7" xfId="15" applyNumberFormat="1" applyFont="1" applyFill="1" applyBorder="1" applyAlignment="1">
      <alignment/>
    </xf>
    <xf numFmtId="43" fontId="0" fillId="0" borderId="7" xfId="15" applyNumberFormat="1" applyFont="1" applyFill="1" applyBorder="1" applyAlignment="1">
      <alignment/>
    </xf>
    <xf numFmtId="169" fontId="11" fillId="0" borderId="7" xfId="15" applyNumberFormat="1" applyFont="1" applyFill="1" applyBorder="1" applyAlignment="1">
      <alignment/>
    </xf>
    <xf numFmtId="169" fontId="1" fillId="0" borderId="7" xfId="15" applyNumberFormat="1" applyFont="1" applyFill="1" applyBorder="1" applyAlignment="1">
      <alignment/>
    </xf>
    <xf numFmtId="169" fontId="4" fillId="0" borderId="7" xfId="15" applyNumberFormat="1" applyFont="1" applyFill="1" applyBorder="1" applyAlignment="1">
      <alignment/>
    </xf>
    <xf numFmtId="169" fontId="11" fillId="0" borderId="7" xfId="15" applyNumberFormat="1" applyFont="1" applyFill="1" applyBorder="1" applyAlignment="1">
      <alignment horizontal="center"/>
    </xf>
    <xf numFmtId="169" fontId="1" fillId="0" borderId="7" xfId="15" applyNumberFormat="1" applyFont="1" applyFill="1" applyBorder="1" applyAlignment="1">
      <alignment horizontal="center"/>
    </xf>
    <xf numFmtId="169" fontId="4" fillId="0" borderId="7" xfId="15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178" fontId="1" fillId="0" borderId="7" xfId="15" applyNumberFormat="1" applyFont="1" applyFill="1" applyBorder="1" applyAlignment="1">
      <alignment/>
    </xf>
    <xf numFmtId="43" fontId="1" fillId="0" borderId="7" xfId="15" applyNumberFormat="1" applyFont="1" applyFill="1" applyBorder="1" applyAlignment="1">
      <alignment/>
    </xf>
    <xf numFmtId="177" fontId="1" fillId="0" borderId="7" xfId="15" applyNumberFormat="1" applyFont="1" applyFill="1" applyBorder="1" applyAlignment="1">
      <alignment/>
    </xf>
    <xf numFmtId="169" fontId="6" fillId="0" borderId="0" xfId="15" applyNumberFormat="1" applyFont="1" applyFill="1" applyAlignment="1">
      <alignment/>
    </xf>
    <xf numFmtId="169" fontId="6" fillId="0" borderId="0" xfId="15" applyNumberFormat="1" applyFont="1" applyAlignment="1">
      <alignment/>
    </xf>
    <xf numFmtId="169" fontId="7" fillId="0" borderId="0" xfId="15" applyNumberFormat="1" applyFont="1" applyFill="1" applyAlignment="1">
      <alignment/>
    </xf>
    <xf numFmtId="169" fontId="7" fillId="0" borderId="0" xfId="15" applyNumberFormat="1" applyFont="1" applyAlignment="1">
      <alignment/>
    </xf>
    <xf numFmtId="0" fontId="1" fillId="0" borderId="0" xfId="0" applyFont="1" applyAlignment="1">
      <alignment/>
    </xf>
    <xf numFmtId="0" fontId="0" fillId="5" borderId="0" xfId="0" applyFont="1" applyFill="1" applyAlignment="1">
      <alignment/>
    </xf>
    <xf numFmtId="168" fontId="1" fillId="0" borderId="7" xfId="15" applyNumberFormat="1" applyFont="1" applyFill="1" applyBorder="1" applyAlignment="1">
      <alignment horizontal="center" vertical="top" wrapText="1"/>
    </xf>
    <xf numFmtId="168" fontId="1" fillId="0" borderId="7" xfId="15" applyNumberFormat="1" applyFont="1" applyFill="1" applyBorder="1" applyAlignment="1">
      <alignment vertical="top" wrapText="1"/>
    </xf>
    <xf numFmtId="168" fontId="1" fillId="0" borderId="7" xfId="15" applyNumberFormat="1" applyFont="1" applyFill="1" applyBorder="1" applyAlignment="1">
      <alignment/>
    </xf>
    <xf numFmtId="168" fontId="1" fillId="0" borderId="7" xfId="15" applyNumberFormat="1" applyFont="1" applyFill="1" applyBorder="1" applyAlignment="1">
      <alignment horizontal="center"/>
    </xf>
    <xf numFmtId="168" fontId="1" fillId="0" borderId="0" xfId="15" applyNumberFormat="1" applyFont="1" applyFill="1" applyBorder="1" applyAlignment="1">
      <alignment/>
    </xf>
    <xf numFmtId="168" fontId="1" fillId="0" borderId="1" xfId="15" applyNumberFormat="1" applyFont="1" applyFill="1" applyBorder="1" applyAlignment="1">
      <alignment/>
    </xf>
    <xf numFmtId="2" fontId="0" fillId="0" borderId="0" xfId="0" applyNumberFormat="1" applyAlignment="1">
      <alignment/>
    </xf>
    <xf numFmtId="168" fontId="1" fillId="5" borderId="1" xfId="15" applyNumberFormat="1" applyFont="1" applyFill="1" applyBorder="1" applyAlignment="1">
      <alignment/>
    </xf>
    <xf numFmtId="0" fontId="0" fillId="6" borderId="0" xfId="0" applyFont="1" applyFill="1" applyAlignment="1">
      <alignment/>
    </xf>
    <xf numFmtId="0" fontId="1" fillId="0" borderId="2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" fillId="7" borderId="2" xfId="0" applyFont="1" applyFill="1" applyBorder="1" applyAlignment="1">
      <alignment horizontal="left" vertical="top"/>
    </xf>
    <xf numFmtId="0" fontId="1" fillId="7" borderId="7" xfId="0" applyFont="1" applyFill="1" applyBorder="1" applyAlignment="1">
      <alignment horizontal="left" vertical="top" wrapText="1"/>
    </xf>
    <xf numFmtId="0" fontId="1" fillId="7" borderId="7" xfId="0" applyFont="1" applyFill="1" applyBorder="1" applyAlignment="1">
      <alignment horizontal="center" vertical="top" wrapText="1"/>
    </xf>
    <xf numFmtId="178" fontId="0" fillId="7" borderId="7" xfId="15" applyNumberFormat="1" applyFont="1" applyFill="1" applyBorder="1" applyAlignment="1">
      <alignment horizontal="left" vertical="top" wrapText="1"/>
    </xf>
    <xf numFmtId="43" fontId="0" fillId="7" borderId="7" xfId="15" applyNumberFormat="1" applyFont="1" applyFill="1" applyBorder="1" applyAlignment="1">
      <alignment horizontal="left" vertical="top" wrapText="1"/>
    </xf>
    <xf numFmtId="169" fontId="11" fillId="7" borderId="7" xfId="15" applyNumberFormat="1" applyFont="1" applyFill="1" applyBorder="1" applyAlignment="1">
      <alignment horizontal="center" vertical="top" wrapText="1"/>
    </xf>
    <xf numFmtId="168" fontId="1" fillId="7" borderId="7" xfId="15" applyNumberFormat="1" applyFont="1" applyFill="1" applyBorder="1" applyAlignment="1">
      <alignment horizontal="center" vertical="top" wrapText="1"/>
    </xf>
    <xf numFmtId="169" fontId="1" fillId="7" borderId="7" xfId="15" applyNumberFormat="1" applyFont="1" applyFill="1" applyBorder="1" applyAlignment="1">
      <alignment horizontal="center" vertical="top" wrapText="1"/>
    </xf>
    <xf numFmtId="177" fontId="1" fillId="7" borderId="7" xfId="15" applyNumberFormat="1" applyFont="1" applyFill="1" applyBorder="1" applyAlignment="1">
      <alignment horizontal="center" vertical="top" wrapText="1"/>
    </xf>
    <xf numFmtId="169" fontId="4" fillId="7" borderId="7" xfId="15" applyNumberFormat="1" applyFont="1" applyFill="1" applyBorder="1" applyAlignment="1">
      <alignment horizontal="center" vertical="top" wrapText="1"/>
    </xf>
    <xf numFmtId="169" fontId="1" fillId="7" borderId="7" xfId="15" applyNumberFormat="1" applyFont="1" applyFill="1" applyBorder="1" applyAlignment="1">
      <alignment vertical="top" wrapText="1"/>
    </xf>
    <xf numFmtId="169" fontId="7" fillId="7" borderId="0" xfId="15" applyNumberFormat="1" applyFont="1" applyFill="1" applyAlignment="1">
      <alignment/>
    </xf>
    <xf numFmtId="0" fontId="1" fillId="7" borderId="0" xfId="0" applyFont="1" applyFill="1" applyAlignment="1">
      <alignment/>
    </xf>
    <xf numFmtId="0" fontId="1" fillId="7" borderId="4" xfId="0" applyFont="1" applyFill="1" applyBorder="1" applyAlignment="1">
      <alignment horizontal="left" vertical="top"/>
    </xf>
    <xf numFmtId="0" fontId="1" fillId="7" borderId="7" xfId="20" applyFont="1" applyFill="1" applyBorder="1" applyAlignment="1">
      <alignment horizontal="left" vertical="top" wrapText="1"/>
    </xf>
    <xf numFmtId="0" fontId="1" fillId="7" borderId="7" xfId="0" applyFont="1" applyFill="1" applyBorder="1" applyAlignment="1">
      <alignment vertical="top" wrapText="1"/>
    </xf>
    <xf numFmtId="178" fontId="0" fillId="7" borderId="7" xfId="15" applyNumberFormat="1" applyFont="1" applyFill="1" applyBorder="1" applyAlignment="1">
      <alignment vertical="top" wrapText="1"/>
    </xf>
    <xf numFmtId="43" fontId="0" fillId="7" borderId="7" xfId="15" applyNumberFormat="1" applyFont="1" applyFill="1" applyBorder="1" applyAlignment="1">
      <alignment vertical="top" wrapText="1"/>
    </xf>
    <xf numFmtId="169" fontId="11" fillId="7" borderId="7" xfId="15" applyNumberFormat="1" applyFont="1" applyFill="1" applyBorder="1" applyAlignment="1">
      <alignment vertical="top" wrapText="1"/>
    </xf>
    <xf numFmtId="168" fontId="1" fillId="7" borderId="7" xfId="15" applyNumberFormat="1" applyFont="1" applyFill="1" applyBorder="1" applyAlignment="1">
      <alignment vertical="top" wrapText="1"/>
    </xf>
    <xf numFmtId="169" fontId="4" fillId="7" borderId="7" xfId="15" applyNumberFormat="1" applyFont="1" applyFill="1" applyBorder="1" applyAlignment="1">
      <alignment vertical="top" wrapText="1"/>
    </xf>
    <xf numFmtId="169" fontId="6" fillId="7" borderId="0" xfId="15" applyNumberFormat="1" applyFont="1" applyFill="1" applyAlignment="1">
      <alignment/>
    </xf>
    <xf numFmtId="0" fontId="0" fillId="7" borderId="0" xfId="0" applyFill="1" applyAlignment="1">
      <alignment/>
    </xf>
    <xf numFmtId="0" fontId="0" fillId="7" borderId="4" xfId="0" applyFont="1" applyFill="1" applyBorder="1" applyAlignment="1">
      <alignment horizontal="left" vertical="top"/>
    </xf>
    <xf numFmtId="168" fontId="4" fillId="7" borderId="7" xfId="15" applyNumberFormat="1" applyFont="1" applyFill="1" applyBorder="1" applyAlignment="1">
      <alignment vertical="top" wrapText="1"/>
    </xf>
    <xf numFmtId="0" fontId="0" fillId="7" borderId="0" xfId="0" applyFont="1" applyFill="1" applyAlignment="1">
      <alignment/>
    </xf>
    <xf numFmtId="0" fontId="1" fillId="7" borderId="11" xfId="0" applyFont="1" applyFill="1" applyBorder="1" applyAlignment="1">
      <alignment horizontal="left" vertical="top"/>
    </xf>
    <xf numFmtId="169" fontId="6" fillId="7" borderId="0" xfId="15" applyNumberFormat="1" applyFont="1" applyFill="1" applyBorder="1" applyAlignment="1">
      <alignment/>
    </xf>
    <xf numFmtId="0" fontId="1" fillId="7" borderId="12" xfId="0" applyFont="1" applyFill="1" applyBorder="1" applyAlignment="1">
      <alignment horizontal="left" vertical="top"/>
    </xf>
    <xf numFmtId="0" fontId="1" fillId="7" borderId="9" xfId="0" applyFont="1" applyFill="1" applyBorder="1" applyAlignment="1">
      <alignment horizontal="left" vertical="top"/>
    </xf>
    <xf numFmtId="0" fontId="1" fillId="7" borderId="13" xfId="0" applyFont="1" applyFill="1" applyBorder="1" applyAlignment="1">
      <alignment horizontal="left" vertical="top"/>
    </xf>
    <xf numFmtId="0" fontId="1" fillId="7" borderId="10" xfId="0" applyFont="1" applyFill="1" applyBorder="1" applyAlignment="1">
      <alignment horizontal="left"/>
    </xf>
    <xf numFmtId="0" fontId="1" fillId="7" borderId="7" xfId="0" applyFont="1" applyFill="1" applyBorder="1" applyAlignment="1">
      <alignment horizontal="left"/>
    </xf>
    <xf numFmtId="0" fontId="0" fillId="7" borderId="7" xfId="0" applyFont="1" applyFill="1" applyBorder="1" applyAlignment="1">
      <alignment/>
    </xf>
    <xf numFmtId="0" fontId="1" fillId="7" borderId="7" xfId="0" applyFont="1" applyFill="1" applyBorder="1" applyAlignment="1">
      <alignment/>
    </xf>
    <xf numFmtId="178" fontId="0" fillId="7" borderId="7" xfId="15" applyNumberFormat="1" applyFont="1" applyFill="1" applyBorder="1" applyAlignment="1">
      <alignment/>
    </xf>
    <xf numFmtId="43" fontId="0" fillId="7" borderId="7" xfId="15" applyNumberFormat="1" applyFont="1" applyFill="1" applyBorder="1" applyAlignment="1">
      <alignment/>
    </xf>
    <xf numFmtId="169" fontId="11" fillId="7" borderId="7" xfId="15" applyNumberFormat="1" applyFont="1" applyFill="1" applyBorder="1" applyAlignment="1">
      <alignment/>
    </xf>
    <xf numFmtId="168" fontId="1" fillId="7" borderId="7" xfId="15" applyNumberFormat="1" applyFont="1" applyFill="1" applyBorder="1" applyAlignment="1">
      <alignment/>
    </xf>
    <xf numFmtId="169" fontId="1" fillId="7" borderId="7" xfId="15" applyNumberFormat="1" applyFont="1" applyFill="1" applyBorder="1" applyAlignment="1">
      <alignment/>
    </xf>
    <xf numFmtId="169" fontId="4" fillId="7" borderId="7" xfId="15" applyNumberFormat="1" applyFont="1" applyFill="1" applyBorder="1" applyAlignment="1">
      <alignment/>
    </xf>
    <xf numFmtId="0" fontId="1" fillId="0" borderId="14" xfId="0" applyFont="1" applyFill="1" applyBorder="1" applyAlignment="1">
      <alignment horizontal="left" vertical="top"/>
    </xf>
    <xf numFmtId="0" fontId="1" fillId="0" borderId="7" xfId="20" applyFont="1" applyFill="1" applyBorder="1" applyAlignment="1" quotePrefix="1">
      <alignment horizontal="left" vertical="top" wrapText="1"/>
    </xf>
    <xf numFmtId="178" fontId="0" fillId="8" borderId="7" xfId="15" applyNumberFormat="1" applyFont="1" applyFill="1" applyBorder="1" applyAlignment="1">
      <alignment/>
    </xf>
    <xf numFmtId="168" fontId="13" fillId="9" borderId="7" xfId="15" applyNumberFormat="1" applyFont="1" applyFill="1" applyBorder="1" applyAlignment="1">
      <alignment horizontal="center" vertical="top" wrapText="1"/>
    </xf>
    <xf numFmtId="0" fontId="1" fillId="7" borderId="15" xfId="0" applyFont="1" applyFill="1" applyBorder="1" applyAlignment="1">
      <alignment/>
    </xf>
    <xf numFmtId="0" fontId="0" fillId="7" borderId="15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7" borderId="15" xfId="0" applyFont="1" applyFill="1" applyBorder="1" applyAlignment="1">
      <alignment/>
    </xf>
    <xf numFmtId="0" fontId="0" fillId="9" borderId="15" xfId="0" applyFill="1" applyBorder="1" applyAlignment="1">
      <alignment wrapText="1"/>
    </xf>
    <xf numFmtId="0" fontId="0" fillId="8" borderId="15" xfId="0" applyFill="1" applyBorder="1" applyAlignment="1">
      <alignment wrapText="1"/>
    </xf>
    <xf numFmtId="0" fontId="0" fillId="7" borderId="16" xfId="0" applyFill="1" applyBorder="1" applyAlignment="1">
      <alignment/>
    </xf>
    <xf numFmtId="0" fontId="9" fillId="0" borderId="2" xfId="0" applyFont="1" applyFill="1" applyBorder="1" applyAlignment="1">
      <alignment horizontal="centerContinuous"/>
    </xf>
    <xf numFmtId="0" fontId="1" fillId="0" borderId="6" xfId="0" applyFont="1" applyFill="1" applyBorder="1" applyAlignment="1">
      <alignment horizontal="centerContinuous"/>
    </xf>
    <xf numFmtId="0" fontId="8" fillId="0" borderId="6" xfId="0" applyFont="1" applyFill="1" applyBorder="1" applyAlignment="1">
      <alignment horizontal="centerContinuous"/>
    </xf>
    <xf numFmtId="0" fontId="2" fillId="0" borderId="6" xfId="0" applyFont="1" applyFill="1" applyBorder="1" applyAlignment="1">
      <alignment horizontal="centerContinuous"/>
    </xf>
    <xf numFmtId="169" fontId="10" fillId="0" borderId="6" xfId="15" applyNumberFormat="1" applyFont="1" applyFill="1" applyBorder="1" applyAlignment="1">
      <alignment horizontal="centerContinuous"/>
    </xf>
    <xf numFmtId="168" fontId="2" fillId="0" borderId="6" xfId="15" applyNumberFormat="1" applyFont="1" applyFill="1" applyBorder="1" applyAlignment="1">
      <alignment horizontal="centerContinuous"/>
    </xf>
    <xf numFmtId="169" fontId="2" fillId="0" borderId="6" xfId="15" applyNumberFormat="1" applyFont="1" applyFill="1" applyBorder="1" applyAlignment="1">
      <alignment horizontal="centerContinuous"/>
    </xf>
    <xf numFmtId="177" fontId="2" fillId="0" borderId="6" xfId="15" applyNumberFormat="1" applyFont="1" applyFill="1" applyBorder="1" applyAlignment="1">
      <alignment horizontal="centerContinuous"/>
    </xf>
    <xf numFmtId="169" fontId="12" fillId="0" borderId="6" xfId="15" applyNumberFormat="1" applyFont="1" applyFill="1" applyBorder="1" applyAlignment="1">
      <alignment horizontal="centerContinuous"/>
    </xf>
    <xf numFmtId="0" fontId="0" fillId="0" borderId="3" xfId="0" applyFill="1" applyBorder="1" applyAlignment="1">
      <alignment/>
    </xf>
    <xf numFmtId="0" fontId="9" fillId="0" borderId="10" xfId="0" applyFont="1" applyFill="1" applyBorder="1" applyAlignment="1">
      <alignment horizontal="centerContinuous"/>
    </xf>
    <xf numFmtId="0" fontId="1" fillId="0" borderId="17" xfId="0" applyFont="1" applyFill="1" applyBorder="1" applyAlignment="1">
      <alignment horizontal="centerContinuous"/>
    </xf>
    <xf numFmtId="0" fontId="8" fillId="0" borderId="17" xfId="0" applyFont="1" applyFill="1" applyBorder="1" applyAlignment="1">
      <alignment horizontal="centerContinuous"/>
    </xf>
    <xf numFmtId="0" fontId="2" fillId="0" borderId="17" xfId="0" applyFont="1" applyFill="1" applyBorder="1" applyAlignment="1">
      <alignment horizontal="centerContinuous"/>
    </xf>
    <xf numFmtId="169" fontId="10" fillId="0" borderId="17" xfId="15" applyNumberFormat="1" applyFont="1" applyFill="1" applyBorder="1" applyAlignment="1">
      <alignment horizontal="centerContinuous"/>
    </xf>
    <xf numFmtId="168" fontId="2" fillId="0" borderId="17" xfId="15" applyNumberFormat="1" applyFont="1" applyFill="1" applyBorder="1" applyAlignment="1">
      <alignment horizontal="centerContinuous"/>
    </xf>
    <xf numFmtId="169" fontId="2" fillId="0" borderId="17" xfId="15" applyNumberFormat="1" applyFont="1" applyFill="1" applyBorder="1" applyAlignment="1">
      <alignment horizontal="centerContinuous"/>
    </xf>
    <xf numFmtId="177" fontId="2" fillId="0" borderId="17" xfId="15" applyNumberFormat="1" applyFont="1" applyFill="1" applyBorder="1" applyAlignment="1">
      <alignment horizontal="centerContinuous"/>
    </xf>
    <xf numFmtId="169" fontId="12" fillId="0" borderId="17" xfId="15" applyNumberFormat="1" applyFont="1" applyFill="1" applyBorder="1" applyAlignment="1">
      <alignment horizontal="centerContinuous"/>
    </xf>
    <xf numFmtId="0" fontId="0" fillId="0" borderId="18" xfId="0" applyFill="1" applyBorder="1" applyAlignment="1">
      <alignment/>
    </xf>
    <xf numFmtId="0" fontId="0" fillId="0" borderId="0" xfId="0" applyAlignment="1">
      <alignment wrapText="1"/>
    </xf>
    <xf numFmtId="181" fontId="0" fillId="0" borderId="0" xfId="0" applyNumberFormat="1" applyAlignment="1">
      <alignment/>
    </xf>
    <xf numFmtId="0" fontId="1" fillId="0" borderId="6" xfId="0" applyFont="1" applyBorder="1" applyAlignment="1">
      <alignment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1" fillId="0" borderId="0" xfId="0" applyFon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5" xfId="0" applyNumberFormat="1" applyBorder="1" applyAlignment="1">
      <alignment/>
    </xf>
    <xf numFmtId="181" fontId="14" fillId="0" borderId="0" xfId="0" applyNumberFormat="1" applyFont="1" applyBorder="1" applyAlignment="1">
      <alignment/>
    </xf>
    <xf numFmtId="181" fontId="1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181" fontId="0" fillId="0" borderId="17" xfId="0" applyNumberFormat="1" applyBorder="1" applyAlignment="1">
      <alignment/>
    </xf>
    <xf numFmtId="181" fontId="0" fillId="0" borderId="18" xfId="0" applyNumberFormat="1" applyBorder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181" fontId="15" fillId="0" borderId="0" xfId="0" applyNumberFormat="1" applyFont="1" applyBorder="1" applyAlignment="1">
      <alignment/>
    </xf>
    <xf numFmtId="181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0" fontId="1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" fillId="9" borderId="0" xfId="0" applyFont="1" applyFill="1" applyAlignment="1">
      <alignment/>
    </xf>
    <xf numFmtId="0" fontId="1" fillId="8" borderId="0" xfId="0" applyFont="1" applyFill="1" applyAlignment="1">
      <alignment/>
    </xf>
    <xf numFmtId="0" fontId="1" fillId="0" borderId="17" xfId="0" applyFont="1" applyBorder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16" fontId="18" fillId="0" borderId="0" xfId="0" applyNumberFormat="1" applyFont="1" applyAlignment="1" quotePrefix="1">
      <alignment horizontal="center"/>
    </xf>
    <xf numFmtId="0" fontId="18" fillId="0" borderId="0" xfId="0" applyFont="1" applyAlignment="1" quotePrefix="1">
      <alignment horizontal="center"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/>
    </xf>
    <xf numFmtId="15" fontId="20" fillId="0" borderId="0" xfId="0" applyNumberFormat="1" applyFont="1" applyAlignment="1" quotePrefix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9" borderId="0" xfId="0" applyFill="1" applyAlignment="1">
      <alignment/>
    </xf>
    <xf numFmtId="0" fontId="16" fillId="9" borderId="0" xfId="0" applyFont="1" applyFill="1" applyAlignment="1">
      <alignment/>
    </xf>
    <xf numFmtId="0" fontId="16" fillId="10" borderId="0" xfId="0" applyFont="1" applyFill="1" applyAlignment="1">
      <alignment/>
    </xf>
    <xf numFmtId="0" fontId="1" fillId="10" borderId="17" xfId="0" applyFont="1" applyFill="1" applyBorder="1" applyAlignment="1">
      <alignment/>
    </xf>
    <xf numFmtId="0" fontId="17" fillId="1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 horizontal="centerContinuous" wrapText="1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6" fillId="9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10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" fillId="10" borderId="0" xfId="0" applyFont="1" applyFill="1" applyAlignment="1">
      <alignment/>
    </xf>
    <xf numFmtId="183" fontId="16" fillId="0" borderId="0" xfId="0" applyNumberFormat="1" applyFont="1" applyAlignment="1">
      <alignment horizontal="center"/>
    </xf>
    <xf numFmtId="183" fontId="24" fillId="0" borderId="0" xfId="0" applyNumberFormat="1" applyFont="1" applyAlignment="1">
      <alignment horizontal="center"/>
    </xf>
    <xf numFmtId="0" fontId="10" fillId="0" borderId="0" xfId="0" applyFont="1" applyAlignment="1">
      <alignment horizontal="centerContinuous" wrapText="1"/>
    </xf>
    <xf numFmtId="183" fontId="10" fillId="0" borderId="0" xfId="0" applyNumberFormat="1" applyFont="1" applyAlignment="1">
      <alignment horizontal="centerContinuous" wrapText="1"/>
    </xf>
    <xf numFmtId="183" fontId="15" fillId="0" borderId="0" xfId="0" applyNumberFormat="1" applyFont="1" applyFill="1" applyAlignment="1">
      <alignment horizontal="centerContinuous" wrapText="1"/>
    </xf>
    <xf numFmtId="183" fontId="16" fillId="9" borderId="0" xfId="0" applyNumberFormat="1" applyFont="1" applyFill="1" applyAlignment="1">
      <alignment horizontal="center"/>
    </xf>
    <xf numFmtId="183" fontId="16" fillId="10" borderId="0" xfId="0" applyNumberFormat="1" applyFont="1" applyFill="1" applyAlignment="1">
      <alignment horizontal="center"/>
    </xf>
    <xf numFmtId="183" fontId="16" fillId="0" borderId="0" xfId="0" applyNumberFormat="1" applyFont="1" applyFill="1" applyAlignment="1">
      <alignment horizontal="center"/>
    </xf>
    <xf numFmtId="183" fontId="0" fillId="0" borderId="0" xfId="0" applyNumberFormat="1" applyFill="1" applyAlignment="1">
      <alignment/>
    </xf>
    <xf numFmtId="1" fontId="16" fillId="9" borderId="0" xfId="0" applyNumberFormat="1" applyFont="1" applyFill="1" applyAlignment="1">
      <alignment horizontal="center"/>
    </xf>
    <xf numFmtId="1" fontId="16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center"/>
    </xf>
    <xf numFmtId="1" fontId="16" fillId="0" borderId="0" xfId="0" applyNumberFormat="1" applyFont="1" applyFill="1" applyAlignment="1">
      <alignment horizontal="center"/>
    </xf>
    <xf numFmtId="1" fontId="16" fillId="0" borderId="0" xfId="0" applyNumberFormat="1" applyFont="1" applyAlignment="1">
      <alignment/>
    </xf>
    <xf numFmtId="0" fontId="1" fillId="11" borderId="0" xfId="0" applyFont="1" applyFill="1" applyAlignment="1">
      <alignment/>
    </xf>
    <xf numFmtId="0" fontId="1" fillId="11" borderId="0" xfId="0" applyFont="1" applyFill="1" applyAlignment="1">
      <alignment horizontal="left"/>
    </xf>
    <xf numFmtId="1" fontId="1" fillId="0" borderId="0" xfId="0" applyNumberFormat="1" applyFont="1" applyAlignment="1">
      <alignment/>
    </xf>
    <xf numFmtId="183" fontId="1" fillId="0" borderId="17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83" fontId="17" fillId="0" borderId="0" xfId="0" applyNumberFormat="1" applyFont="1" applyFill="1" applyAlignment="1">
      <alignment horizontal="center"/>
    </xf>
    <xf numFmtId="0" fontId="0" fillId="0" borderId="0" xfId="0" applyAlignment="1">
      <alignment vertical="top"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183" fontId="0" fillId="0" borderId="20" xfId="0" applyNumberForma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vertical="top"/>
    </xf>
    <xf numFmtId="0" fontId="0" fillId="0" borderId="0" xfId="0" applyBorder="1" applyAlignment="1">
      <alignment vertical="top"/>
    </xf>
    <xf numFmtId="183" fontId="0" fillId="0" borderId="0" xfId="0" applyNumberFormat="1" applyFill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183" fontId="0" fillId="0" borderId="24" xfId="0" applyNumberFormat="1" applyFill="1" applyBorder="1" applyAlignment="1">
      <alignment vertical="top"/>
    </xf>
    <xf numFmtId="0" fontId="0" fillId="0" borderId="26" xfId="0" applyBorder="1" applyAlignment="1">
      <alignment vertical="top"/>
    </xf>
    <xf numFmtId="0" fontId="1" fillId="0" borderId="20" xfId="0" applyFont="1" applyBorder="1" applyAlignment="1">
      <alignment/>
    </xf>
    <xf numFmtId="0" fontId="0" fillId="0" borderId="20" xfId="0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ncsx.pppl.gov/Rebaseline/FY08_Rebaseline/Basis_of_Estimate_2008/Finalized%20WAFs/WBS_1_WAFs/WBS_14_WAFs/Jobs_1408_1451_1459/Job1408_1451_1459-R11.xls" TargetMode="External" /><Relationship Id="rId2" Type="http://schemas.openxmlformats.org/officeDocument/2006/relationships/hyperlink" Target="http://ncsx.pppl.gov/Rebaseline/FY08_Rebaseline/Basis_of_Estimate_2008/Finalized%20WAFs/WBS_1_WAFs/WBS_14_WAFs/Job_1416/Job_1416-R5.xls" TargetMode="External" /><Relationship Id="rId3" Type="http://schemas.openxmlformats.org/officeDocument/2006/relationships/hyperlink" Target="http://ncsx.pppl.gov/Rebaseline/FY08_Rebaseline/Basis_of_Estimate_2008/Finalized%20WAFs/WBS_1_WAFs/WBS_14_WAFs/Job_1421/Job_1421-R6.xls" TargetMode="External" /><Relationship Id="rId4" Type="http://schemas.openxmlformats.org/officeDocument/2006/relationships/hyperlink" Target="http://ncsx.pppl.gov/Rebaseline/FY08_Rebaseline/Basis_of_Estimate_2008/Finalized%20WAFs/WBS_1_WAFs/WBS_18_WAFs/Jobs_1802_1810_1815/Job1802_1810_1815_R22.xls" TargetMode="External" /><Relationship Id="rId5" Type="http://schemas.openxmlformats.org/officeDocument/2006/relationships/hyperlink" Target="http://ncsx.pppl.gov/Rebaseline/FY08_Rebaseline/Basis_of_Estimate_2008/Finalized%20WAFs/WBS_1_WAFs/WBS_18_WAFs/Jobs_1802_1810_1815/Job1802_1810_1815_R22.xls" TargetMode="External" /><Relationship Id="rId6" Type="http://schemas.openxmlformats.org/officeDocument/2006/relationships/hyperlink" Target="http://ncsx.pppl.gov/Rebaseline/FY08_Rebaseline/Basis_of_Estimate_2008/Finalized%20WAFs/WBS_1_WAFs/WBS_18_WAFs/Job_1806/Job1806_R7.xls" TargetMode="External" /><Relationship Id="rId7" Type="http://schemas.openxmlformats.org/officeDocument/2006/relationships/hyperlink" Target="http://ncsx.pppl.gov/Rebaseline/FY08_Rebaseline/Basis_of_Estimate_2008/Finalized%20WAFs/WBS_1_WAFs/WBS_19_WAFs/Job_1901/Job1901_R6.xls" TargetMode="External" /><Relationship Id="rId8" Type="http://schemas.openxmlformats.org/officeDocument/2006/relationships/hyperlink" Target="http://ncsx.pppl.gov/Rebaseline/FY08_Rebaseline/Basis_of_Estimate_2008/Finalized%20WAFs/WBS_8_WAFs/Jobs_8101_8102_8998/Job8101_8102_8998_R14.xls" TargetMode="External" /><Relationship Id="rId9" Type="http://schemas.openxmlformats.org/officeDocument/2006/relationships/hyperlink" Target="http://ncsx.pppl.gov/Rebaseline/FY08_Rebaseline/Basis_of_Estimate_2008/Finalized%20WAFs/WBS_8_WAFs/Job_8202/Job8202_R7.xls" TargetMode="External" /><Relationship Id="rId10" Type="http://schemas.openxmlformats.org/officeDocument/2006/relationships/hyperlink" Target="http://ncsx.pppl.gov/Rebaseline/FY08_Rebaseline/Basis_of_Estimate_2008/Finalized%20WAFs/WBS_8_WAFs/Job_8203/Job%208203-R5.xls" TargetMode="External" /><Relationship Id="rId11" Type="http://schemas.openxmlformats.org/officeDocument/2006/relationships/hyperlink" Target="http://ncsx.pppl.gov/Rebaseline/FY08_Rebaseline/Basis_of_Estimate_2008/Finalized%20WAFs/WBS_8_WAFs/Job_8204/Job8204_R4.xls" TargetMode="External" /><Relationship Id="rId12" Type="http://schemas.openxmlformats.org/officeDocument/2006/relationships/hyperlink" Target="http://ncsx.pppl.gov/Rebaseline/FY08_Rebaseline/Basis_of_Estimate_2008/Finalized%20WAFs/WBS_8_WAFs/Job%20_8205/Job_8205-R4.xls" TargetMode="External" /><Relationship Id="rId13" Type="http://schemas.openxmlformats.org/officeDocument/2006/relationships/hyperlink" Target="http://ncsx.pppl.gov/Rebaseline/FY08_Rebaseline/Basis_of_Estimate_2008/Finalized%20WAFs/WBS_1_WAFs/WBS_15_WAFs/Jobs_1501_1550/Job%201501_1550-R12a.xls" TargetMode="External" /><Relationship Id="rId14" Type="http://schemas.openxmlformats.org/officeDocument/2006/relationships/hyperlink" Target="http://ncsx.pppl.gov/Rebaseline/FY08_Rebaseline/Basis_of_Estimate_2008/Finalized%20WAFs/WBS_1_WAFs/WBS_13_WAFs/Job_1361/Job1361_R5.xls" TargetMode="External" /><Relationship Id="rId15" Type="http://schemas.openxmlformats.org/officeDocument/2006/relationships/hyperlink" Target="http://ncsx.pppl.gov/Rebaseline/FY08_Rebaseline/Basis_of_Estimate_2008/Finalized%20WAFs/WBS_1_WAFs/WBS_14_WAFs/Jobs_1408_1451_1459/Job1408_1451_1459-R11.xls" TargetMode="External" /><Relationship Id="rId16" Type="http://schemas.openxmlformats.org/officeDocument/2006/relationships/hyperlink" Target="http://ncsx.pppl.gov/Rebaseline/FY08_Rebaseline/Basis_of_Estimate_2008/Finalized%20WAFs/WBS_1_WAFs/WBS_14_WAFs/Jobs_1408_1451_1459/Job1408_1451_1459-R11.xls" TargetMode="External" /><Relationship Id="rId17" Type="http://schemas.openxmlformats.org/officeDocument/2006/relationships/hyperlink" Target="http://ncsx.pppl.gov/Rebaseline/FY08_Rebaseline/Basis_of_Estimate_2008/Finalized%20WAFs/WBS_1_WAFs/WBS_13_WAFs/Job_1302_1352/Job1302_1352_R7.xls" TargetMode="External" /><Relationship Id="rId18" Type="http://schemas.openxmlformats.org/officeDocument/2006/relationships/hyperlink" Target="http://ncsx.pppl.gov/Rebaseline/FY08_Rebaseline/Basis_of_Estimate_2008/Finalized%20WAFs/WBS_1_WAFs/WBS_13_WAFs/Job_1354/Job_1354-R4.xls" TargetMode="External" /><Relationship Id="rId19" Type="http://schemas.openxmlformats.org/officeDocument/2006/relationships/hyperlink" Target="http://ncsx.pppl.gov/Rebaseline/FY08_Rebaseline/Basis_of_Estimate_2008/Finalized%20WAFs/WBS_1_WAFs/WBS_14_WAFs/Job_1431/Job1431_R9.xls" TargetMode="External" /><Relationship Id="rId20" Type="http://schemas.openxmlformats.org/officeDocument/2006/relationships/hyperlink" Target="http://ncsx.pppl.gov/Rebaseline/FY08_Rebaseline/Basis_of_Estimate_2008/Finalized%20WAFs/WBS_1_WAFs/WBS_16_WAFs/Job_1601-161/Job_1601-161-R9a.xls" TargetMode="External" /><Relationship Id="rId21" Type="http://schemas.openxmlformats.org/officeDocument/2006/relationships/hyperlink" Target="http://ncsx.pppl.gov/Rebaseline/FY08_Rebaseline/Basis_of_Estimate_2008/Finalized%20WAFs/WBS_1_WAFs/WBS_17_WAFs/Jobs_1702_1752/Jobs_1702_1752-R4a.xls" TargetMode="External" /><Relationship Id="rId22" Type="http://schemas.openxmlformats.org/officeDocument/2006/relationships/hyperlink" Target="http://ncsx.pppl.gov/Rebaseline/FY08_Rebaseline/Basis_of_Estimate_2008/Finalized%20WAFs/WBS_3_WAFs/Job_3101/Job3101_R8.xls" TargetMode="External" /><Relationship Id="rId2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Z57"/>
  <sheetViews>
    <sheetView workbookViewId="0" topLeftCell="D1">
      <selection activeCell="T30" sqref="T30:X51"/>
    </sheetView>
  </sheetViews>
  <sheetFormatPr defaultColWidth="9.140625" defaultRowHeight="12.75"/>
  <cols>
    <col min="4" max="4" width="4.421875" style="0" customWidth="1"/>
    <col min="5" max="5" width="7.28125" style="0" customWidth="1"/>
    <col min="6" max="9" width="13.8515625" style="0" customWidth="1"/>
    <col min="10" max="10" width="2.00390625" style="0" customWidth="1"/>
    <col min="11" max="11" width="13.8515625" style="0" customWidth="1"/>
    <col min="12" max="12" width="1.8515625" style="0" customWidth="1"/>
    <col min="13" max="13" width="13.8515625" style="0" customWidth="1"/>
    <col min="14" max="14" width="2.140625" style="0" customWidth="1"/>
    <col min="15" max="16" width="13.8515625" style="0" customWidth="1"/>
    <col min="17" max="17" width="3.57421875" style="0" customWidth="1"/>
    <col min="20" max="20" width="3.00390625" style="0" customWidth="1"/>
    <col min="23" max="23" width="21.421875" style="0" customWidth="1"/>
  </cols>
  <sheetData>
    <row r="3" spans="4:17" ht="15.75">
      <c r="D3" s="182" t="s">
        <v>369</v>
      </c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</row>
    <row r="4" ht="13.5" thickBot="1"/>
    <row r="5" spans="4:17" ht="12.75">
      <c r="D5" s="33"/>
      <c r="E5" s="3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34"/>
    </row>
    <row r="6" spans="4:17" s="165" customFormat="1" ht="38.25">
      <c r="D6" s="168"/>
      <c r="E6" s="169"/>
      <c r="F6" s="170" t="s">
        <v>366</v>
      </c>
      <c r="G6" s="170" t="s">
        <v>356</v>
      </c>
      <c r="H6" s="170" t="s">
        <v>371</v>
      </c>
      <c r="I6" s="170" t="s">
        <v>357</v>
      </c>
      <c r="J6" s="170"/>
      <c r="K6" s="170" t="s">
        <v>365</v>
      </c>
      <c r="L6" s="170"/>
      <c r="M6" s="170" t="s">
        <v>358</v>
      </c>
      <c r="N6" s="170"/>
      <c r="O6" s="170" t="s">
        <v>370</v>
      </c>
      <c r="P6" s="170" t="s">
        <v>359</v>
      </c>
      <c r="Q6" s="171"/>
    </row>
    <row r="7" spans="4:17" ht="12.75">
      <c r="D7" s="35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6"/>
    </row>
    <row r="8" spans="4:17" ht="18">
      <c r="D8" s="35"/>
      <c r="E8" s="172" t="s">
        <v>360</v>
      </c>
      <c r="F8" s="173">
        <f>62772839+15064161</f>
        <v>77837000</v>
      </c>
      <c r="G8" s="173">
        <f>62772839+11556052</f>
        <v>74328891</v>
      </c>
      <c r="H8" s="173">
        <v>862357</v>
      </c>
      <c r="I8" s="173">
        <f>SUM(G8:H8)</f>
        <v>75191248</v>
      </c>
      <c r="J8" s="173"/>
      <c r="K8" s="173">
        <f>+F8-I8</f>
        <v>2645752</v>
      </c>
      <c r="L8" s="173"/>
      <c r="M8" s="173">
        <f>1618225+23</f>
        <v>1618248</v>
      </c>
      <c r="N8" s="183" t="s">
        <v>367</v>
      </c>
      <c r="O8" s="173">
        <f>+M8+I8</f>
        <v>76809496</v>
      </c>
      <c r="P8" s="173">
        <f>+K8-M8</f>
        <v>1027504</v>
      </c>
      <c r="Q8" s="174"/>
    </row>
    <row r="9" spans="4:17" ht="12.75">
      <c r="D9" s="35"/>
      <c r="E9" s="172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4"/>
    </row>
    <row r="10" spans="4:17" ht="12.75">
      <c r="D10" s="35"/>
      <c r="E10" s="172" t="s">
        <v>361</v>
      </c>
      <c r="F10" s="173">
        <v>420000</v>
      </c>
      <c r="G10" s="173">
        <v>266500</v>
      </c>
      <c r="H10" s="173">
        <v>35500</v>
      </c>
      <c r="I10" s="173">
        <f>SUM(G10:H10)</f>
        <v>302000</v>
      </c>
      <c r="J10" s="173"/>
      <c r="K10" s="173">
        <f>+F10-I10</f>
        <v>118000</v>
      </c>
      <c r="L10" s="173"/>
      <c r="M10" s="173">
        <v>68000</v>
      </c>
      <c r="N10" s="173"/>
      <c r="O10" s="173">
        <f>+M10+I10</f>
        <v>370000</v>
      </c>
      <c r="P10" s="173">
        <f>+K10-M10</f>
        <v>50000</v>
      </c>
      <c r="Q10" s="174"/>
    </row>
    <row r="11" spans="4:17" ht="12.75">
      <c r="D11" s="35"/>
      <c r="E11" s="172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4"/>
    </row>
    <row r="12" spans="4:17" ht="12.75">
      <c r="D12" s="35"/>
      <c r="E12" s="172" t="s">
        <v>364</v>
      </c>
      <c r="F12" s="173">
        <v>75000</v>
      </c>
      <c r="G12" s="173">
        <v>75000</v>
      </c>
      <c r="H12" s="173">
        <v>0</v>
      </c>
      <c r="I12" s="173">
        <f>SUM(G12:H12)</f>
        <v>75000</v>
      </c>
      <c r="J12" s="173"/>
      <c r="K12" s="173">
        <f>+F12-I12</f>
        <v>0</v>
      </c>
      <c r="L12" s="173"/>
      <c r="M12" s="173">
        <v>0</v>
      </c>
      <c r="N12" s="173"/>
      <c r="O12" s="173">
        <f>+M12+I12</f>
        <v>75000</v>
      </c>
      <c r="P12" s="173">
        <f>+K12-M12</f>
        <v>0</v>
      </c>
      <c r="Q12" s="174"/>
    </row>
    <row r="13" spans="4:17" ht="12.75">
      <c r="D13" s="35"/>
      <c r="E13" s="172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4"/>
    </row>
    <row r="14" spans="4:17" ht="12.75">
      <c r="D14" s="35"/>
      <c r="E14" s="172" t="s">
        <v>362</v>
      </c>
      <c r="F14" s="175">
        <f>9606908+2193092</f>
        <v>11800000</v>
      </c>
      <c r="G14" s="175">
        <f>9606908+1519230</f>
        <v>11126138</v>
      </c>
      <c r="H14" s="175">
        <v>77280</v>
      </c>
      <c r="I14" s="175">
        <f>SUM(G14:H14)</f>
        <v>11203418</v>
      </c>
      <c r="J14" s="175"/>
      <c r="K14" s="175">
        <f>+F14-I14</f>
        <v>596582</v>
      </c>
      <c r="L14" s="175"/>
      <c r="M14" s="175">
        <v>91760</v>
      </c>
      <c r="N14" s="175"/>
      <c r="O14" s="175">
        <f>+M14+I14</f>
        <v>11295178</v>
      </c>
      <c r="P14" s="175">
        <f>+K14-M14</f>
        <v>504822</v>
      </c>
      <c r="Q14" s="174"/>
    </row>
    <row r="15" spans="4:17" ht="12.75">
      <c r="D15" s="35"/>
      <c r="E15" s="38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4"/>
    </row>
    <row r="16" spans="4:17" ht="12.75">
      <c r="D16" s="35"/>
      <c r="E16" s="172" t="s">
        <v>363</v>
      </c>
      <c r="F16" s="176">
        <f>SUM(F8:F14)</f>
        <v>90132000</v>
      </c>
      <c r="G16" s="176">
        <f>SUM(G8:G14)</f>
        <v>85796529</v>
      </c>
      <c r="H16" s="176">
        <f aca="true" t="shared" si="0" ref="H16:P16">SUM(H8:H14)</f>
        <v>975137</v>
      </c>
      <c r="I16" s="176">
        <f t="shared" si="0"/>
        <v>86771666</v>
      </c>
      <c r="J16" s="176"/>
      <c r="K16" s="176">
        <f t="shared" si="0"/>
        <v>3360334</v>
      </c>
      <c r="L16" s="176"/>
      <c r="M16" s="176">
        <f t="shared" si="0"/>
        <v>1778008</v>
      </c>
      <c r="N16" s="176"/>
      <c r="O16" s="176">
        <f t="shared" si="0"/>
        <v>88549674</v>
      </c>
      <c r="P16" s="176">
        <f t="shared" si="0"/>
        <v>1582326</v>
      </c>
      <c r="Q16" s="174"/>
    </row>
    <row r="17" spans="4:17" ht="13.5" thickBot="1">
      <c r="D17" s="177"/>
      <c r="E17" s="178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80"/>
    </row>
    <row r="18" spans="6:17" ht="12.75"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</row>
    <row r="19" spans="4:17" ht="12.75">
      <c r="D19" s="184" t="s">
        <v>368</v>
      </c>
      <c r="E19" s="185"/>
      <c r="F19" s="185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</row>
    <row r="29" spans="19:24" ht="15.75">
      <c r="S29" s="198"/>
      <c r="T29" s="198"/>
      <c r="U29" s="198"/>
      <c r="V29" s="198"/>
      <c r="W29" s="198"/>
      <c r="X29" s="198"/>
    </row>
    <row r="30" spans="19:25" ht="18.75">
      <c r="S30" s="198"/>
      <c r="T30" s="204" t="s">
        <v>420</v>
      </c>
      <c r="U30" s="204"/>
      <c r="V30" s="204"/>
      <c r="W30" s="204"/>
      <c r="X30" s="204"/>
      <c r="Y30" s="205"/>
    </row>
    <row r="31" spans="19:26" ht="18.75">
      <c r="S31" s="202"/>
      <c r="T31" s="206" t="s">
        <v>432</v>
      </c>
      <c r="U31" s="204"/>
      <c r="V31" s="204"/>
      <c r="W31" s="204"/>
      <c r="X31" s="204"/>
      <c r="Y31" s="207"/>
      <c r="Z31" s="203"/>
    </row>
    <row r="32" spans="19:25" ht="18.75">
      <c r="S32" s="198"/>
      <c r="T32" s="208"/>
      <c r="U32" s="208"/>
      <c r="V32" s="208"/>
      <c r="W32" s="208"/>
      <c r="X32" s="208"/>
      <c r="Y32" s="205"/>
    </row>
    <row r="33" spans="19:24" ht="15.75">
      <c r="S33" s="198"/>
      <c r="T33" s="198"/>
      <c r="U33" s="198"/>
      <c r="V33" s="198"/>
      <c r="W33" s="198"/>
      <c r="X33" s="209" t="s">
        <v>421</v>
      </c>
    </row>
    <row r="34" spans="19:24" ht="15.75">
      <c r="S34" s="198"/>
      <c r="T34" s="198"/>
      <c r="U34" s="198"/>
      <c r="V34" s="198"/>
      <c r="W34" s="198"/>
      <c r="X34" s="199"/>
    </row>
    <row r="35" spans="19:24" ht="15.75">
      <c r="S35" s="198"/>
      <c r="T35" s="198" t="s">
        <v>422</v>
      </c>
      <c r="U35" s="198"/>
      <c r="V35" s="198"/>
      <c r="W35" s="198"/>
      <c r="X35" s="199">
        <v>2</v>
      </c>
    </row>
    <row r="36" spans="19:24" ht="15.75">
      <c r="S36" s="198"/>
      <c r="T36" s="198"/>
      <c r="U36" s="198"/>
      <c r="V36" s="198"/>
      <c r="W36" s="198"/>
      <c r="X36" s="199"/>
    </row>
    <row r="37" spans="19:24" ht="15.75">
      <c r="S37" s="198"/>
      <c r="T37" s="198"/>
      <c r="U37" s="198"/>
      <c r="V37" s="198"/>
      <c r="W37" s="198"/>
      <c r="X37" s="198"/>
    </row>
    <row r="38" spans="19:24" ht="15.75">
      <c r="S38" s="198"/>
      <c r="T38" s="198" t="s">
        <v>423</v>
      </c>
      <c r="U38" s="198"/>
      <c r="V38" s="198"/>
      <c r="W38" s="198"/>
      <c r="X38" s="199">
        <v>3</v>
      </c>
    </row>
    <row r="39" spans="19:24" ht="15.75">
      <c r="S39" s="198"/>
      <c r="T39" s="198"/>
      <c r="U39" s="198"/>
      <c r="V39" s="198"/>
      <c r="W39" s="198"/>
      <c r="X39" s="199"/>
    </row>
    <row r="40" spans="19:24" ht="15.75">
      <c r="S40" s="198"/>
      <c r="T40" s="198"/>
      <c r="U40" s="198"/>
      <c r="V40" s="198"/>
      <c r="W40" s="198"/>
      <c r="X40" s="198"/>
    </row>
    <row r="41" spans="19:24" ht="15.75">
      <c r="S41" s="198"/>
      <c r="T41" s="198" t="s">
        <v>424</v>
      </c>
      <c r="U41" s="198"/>
      <c r="V41" s="198"/>
      <c r="W41" s="198"/>
      <c r="X41" s="199"/>
    </row>
    <row r="42" spans="19:24" ht="15.75">
      <c r="S42" s="198"/>
      <c r="T42" s="198"/>
      <c r="U42" s="198" t="s">
        <v>425</v>
      </c>
      <c r="V42" s="198"/>
      <c r="W42" s="198"/>
      <c r="X42" s="199">
        <v>4</v>
      </c>
    </row>
    <row r="43" spans="19:24" ht="15.75">
      <c r="S43" s="198"/>
      <c r="T43" s="198"/>
      <c r="U43" s="198" t="s">
        <v>426</v>
      </c>
      <c r="V43" s="198"/>
      <c r="W43" s="198"/>
      <c r="X43" s="200" t="s">
        <v>429</v>
      </c>
    </row>
    <row r="44" spans="19:24" ht="15.75">
      <c r="S44" s="198"/>
      <c r="T44" s="198"/>
      <c r="U44" s="198"/>
      <c r="V44" s="198"/>
      <c r="W44" s="198"/>
      <c r="X44" s="199"/>
    </row>
    <row r="45" spans="19:24" ht="15.75">
      <c r="S45" s="198"/>
      <c r="T45" s="198"/>
      <c r="U45" s="198"/>
      <c r="V45" s="198"/>
      <c r="W45" s="198"/>
      <c r="X45" s="198"/>
    </row>
    <row r="46" spans="19:24" ht="15.75">
      <c r="S46" s="198"/>
      <c r="T46" s="198" t="s">
        <v>427</v>
      </c>
      <c r="U46" s="198"/>
      <c r="V46" s="198"/>
      <c r="W46" s="198"/>
      <c r="X46" s="199"/>
    </row>
    <row r="47" spans="19:24" ht="15.75">
      <c r="S47" s="198"/>
      <c r="T47" s="198"/>
      <c r="U47" s="198" t="s">
        <v>348</v>
      </c>
      <c r="V47" s="198"/>
      <c r="W47" s="198"/>
      <c r="X47" s="201" t="s">
        <v>430</v>
      </c>
    </row>
    <row r="48" spans="7:24" ht="15.75">
      <c r="G48" s="197"/>
      <c r="S48" s="198"/>
      <c r="T48" s="198"/>
      <c r="U48" s="198" t="s">
        <v>433</v>
      </c>
      <c r="V48" s="198"/>
      <c r="W48" s="198"/>
      <c r="X48" s="199">
        <v>12</v>
      </c>
    </row>
    <row r="49" spans="19:24" ht="15.75">
      <c r="S49" s="198"/>
      <c r="T49" s="198"/>
      <c r="U49" s="198"/>
      <c r="V49" s="198"/>
      <c r="W49" s="198"/>
      <c r="X49" s="199"/>
    </row>
    <row r="50" spans="19:24" ht="15.75">
      <c r="S50" s="198"/>
      <c r="T50" s="198"/>
      <c r="U50" s="198"/>
      <c r="V50" s="198"/>
      <c r="W50" s="198"/>
      <c r="X50" s="198"/>
    </row>
    <row r="51" spans="19:24" ht="15.75">
      <c r="S51" s="198"/>
      <c r="T51" s="198" t="s">
        <v>428</v>
      </c>
      <c r="U51" s="198"/>
      <c r="V51" s="198"/>
      <c r="W51" s="198"/>
      <c r="X51" s="201" t="s">
        <v>431</v>
      </c>
    </row>
    <row r="52" spans="19:24" ht="15.75">
      <c r="S52" s="198"/>
      <c r="T52" s="198"/>
      <c r="U52" s="198"/>
      <c r="V52" s="198"/>
      <c r="W52" s="198"/>
      <c r="X52" s="198"/>
    </row>
    <row r="53" spans="19:24" ht="15.75">
      <c r="S53" s="198"/>
      <c r="T53" s="198"/>
      <c r="U53" s="198"/>
      <c r="V53" s="198"/>
      <c r="W53" s="198"/>
      <c r="X53" s="198"/>
    </row>
    <row r="54" spans="19:24" ht="15.75">
      <c r="S54" s="198"/>
      <c r="T54" s="198"/>
      <c r="U54" s="198"/>
      <c r="V54" s="198"/>
      <c r="W54" s="198"/>
      <c r="X54" s="198"/>
    </row>
    <row r="55" spans="19:24" ht="15.75">
      <c r="S55" s="198"/>
      <c r="T55" s="198"/>
      <c r="U55" s="198"/>
      <c r="V55" s="198"/>
      <c r="W55" s="198"/>
      <c r="X55" s="198"/>
    </row>
    <row r="56" spans="19:24" ht="15.75">
      <c r="S56" s="198"/>
      <c r="T56" s="198"/>
      <c r="U56" s="198"/>
      <c r="V56" s="198"/>
      <c r="W56" s="198"/>
      <c r="X56" s="198"/>
    </row>
    <row r="57" spans="19:24" ht="15.75">
      <c r="S57" s="198"/>
      <c r="T57" s="198"/>
      <c r="U57" s="198"/>
      <c r="V57" s="198"/>
      <c r="W57" s="198"/>
      <c r="X57" s="198"/>
    </row>
  </sheetData>
  <printOptions horizontalCentered="1" verticalCentered="1"/>
  <pageMargins left="0.46" right="0.27" top="0.59" bottom="0.65" header="0.5" footer="0.5"/>
  <pageSetup horizontalDpi="600" verticalDpi="600" orientation="landscape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52"/>
  <sheetViews>
    <sheetView workbookViewId="0" topLeftCell="A17">
      <selection activeCell="O49" sqref="O49"/>
    </sheetView>
  </sheetViews>
  <sheetFormatPr defaultColWidth="9.140625" defaultRowHeight="12.75"/>
  <cols>
    <col min="1" max="1" width="3.00390625" style="90" customWidth="1"/>
    <col min="2" max="2" width="7.28125" style="25" customWidth="1"/>
    <col min="3" max="3" width="14.28125" style="13" hidden="1" customWidth="1"/>
    <col min="4" max="4" width="12.140625" style="13" customWidth="1"/>
    <col min="5" max="5" width="36.421875" style="13" customWidth="1"/>
    <col min="6" max="6" width="14.140625" style="13" bestFit="1" customWidth="1"/>
    <col min="7" max="8" width="6.7109375" style="70" bestFit="1" customWidth="1"/>
    <col min="9" max="9" width="6.7109375" style="13" bestFit="1" customWidth="1"/>
    <col min="10" max="10" width="5.7109375" style="13" bestFit="1" customWidth="1"/>
    <col min="11" max="11" width="5.7109375" style="79" bestFit="1" customWidth="1"/>
    <col min="12" max="12" width="12.8515625" style="28" customWidth="1"/>
    <col min="13" max="13" width="8.421875" style="78" customWidth="1"/>
    <col min="14" max="14" width="7.28125" style="21" customWidth="1"/>
    <col min="15" max="15" width="7.421875" style="30" bestFit="1" customWidth="1"/>
    <col min="16" max="18" width="8.421875" style="32" bestFit="1" customWidth="1"/>
    <col min="19" max="19" width="9.7109375" style="32" bestFit="1" customWidth="1"/>
    <col min="20" max="20" width="11.421875" style="21" bestFit="1" customWidth="1"/>
    <col min="21" max="21" width="24.57421875" style="15" customWidth="1"/>
    <col min="22" max="22" width="5.57421875" style="65" customWidth="1"/>
    <col min="23" max="23" width="5.57421875" style="66" customWidth="1"/>
    <col min="24" max="24" width="5.57421875" style="65" customWidth="1"/>
    <col min="25" max="25" width="9.140625" style="65" customWidth="1"/>
    <col min="26" max="32" width="9.140625" style="15" customWidth="1"/>
    <col min="33" max="16384" width="9.140625" style="14" customWidth="1"/>
  </cols>
  <sheetData>
    <row r="1" spans="1:21" ht="23.25">
      <c r="A1" s="145" t="s">
        <v>228</v>
      </c>
      <c r="B1" s="146"/>
      <c r="C1" s="147"/>
      <c r="D1" s="147"/>
      <c r="E1" s="147"/>
      <c r="F1" s="148"/>
      <c r="G1" s="148"/>
      <c r="H1" s="148"/>
      <c r="I1" s="148"/>
      <c r="J1" s="148"/>
      <c r="K1" s="148"/>
      <c r="L1" s="149"/>
      <c r="M1" s="150"/>
      <c r="N1" s="151"/>
      <c r="O1" s="152"/>
      <c r="P1" s="153"/>
      <c r="Q1" s="153"/>
      <c r="R1" s="153"/>
      <c r="S1" s="153"/>
      <c r="T1" s="151"/>
      <c r="U1" s="154"/>
    </row>
    <row r="2" spans="1:21" ht="24" thickBot="1">
      <c r="A2" s="155" t="s">
        <v>308</v>
      </c>
      <c r="B2" s="156"/>
      <c r="C2" s="157"/>
      <c r="D2" s="157"/>
      <c r="E2" s="157"/>
      <c r="F2" s="158"/>
      <c r="G2" s="158"/>
      <c r="H2" s="158"/>
      <c r="I2" s="158"/>
      <c r="J2" s="158"/>
      <c r="K2" s="158"/>
      <c r="L2" s="159"/>
      <c r="M2" s="160"/>
      <c r="N2" s="161"/>
      <c r="O2" s="162"/>
      <c r="P2" s="163"/>
      <c r="Q2" s="163"/>
      <c r="R2" s="163"/>
      <c r="S2" s="163"/>
      <c r="T2" s="161"/>
      <c r="U2" s="164"/>
    </row>
    <row r="3" spans="1:32" s="11" customFormat="1" ht="51.75" thickBot="1">
      <c r="A3" s="80" t="s">
        <v>0</v>
      </c>
      <c r="B3" s="39" t="s">
        <v>1</v>
      </c>
      <c r="C3" s="40" t="s">
        <v>2</v>
      </c>
      <c r="D3" s="40" t="s">
        <v>348</v>
      </c>
      <c r="E3" s="40" t="s">
        <v>3</v>
      </c>
      <c r="F3" s="40" t="s">
        <v>49</v>
      </c>
      <c r="G3" s="40" t="s">
        <v>267</v>
      </c>
      <c r="H3" s="40" t="s">
        <v>268</v>
      </c>
      <c r="I3" s="40" t="s">
        <v>269</v>
      </c>
      <c r="J3" s="40" t="s">
        <v>270</v>
      </c>
      <c r="K3" s="40" t="s">
        <v>271</v>
      </c>
      <c r="L3" s="41" t="s">
        <v>302</v>
      </c>
      <c r="M3" s="71" t="s">
        <v>272</v>
      </c>
      <c r="N3" s="41" t="s">
        <v>349</v>
      </c>
      <c r="O3" s="42" t="s">
        <v>297</v>
      </c>
      <c r="P3" s="43" t="s">
        <v>248</v>
      </c>
      <c r="Q3" s="43" t="s">
        <v>249</v>
      </c>
      <c r="R3" s="43" t="s">
        <v>303</v>
      </c>
      <c r="S3" s="41" t="s">
        <v>304</v>
      </c>
      <c r="T3" s="41" t="s">
        <v>247</v>
      </c>
      <c r="U3" s="52" t="s">
        <v>346</v>
      </c>
      <c r="V3" s="67"/>
      <c r="W3" s="68"/>
      <c r="X3" s="67"/>
      <c r="Y3" s="67"/>
      <c r="Z3" s="12"/>
      <c r="AA3" s="12"/>
      <c r="AB3" s="12"/>
      <c r="AC3" s="12"/>
      <c r="AD3" s="12"/>
      <c r="AE3" s="12"/>
      <c r="AF3" s="12"/>
    </row>
    <row r="4" spans="1:25" s="103" customFormat="1" ht="16.5" thickBot="1">
      <c r="A4" s="91" t="s">
        <v>301</v>
      </c>
      <c r="B4" s="92">
        <v>1204</v>
      </c>
      <c r="C4" s="93"/>
      <c r="D4" s="93" t="str">
        <f>IF(M4=0,"COMPLETE","")</f>
        <v>COMPLETE</v>
      </c>
      <c r="E4" s="92" t="s">
        <v>259</v>
      </c>
      <c r="F4" s="92" t="s">
        <v>26</v>
      </c>
      <c r="G4" s="94">
        <v>0</v>
      </c>
      <c r="H4" s="94">
        <v>0</v>
      </c>
      <c r="I4" s="94">
        <f>SUM(P4:R4)</f>
        <v>4.188</v>
      </c>
      <c r="J4" s="95"/>
      <c r="K4" s="95">
        <f>+H4/I4</f>
        <v>0</v>
      </c>
      <c r="L4" s="96">
        <v>0.0001</v>
      </c>
      <c r="M4" s="97">
        <v>0</v>
      </c>
      <c r="N4" s="98">
        <f>SUM(M4,I4)</f>
        <v>4.188</v>
      </c>
      <c r="O4" s="99">
        <f>+N4-L4</f>
        <v>4.1879</v>
      </c>
      <c r="P4" s="100">
        <f>3.9+0.288</f>
        <v>4.188</v>
      </c>
      <c r="Q4" s="100">
        <v>0</v>
      </c>
      <c r="R4" s="100">
        <v>0</v>
      </c>
      <c r="S4" s="100">
        <f>P4+Q4+R4</f>
        <v>4.188</v>
      </c>
      <c r="T4" s="101">
        <f aca="true" t="shared" si="0" ref="T4:T42">L4-P4-Q4-R4</f>
        <v>-4.1879</v>
      </c>
      <c r="U4" s="136"/>
      <c r="V4" s="102"/>
      <c r="W4" s="102"/>
      <c r="X4" s="102"/>
      <c r="Y4" s="102"/>
    </row>
    <row r="5" spans="1:25" s="113" customFormat="1" ht="16.5" thickBot="1">
      <c r="A5" s="104" t="s">
        <v>4</v>
      </c>
      <c r="B5" s="105">
        <v>1352</v>
      </c>
      <c r="C5" s="106"/>
      <c r="D5" s="93" t="str">
        <f aca="true" t="shared" si="1" ref="D5:D42">IF(M5=0,"COMPLETE","")</f>
        <v>COMPLETE</v>
      </c>
      <c r="E5" s="106" t="s">
        <v>229</v>
      </c>
      <c r="F5" s="106" t="s">
        <v>6</v>
      </c>
      <c r="G5" s="107">
        <f>SUM(bcws!D5)</f>
        <v>93.1</v>
      </c>
      <c r="H5" s="107">
        <f>+L5-M5</f>
        <v>93.1</v>
      </c>
      <c r="I5" s="107">
        <f aca="true" t="shared" si="2" ref="I5:I42">SUM(P5:R5)</f>
        <v>97.69999999999999</v>
      </c>
      <c r="J5" s="108">
        <f aca="true" t="shared" si="3" ref="J5:J44">+H5/G5</f>
        <v>1</v>
      </c>
      <c r="K5" s="108">
        <f aca="true" t="shared" si="4" ref="K5:K44">+H5/I5</f>
        <v>0.9529170931422724</v>
      </c>
      <c r="L5" s="109">
        <v>93.1</v>
      </c>
      <c r="M5" s="110">
        <v>0</v>
      </c>
      <c r="N5" s="101">
        <f aca="true" t="shared" si="5" ref="N5:N42">SUM(M5,I5)</f>
        <v>97.69999999999999</v>
      </c>
      <c r="O5" s="99">
        <f aca="true" t="shared" si="6" ref="O5:O42">+N5-L5</f>
        <v>4.599999999999994</v>
      </c>
      <c r="P5" s="111">
        <v>0.1</v>
      </c>
      <c r="Q5" s="111">
        <v>97.6</v>
      </c>
      <c r="R5" s="111">
        <v>0</v>
      </c>
      <c r="S5" s="100">
        <f aca="true" t="shared" si="7" ref="S5:S42">P5+Q5+R5</f>
        <v>97.69999999999999</v>
      </c>
      <c r="T5" s="101">
        <f t="shared" si="0"/>
        <v>-4.599999999999994</v>
      </c>
      <c r="U5" s="137"/>
      <c r="V5" s="112"/>
      <c r="W5" s="112"/>
      <c r="X5" s="112"/>
      <c r="Y5" s="112"/>
    </row>
    <row r="6" spans="1:23" ht="16.5" thickBot="1">
      <c r="A6" s="82"/>
      <c r="B6" s="45">
        <v>1354</v>
      </c>
      <c r="C6" s="46" t="s">
        <v>230</v>
      </c>
      <c r="D6" s="40">
        <f t="shared" si="1"/>
      </c>
      <c r="E6" s="46" t="s">
        <v>231</v>
      </c>
      <c r="F6" s="46" t="s">
        <v>232</v>
      </c>
      <c r="G6" s="47">
        <f>SUM(bcws!D6)</f>
        <v>23.8</v>
      </c>
      <c r="H6" s="47">
        <f aca="true" t="shared" si="8" ref="H6:H42">+L6-M6</f>
        <v>22.2</v>
      </c>
      <c r="I6" s="47">
        <f t="shared" si="2"/>
        <v>22.536</v>
      </c>
      <c r="J6" s="48">
        <f t="shared" si="3"/>
        <v>0.9327731092436974</v>
      </c>
      <c r="K6" s="48">
        <f t="shared" si="4"/>
        <v>0.9850905218317358</v>
      </c>
      <c r="L6" s="49">
        <v>24</v>
      </c>
      <c r="M6" s="72">
        <v>1.8</v>
      </c>
      <c r="N6" s="44">
        <f t="shared" si="5"/>
        <v>24.336000000000002</v>
      </c>
      <c r="O6" s="42">
        <f t="shared" si="6"/>
        <v>0.3360000000000021</v>
      </c>
      <c r="P6" s="50">
        <v>21.5</v>
      </c>
      <c r="Q6" s="50">
        <f>0.4+0.286</f>
        <v>0.6859999999999999</v>
      </c>
      <c r="R6" s="50">
        <v>0.35</v>
      </c>
      <c r="S6" s="43">
        <f t="shared" si="7"/>
        <v>22.536</v>
      </c>
      <c r="T6" s="44">
        <f t="shared" si="0"/>
        <v>1.464</v>
      </c>
      <c r="U6" s="138"/>
      <c r="W6" s="65"/>
    </row>
    <row r="7" spans="1:25" s="13" customFormat="1" ht="18" customHeight="1" thickBot="1">
      <c r="A7" s="83"/>
      <c r="B7" s="45">
        <v>1361</v>
      </c>
      <c r="C7" s="46" t="s">
        <v>9</v>
      </c>
      <c r="D7" s="40">
        <f t="shared" si="1"/>
      </c>
      <c r="E7" s="46" t="s">
        <v>10</v>
      </c>
      <c r="F7" s="46" t="s">
        <v>11</v>
      </c>
      <c r="G7" s="47">
        <f>SUM(bcws!D7)</f>
        <v>144.2</v>
      </c>
      <c r="H7" s="47">
        <f t="shared" si="8"/>
        <v>138.4</v>
      </c>
      <c r="I7" s="47">
        <f t="shared" si="2"/>
        <v>142.78</v>
      </c>
      <c r="J7" s="48">
        <f t="shared" si="3"/>
        <v>0.9597780859916784</v>
      </c>
      <c r="K7" s="48">
        <f t="shared" si="4"/>
        <v>0.9693234346547136</v>
      </c>
      <c r="L7" s="49">
        <v>245</v>
      </c>
      <c r="M7" s="72">
        <v>106.6</v>
      </c>
      <c r="N7" s="44">
        <f t="shared" si="5"/>
        <v>249.38</v>
      </c>
      <c r="O7" s="42">
        <f t="shared" si="6"/>
        <v>4.3799999999999955</v>
      </c>
      <c r="P7" s="50">
        <v>41.2</v>
      </c>
      <c r="Q7" s="50">
        <v>44.6</v>
      </c>
      <c r="R7" s="50">
        <v>56.98</v>
      </c>
      <c r="S7" s="43">
        <f t="shared" si="7"/>
        <v>142.78</v>
      </c>
      <c r="T7" s="44">
        <f t="shared" si="0"/>
        <v>102.22000000000003</v>
      </c>
      <c r="U7" s="139"/>
      <c r="V7" s="65"/>
      <c r="W7" s="65"/>
      <c r="X7" s="65"/>
      <c r="Y7" s="65"/>
    </row>
    <row r="8" spans="1:25" s="20" customFormat="1" ht="16.5" thickBot="1">
      <c r="A8" s="132" t="s">
        <v>12</v>
      </c>
      <c r="B8" s="45">
        <v>1408</v>
      </c>
      <c r="C8" s="46" t="s">
        <v>13</v>
      </c>
      <c r="D8" s="40">
        <f t="shared" si="1"/>
      </c>
      <c r="E8" s="46" t="s">
        <v>14</v>
      </c>
      <c r="F8" s="46" t="s">
        <v>6</v>
      </c>
      <c r="G8" s="47">
        <f>SUM(bcws!D8)</f>
        <v>20.5</v>
      </c>
      <c r="H8" s="47">
        <f t="shared" si="8"/>
        <v>18.8</v>
      </c>
      <c r="I8" s="47">
        <f t="shared" si="2"/>
        <v>9.5</v>
      </c>
      <c r="J8" s="48">
        <f t="shared" si="3"/>
        <v>0.9170731707317074</v>
      </c>
      <c r="K8" s="48">
        <f t="shared" si="4"/>
        <v>1.9789473684210528</v>
      </c>
      <c r="L8" s="49">
        <v>20.8</v>
      </c>
      <c r="M8" s="72">
        <v>2</v>
      </c>
      <c r="N8" s="44">
        <f t="shared" si="5"/>
        <v>11.5</v>
      </c>
      <c r="O8" s="42">
        <f t="shared" si="6"/>
        <v>-9.3</v>
      </c>
      <c r="P8" s="50">
        <v>0.7</v>
      </c>
      <c r="Q8" s="50">
        <v>6.7</v>
      </c>
      <c r="R8" s="50">
        <v>2.1</v>
      </c>
      <c r="S8" s="43">
        <f t="shared" si="7"/>
        <v>9.5</v>
      </c>
      <c r="T8" s="44">
        <f t="shared" si="0"/>
        <v>11.300000000000002</v>
      </c>
      <c r="U8" s="140"/>
      <c r="V8" s="65"/>
      <c r="W8" s="65"/>
      <c r="X8" s="65"/>
      <c r="Y8" s="65"/>
    </row>
    <row r="9" spans="1:25" s="113" customFormat="1" ht="16.5" thickBot="1">
      <c r="A9" s="114"/>
      <c r="B9" s="105">
        <v>1416</v>
      </c>
      <c r="C9" s="106" t="s">
        <v>9</v>
      </c>
      <c r="D9" s="93" t="str">
        <f t="shared" si="1"/>
        <v>COMPLETE</v>
      </c>
      <c r="E9" s="106" t="s">
        <v>16</v>
      </c>
      <c r="F9" s="106" t="s">
        <v>8</v>
      </c>
      <c r="G9" s="107">
        <f>SUM(bcws!D9)</f>
        <v>37.4</v>
      </c>
      <c r="H9" s="107">
        <f t="shared" si="8"/>
        <v>37.4</v>
      </c>
      <c r="I9" s="107">
        <f>SUM(P9:R9)</f>
        <v>6.005000000000001</v>
      </c>
      <c r="J9" s="108">
        <f t="shared" si="3"/>
        <v>1</v>
      </c>
      <c r="K9" s="108">
        <f t="shared" si="4"/>
        <v>6.228143213988342</v>
      </c>
      <c r="L9" s="109">
        <v>37.4</v>
      </c>
      <c r="M9" s="110">
        <v>0</v>
      </c>
      <c r="N9" s="101">
        <f t="shared" si="5"/>
        <v>6.005000000000001</v>
      </c>
      <c r="O9" s="99">
        <f t="shared" si="6"/>
        <v>-31.394999999999996</v>
      </c>
      <c r="P9" s="111">
        <v>5.581</v>
      </c>
      <c r="Q9" s="115">
        <v>0.424</v>
      </c>
      <c r="R9" s="115">
        <v>0</v>
      </c>
      <c r="S9" s="100">
        <f t="shared" si="7"/>
        <v>6.005000000000001</v>
      </c>
      <c r="T9" s="101">
        <f t="shared" si="0"/>
        <v>31.395</v>
      </c>
      <c r="U9" s="137"/>
      <c r="V9" s="112"/>
      <c r="W9" s="112"/>
      <c r="X9" s="112"/>
      <c r="Y9" s="112"/>
    </row>
    <row r="10" spans="1:25" s="116" customFormat="1" ht="16.5" thickBot="1">
      <c r="A10" s="114"/>
      <c r="B10" s="105">
        <v>1421</v>
      </c>
      <c r="C10" s="106" t="s">
        <v>17</v>
      </c>
      <c r="D10" s="93" t="str">
        <f t="shared" si="1"/>
        <v>COMPLETE</v>
      </c>
      <c r="E10" s="106" t="s">
        <v>18</v>
      </c>
      <c r="F10" s="106" t="s">
        <v>8</v>
      </c>
      <c r="G10" s="107">
        <f>SUM(bcws!D10)</f>
        <v>49.800000000000004</v>
      </c>
      <c r="H10" s="107">
        <f t="shared" si="8"/>
        <v>49.8</v>
      </c>
      <c r="I10" s="107">
        <f t="shared" si="2"/>
        <v>36.623000000000005</v>
      </c>
      <c r="J10" s="108">
        <f t="shared" si="3"/>
        <v>0.9999999999999999</v>
      </c>
      <c r="K10" s="108">
        <f t="shared" si="4"/>
        <v>1.3598012178139418</v>
      </c>
      <c r="L10" s="109">
        <v>49.8</v>
      </c>
      <c r="M10" s="110">
        <v>0</v>
      </c>
      <c r="N10" s="101">
        <f t="shared" si="5"/>
        <v>36.623000000000005</v>
      </c>
      <c r="O10" s="99">
        <f t="shared" si="6"/>
        <v>-13.176999999999992</v>
      </c>
      <c r="P10" s="111">
        <f>-26.6+19.35</f>
        <v>-7.25</v>
      </c>
      <c r="Q10" s="111">
        <v>42.752</v>
      </c>
      <c r="R10" s="111">
        <v>1.121</v>
      </c>
      <c r="S10" s="100">
        <f t="shared" si="7"/>
        <v>36.623000000000005</v>
      </c>
      <c r="T10" s="101">
        <f t="shared" si="0"/>
        <v>13.176999999999994</v>
      </c>
      <c r="U10" s="141"/>
      <c r="V10" s="112"/>
      <c r="W10" s="112"/>
      <c r="X10" s="112"/>
      <c r="Y10" s="112"/>
    </row>
    <row r="11" spans="1:25" s="116" customFormat="1" ht="16.5" thickBot="1">
      <c r="A11" s="114"/>
      <c r="B11" s="105">
        <v>1429</v>
      </c>
      <c r="C11" s="106"/>
      <c r="D11" s="93" t="str">
        <f t="shared" si="1"/>
        <v>COMPLETE</v>
      </c>
      <c r="E11" s="106" t="s">
        <v>260</v>
      </c>
      <c r="F11" s="106" t="s">
        <v>261</v>
      </c>
      <c r="G11" s="107">
        <v>0</v>
      </c>
      <c r="H11" s="107">
        <f t="shared" si="8"/>
        <v>0.0001</v>
      </c>
      <c r="I11" s="107">
        <f t="shared" si="2"/>
        <v>1.2</v>
      </c>
      <c r="J11" s="108"/>
      <c r="K11" s="108">
        <f t="shared" si="4"/>
        <v>8.333333333333334E-05</v>
      </c>
      <c r="L11" s="109">
        <v>0.0001</v>
      </c>
      <c r="M11" s="110">
        <v>0</v>
      </c>
      <c r="N11" s="101">
        <f t="shared" si="5"/>
        <v>1.2</v>
      </c>
      <c r="O11" s="99">
        <f t="shared" si="6"/>
        <v>1.1999</v>
      </c>
      <c r="P11" s="111">
        <v>1.2</v>
      </c>
      <c r="Q11" s="111">
        <v>0</v>
      </c>
      <c r="R11" s="111">
        <v>0</v>
      </c>
      <c r="S11" s="100">
        <f t="shared" si="7"/>
        <v>1.2</v>
      </c>
      <c r="T11" s="101">
        <f t="shared" si="0"/>
        <v>-1.1999</v>
      </c>
      <c r="U11" s="141"/>
      <c r="V11" s="112"/>
      <c r="W11" s="112"/>
      <c r="X11" s="112"/>
      <c r="Y11" s="112"/>
    </row>
    <row r="12" spans="1:25" s="113" customFormat="1" ht="16.5" thickBot="1">
      <c r="A12" s="114"/>
      <c r="B12" s="105">
        <v>1431</v>
      </c>
      <c r="C12" s="106" t="s">
        <v>233</v>
      </c>
      <c r="D12" s="93" t="str">
        <f t="shared" si="1"/>
        <v>COMPLETE</v>
      </c>
      <c r="E12" s="106" t="s">
        <v>234</v>
      </c>
      <c r="F12" s="106" t="s">
        <v>235</v>
      </c>
      <c r="G12" s="107">
        <f>SUM(bcws!D11)</f>
        <v>97</v>
      </c>
      <c r="H12" s="107">
        <f t="shared" si="8"/>
        <v>97</v>
      </c>
      <c r="I12" s="107">
        <f t="shared" si="2"/>
        <v>92.1</v>
      </c>
      <c r="J12" s="108">
        <f t="shared" si="3"/>
        <v>1</v>
      </c>
      <c r="K12" s="108">
        <f t="shared" si="4"/>
        <v>1.0532030401737242</v>
      </c>
      <c r="L12" s="109">
        <v>97</v>
      </c>
      <c r="M12" s="110">
        <v>0</v>
      </c>
      <c r="N12" s="101">
        <f t="shared" si="5"/>
        <v>92.1</v>
      </c>
      <c r="O12" s="99">
        <f t="shared" si="6"/>
        <v>-4.900000000000006</v>
      </c>
      <c r="P12" s="111">
        <v>92.1</v>
      </c>
      <c r="Q12" s="111"/>
      <c r="R12" s="111">
        <v>0</v>
      </c>
      <c r="S12" s="100">
        <f t="shared" si="7"/>
        <v>92.1</v>
      </c>
      <c r="T12" s="101">
        <f t="shared" si="0"/>
        <v>4.900000000000006</v>
      </c>
      <c r="U12" s="137"/>
      <c r="V12" s="112"/>
      <c r="W12" s="112"/>
      <c r="X12" s="112"/>
      <c r="Y12" s="112"/>
    </row>
    <row r="13" spans="1:25" s="15" customFormat="1" ht="16.5" thickBot="1">
      <c r="A13" s="81"/>
      <c r="B13" s="45">
        <v>1451</v>
      </c>
      <c r="C13" s="46"/>
      <c r="D13" s="40">
        <f t="shared" si="1"/>
      </c>
      <c r="E13" s="46" t="s">
        <v>15</v>
      </c>
      <c r="F13" s="46" t="s">
        <v>6</v>
      </c>
      <c r="G13" s="47">
        <f>SUM(bcws!D12)</f>
        <v>269.5</v>
      </c>
      <c r="H13" s="47">
        <f t="shared" si="8"/>
        <v>240</v>
      </c>
      <c r="I13" s="47">
        <f t="shared" si="2"/>
        <v>288.24</v>
      </c>
      <c r="J13" s="48">
        <f t="shared" si="3"/>
        <v>0.8905380333951762</v>
      </c>
      <c r="K13" s="48">
        <f t="shared" si="4"/>
        <v>0.832639467110741</v>
      </c>
      <c r="L13" s="49">
        <v>280</v>
      </c>
      <c r="M13" s="72">
        <v>40</v>
      </c>
      <c r="N13" s="44">
        <f t="shared" si="5"/>
        <v>328.24</v>
      </c>
      <c r="O13" s="42">
        <f t="shared" si="6"/>
        <v>48.24000000000001</v>
      </c>
      <c r="P13" s="50">
        <v>99.7</v>
      </c>
      <c r="Q13" s="50">
        <v>78.6</v>
      </c>
      <c r="R13" s="50">
        <f>108.8+1.14</f>
        <v>109.94</v>
      </c>
      <c r="S13" s="43">
        <f t="shared" si="7"/>
        <v>288.24</v>
      </c>
      <c r="T13" s="44">
        <f t="shared" si="0"/>
        <v>-8.23999999999998</v>
      </c>
      <c r="U13" s="138"/>
      <c r="V13" s="65"/>
      <c r="W13" s="65"/>
      <c r="X13" s="65"/>
      <c r="Y13" s="65"/>
    </row>
    <row r="14" spans="1:25" s="15" customFormat="1" ht="16.5" thickBot="1">
      <c r="A14" s="84"/>
      <c r="B14" s="45">
        <v>1459</v>
      </c>
      <c r="C14" s="46"/>
      <c r="D14" s="40">
        <f t="shared" si="1"/>
      </c>
      <c r="E14" s="46" t="s">
        <v>355</v>
      </c>
      <c r="F14" s="46" t="s">
        <v>6</v>
      </c>
      <c r="G14" s="47">
        <f>SUM(bcws!D13)</f>
        <v>67.6</v>
      </c>
      <c r="H14" s="47">
        <f t="shared" si="8"/>
        <v>43.099999999999994</v>
      </c>
      <c r="I14" s="47">
        <f t="shared" si="2"/>
        <v>54.900000000000006</v>
      </c>
      <c r="J14" s="48">
        <f t="shared" si="3"/>
        <v>0.6375739644970414</v>
      </c>
      <c r="K14" s="48">
        <f t="shared" si="4"/>
        <v>0.7850637522768669</v>
      </c>
      <c r="L14" s="49">
        <v>67.6</v>
      </c>
      <c r="M14" s="72">
        <v>24.5</v>
      </c>
      <c r="N14" s="44">
        <f t="shared" si="5"/>
        <v>79.4</v>
      </c>
      <c r="O14" s="42">
        <f t="shared" si="6"/>
        <v>11.800000000000011</v>
      </c>
      <c r="P14" s="50">
        <v>16.8</v>
      </c>
      <c r="Q14" s="50">
        <v>13.5</v>
      </c>
      <c r="R14" s="50">
        <v>24.6</v>
      </c>
      <c r="S14" s="43">
        <f t="shared" si="7"/>
        <v>54.900000000000006</v>
      </c>
      <c r="T14" s="44">
        <f t="shared" si="0"/>
        <v>12.699999999999996</v>
      </c>
      <c r="U14" s="138"/>
      <c r="V14" s="65"/>
      <c r="W14" s="65"/>
      <c r="X14" s="65"/>
      <c r="Y14" s="65"/>
    </row>
    <row r="15" spans="1:25" s="113" customFormat="1" ht="77.25" thickBot="1">
      <c r="A15" s="117" t="s">
        <v>19</v>
      </c>
      <c r="B15" s="105">
        <v>1501</v>
      </c>
      <c r="C15" s="106" t="s">
        <v>20</v>
      </c>
      <c r="D15" s="93" t="str">
        <f t="shared" si="1"/>
        <v>COMPLETE</v>
      </c>
      <c r="E15" s="106" t="s">
        <v>21</v>
      </c>
      <c r="F15" s="106" t="s">
        <v>7</v>
      </c>
      <c r="G15" s="107">
        <f>SUM(bcws!D14)</f>
        <v>73.6</v>
      </c>
      <c r="H15" s="107">
        <f t="shared" si="8"/>
        <v>74</v>
      </c>
      <c r="I15" s="107">
        <f t="shared" si="2"/>
        <v>172.49900000000002</v>
      </c>
      <c r="J15" s="108">
        <f t="shared" si="3"/>
        <v>1.0054347826086958</v>
      </c>
      <c r="K15" s="108">
        <f t="shared" si="4"/>
        <v>0.42898799413329924</v>
      </c>
      <c r="L15" s="109">
        <v>74</v>
      </c>
      <c r="M15" s="110">
        <v>0</v>
      </c>
      <c r="N15" s="101">
        <f t="shared" si="5"/>
        <v>172.49900000000002</v>
      </c>
      <c r="O15" s="135">
        <f t="shared" si="6"/>
        <v>98.49900000000002</v>
      </c>
      <c r="P15" s="111">
        <v>68.299</v>
      </c>
      <c r="Q15" s="111">
        <v>84.2</v>
      </c>
      <c r="R15" s="111">
        <v>20</v>
      </c>
      <c r="S15" s="100">
        <f t="shared" si="7"/>
        <v>172.49900000000002</v>
      </c>
      <c r="T15" s="101">
        <f t="shared" si="0"/>
        <v>-98.49900000000001</v>
      </c>
      <c r="U15" s="142" t="s">
        <v>347</v>
      </c>
      <c r="V15" s="112"/>
      <c r="W15" s="112"/>
      <c r="X15" s="112"/>
      <c r="Y15" s="112"/>
    </row>
    <row r="16" spans="1:25" s="113" customFormat="1" ht="16.5" thickBot="1">
      <c r="A16" s="117" t="s">
        <v>236</v>
      </c>
      <c r="B16" s="105">
        <v>1601</v>
      </c>
      <c r="C16" s="92" t="s">
        <v>237</v>
      </c>
      <c r="D16" s="93" t="str">
        <f t="shared" si="1"/>
        <v>COMPLETE</v>
      </c>
      <c r="E16" s="106" t="s">
        <v>238</v>
      </c>
      <c r="F16" s="106" t="s">
        <v>239</v>
      </c>
      <c r="G16" s="107">
        <f>SUM(bcws!D15)</f>
        <v>30.2</v>
      </c>
      <c r="H16" s="107">
        <f t="shared" si="8"/>
        <v>30.2</v>
      </c>
      <c r="I16" s="107">
        <f t="shared" si="2"/>
        <v>63.581999999999994</v>
      </c>
      <c r="J16" s="108">
        <f t="shared" si="3"/>
        <v>1</v>
      </c>
      <c r="K16" s="108">
        <f t="shared" si="4"/>
        <v>0.47497719480356076</v>
      </c>
      <c r="L16" s="109">
        <v>30.2</v>
      </c>
      <c r="M16" s="110">
        <v>0</v>
      </c>
      <c r="N16" s="101">
        <f t="shared" si="5"/>
        <v>63.581999999999994</v>
      </c>
      <c r="O16" s="99">
        <f t="shared" si="6"/>
        <v>33.38199999999999</v>
      </c>
      <c r="P16" s="111">
        <v>24.429</v>
      </c>
      <c r="Q16" s="111">
        <v>36.332</v>
      </c>
      <c r="R16" s="111">
        <v>2.821</v>
      </c>
      <c r="S16" s="100">
        <f t="shared" si="7"/>
        <v>63.581999999999994</v>
      </c>
      <c r="T16" s="101">
        <f t="shared" si="0"/>
        <v>-33.382</v>
      </c>
      <c r="U16" s="137"/>
      <c r="V16" s="112"/>
      <c r="W16" s="112"/>
      <c r="X16" s="112"/>
      <c r="Y16" s="112"/>
    </row>
    <row r="17" spans="1:25" s="113" customFormat="1" ht="16.5" thickBot="1">
      <c r="A17" s="117"/>
      <c r="B17" s="105">
        <v>1701</v>
      </c>
      <c r="C17" s="92"/>
      <c r="D17" s="93" t="str">
        <f t="shared" si="1"/>
        <v>COMPLETE</v>
      </c>
      <c r="E17" s="106" t="s">
        <v>262</v>
      </c>
      <c r="F17" s="106" t="s">
        <v>256</v>
      </c>
      <c r="G17" s="107">
        <v>0</v>
      </c>
      <c r="H17" s="107">
        <f t="shared" si="8"/>
        <v>0.0001</v>
      </c>
      <c r="I17" s="107">
        <f t="shared" si="2"/>
        <v>16.2</v>
      </c>
      <c r="J17" s="108"/>
      <c r="K17" s="108">
        <f t="shared" si="4"/>
        <v>6.17283950617284E-06</v>
      </c>
      <c r="L17" s="109">
        <v>0.0001</v>
      </c>
      <c r="M17" s="110">
        <v>0</v>
      </c>
      <c r="N17" s="101">
        <f t="shared" si="5"/>
        <v>16.2</v>
      </c>
      <c r="O17" s="99">
        <f t="shared" si="6"/>
        <v>16.1999</v>
      </c>
      <c r="P17" s="111">
        <v>16.2</v>
      </c>
      <c r="Q17" s="111"/>
      <c r="R17" s="111">
        <v>0</v>
      </c>
      <c r="S17" s="100">
        <f t="shared" si="7"/>
        <v>16.2</v>
      </c>
      <c r="T17" s="101">
        <f t="shared" si="0"/>
        <v>-16.1999</v>
      </c>
      <c r="U17" s="137"/>
      <c r="V17" s="112"/>
      <c r="W17" s="112"/>
      <c r="X17" s="112"/>
      <c r="Y17" s="112"/>
    </row>
    <row r="18" spans="1:25" s="113" customFormat="1" ht="16.5" thickBot="1">
      <c r="A18" s="117" t="s">
        <v>246</v>
      </c>
      <c r="B18" s="105">
        <v>1702</v>
      </c>
      <c r="C18" s="106" t="s">
        <v>240</v>
      </c>
      <c r="D18" s="93" t="str">
        <f t="shared" si="1"/>
        <v>COMPLETE</v>
      </c>
      <c r="E18" s="106" t="s">
        <v>241</v>
      </c>
      <c r="F18" s="106" t="s">
        <v>7</v>
      </c>
      <c r="G18" s="107">
        <v>11.7</v>
      </c>
      <c r="H18" s="107">
        <f t="shared" si="8"/>
        <v>11.7</v>
      </c>
      <c r="I18" s="107">
        <f t="shared" si="2"/>
        <v>18.700000000000003</v>
      </c>
      <c r="J18" s="108">
        <f t="shared" si="3"/>
        <v>1</v>
      </c>
      <c r="K18" s="108">
        <f t="shared" si="4"/>
        <v>0.6256684491978608</v>
      </c>
      <c r="L18" s="109">
        <v>11.7</v>
      </c>
      <c r="M18" s="110">
        <v>0</v>
      </c>
      <c r="N18" s="101">
        <f t="shared" si="5"/>
        <v>18.700000000000003</v>
      </c>
      <c r="O18" s="99">
        <f t="shared" si="6"/>
        <v>7.0000000000000036</v>
      </c>
      <c r="P18" s="111">
        <v>37.7</v>
      </c>
      <c r="Q18" s="111">
        <v>-19</v>
      </c>
      <c r="R18" s="111">
        <v>0</v>
      </c>
      <c r="S18" s="100">
        <f t="shared" si="7"/>
        <v>18.700000000000003</v>
      </c>
      <c r="T18" s="101">
        <f t="shared" si="0"/>
        <v>-7.0000000000000036</v>
      </c>
      <c r="U18" s="137"/>
      <c r="V18" s="112" t="s">
        <v>305</v>
      </c>
      <c r="W18" s="112" t="s">
        <v>306</v>
      </c>
      <c r="X18" s="118" t="s">
        <v>307</v>
      </c>
      <c r="Y18" s="112"/>
    </row>
    <row r="19" spans="1:25" s="15" customFormat="1" ht="16.5" thickBot="1">
      <c r="A19" s="132" t="s">
        <v>22</v>
      </c>
      <c r="B19" s="133">
        <v>1802</v>
      </c>
      <c r="C19" s="46" t="s">
        <v>23</v>
      </c>
      <c r="D19" s="40">
        <f t="shared" si="1"/>
      </c>
      <c r="E19" s="46" t="s">
        <v>24</v>
      </c>
      <c r="F19" s="46" t="s">
        <v>26</v>
      </c>
      <c r="G19" s="47">
        <f>SUM(bcws!D17)</f>
        <v>240.8</v>
      </c>
      <c r="H19" s="47">
        <f t="shared" si="8"/>
        <v>265.771</v>
      </c>
      <c r="I19" s="47">
        <f t="shared" si="2"/>
        <v>186.471</v>
      </c>
      <c r="J19" s="48">
        <f t="shared" si="3"/>
        <v>1.1037001661129568</v>
      </c>
      <c r="K19" s="48">
        <f t="shared" si="4"/>
        <v>1.4252671997254265</v>
      </c>
      <c r="L19" s="49">
        <v>355.3</v>
      </c>
      <c r="M19" s="72">
        <v>89.529</v>
      </c>
      <c r="N19" s="44">
        <f t="shared" si="5"/>
        <v>276</v>
      </c>
      <c r="O19" s="42">
        <f t="shared" si="6"/>
        <v>-79.30000000000001</v>
      </c>
      <c r="P19" s="50">
        <f>56+11.572</f>
        <v>67.572</v>
      </c>
      <c r="Q19" s="50">
        <f>43.6+1.439</f>
        <v>45.039</v>
      </c>
      <c r="R19" s="50">
        <f>58.7+15.16</f>
        <v>73.86</v>
      </c>
      <c r="S19" s="43">
        <f t="shared" si="7"/>
        <v>186.471</v>
      </c>
      <c r="T19" s="44">
        <f t="shared" si="0"/>
        <v>168.829</v>
      </c>
      <c r="U19" s="138"/>
      <c r="V19" s="65">
        <f>SUM(Q19,Q22)</f>
        <v>271.939</v>
      </c>
      <c r="W19" s="65">
        <f>SUM(R19,R22)</f>
        <v>244.56</v>
      </c>
      <c r="X19" s="65">
        <f>SUM(T19,T22)</f>
        <v>230.32900000000004</v>
      </c>
      <c r="Y19" s="65"/>
    </row>
    <row r="20" spans="1:25" s="113" customFormat="1" ht="26.25" thickBot="1">
      <c r="A20" s="114"/>
      <c r="B20" s="105" t="s">
        <v>164</v>
      </c>
      <c r="C20" s="106" t="s">
        <v>27</v>
      </c>
      <c r="D20" s="93" t="str">
        <f t="shared" si="1"/>
        <v>COMPLETE</v>
      </c>
      <c r="E20" s="106" t="s">
        <v>165</v>
      </c>
      <c r="F20" s="106" t="s">
        <v>28</v>
      </c>
      <c r="G20" s="107">
        <f>SUM(bcws!D18)</f>
        <v>108.9</v>
      </c>
      <c r="H20" s="107">
        <f t="shared" si="8"/>
        <v>114</v>
      </c>
      <c r="I20" s="107">
        <f t="shared" si="2"/>
        <v>164.60000000000002</v>
      </c>
      <c r="J20" s="108">
        <f t="shared" si="3"/>
        <v>1.046831955922865</v>
      </c>
      <c r="K20" s="108">
        <f t="shared" si="4"/>
        <v>0.6925880923450789</v>
      </c>
      <c r="L20" s="109">
        <v>114</v>
      </c>
      <c r="M20" s="110">
        <v>0</v>
      </c>
      <c r="N20" s="101">
        <f t="shared" si="5"/>
        <v>164.60000000000002</v>
      </c>
      <c r="O20" s="99">
        <f t="shared" si="6"/>
        <v>50.60000000000002</v>
      </c>
      <c r="P20" s="111">
        <f>71.3+39.3</f>
        <v>110.6</v>
      </c>
      <c r="Q20" s="111">
        <v>33.2</v>
      </c>
      <c r="R20" s="111">
        <v>20.8</v>
      </c>
      <c r="S20" s="100">
        <f t="shared" si="7"/>
        <v>164.60000000000002</v>
      </c>
      <c r="T20" s="101">
        <f t="shared" si="0"/>
        <v>-50.599999999999994</v>
      </c>
      <c r="U20" s="137"/>
      <c r="V20" s="112"/>
      <c r="W20" s="112"/>
      <c r="X20" s="112"/>
      <c r="Y20" s="112"/>
    </row>
    <row r="21" spans="1:25" s="113" customFormat="1" ht="16.5" thickBot="1">
      <c r="A21" s="114"/>
      <c r="B21" s="105">
        <v>1806</v>
      </c>
      <c r="C21" s="106" t="s">
        <v>29</v>
      </c>
      <c r="D21" s="93" t="str">
        <f t="shared" si="1"/>
        <v>COMPLETE</v>
      </c>
      <c r="E21" s="106" t="s">
        <v>30</v>
      </c>
      <c r="F21" s="106" t="s">
        <v>8</v>
      </c>
      <c r="G21" s="107">
        <v>6</v>
      </c>
      <c r="H21" s="107">
        <f t="shared" si="8"/>
        <v>6</v>
      </c>
      <c r="I21" s="107">
        <f t="shared" si="2"/>
        <v>14.539</v>
      </c>
      <c r="J21" s="108">
        <f t="shared" si="3"/>
        <v>1</v>
      </c>
      <c r="K21" s="108">
        <f t="shared" si="4"/>
        <v>0.4126831281381113</v>
      </c>
      <c r="L21" s="109">
        <v>6</v>
      </c>
      <c r="M21" s="110">
        <v>0</v>
      </c>
      <c r="N21" s="101">
        <f t="shared" si="5"/>
        <v>14.539</v>
      </c>
      <c r="O21" s="99">
        <f t="shared" si="6"/>
        <v>8.539</v>
      </c>
      <c r="P21" s="111">
        <v>8.481</v>
      </c>
      <c r="Q21" s="111">
        <v>6.058</v>
      </c>
      <c r="R21" s="111">
        <v>0</v>
      </c>
      <c r="S21" s="100">
        <f t="shared" si="7"/>
        <v>14.539</v>
      </c>
      <c r="T21" s="101">
        <f t="shared" si="0"/>
        <v>-8.539</v>
      </c>
      <c r="U21" s="137"/>
      <c r="V21" s="112"/>
      <c r="W21" s="112"/>
      <c r="X21" s="112"/>
      <c r="Y21" s="112"/>
    </row>
    <row r="22" spans="1:25" s="15" customFormat="1" ht="16.5" thickBot="1">
      <c r="A22" s="85"/>
      <c r="B22" s="45">
        <v>1810</v>
      </c>
      <c r="C22" s="46"/>
      <c r="D22" s="40">
        <f t="shared" si="1"/>
      </c>
      <c r="E22" s="46" t="s">
        <v>25</v>
      </c>
      <c r="F22" s="46" t="s">
        <v>26</v>
      </c>
      <c r="G22" s="47">
        <f>SUM(bcws!D20)</f>
        <v>637.7</v>
      </c>
      <c r="H22" s="47">
        <f t="shared" si="8"/>
        <v>635.173</v>
      </c>
      <c r="I22" s="47">
        <f t="shared" si="2"/>
        <v>750.5</v>
      </c>
      <c r="J22" s="48">
        <f t="shared" si="3"/>
        <v>0.9960373216245882</v>
      </c>
      <c r="K22" s="48">
        <f t="shared" si="4"/>
        <v>0.8463331112591606</v>
      </c>
      <c r="L22" s="49">
        <v>812</v>
      </c>
      <c r="M22" s="72">
        <v>176.827</v>
      </c>
      <c r="N22" s="44">
        <f t="shared" si="5"/>
        <v>927.327</v>
      </c>
      <c r="O22" s="42">
        <f t="shared" si="6"/>
        <v>115.327</v>
      </c>
      <c r="P22" s="50">
        <v>352.9</v>
      </c>
      <c r="Q22" s="50">
        <v>226.9</v>
      </c>
      <c r="R22" s="50">
        <v>170.7</v>
      </c>
      <c r="S22" s="43">
        <f t="shared" si="7"/>
        <v>750.5</v>
      </c>
      <c r="T22" s="44">
        <f t="shared" si="0"/>
        <v>61.50000000000003</v>
      </c>
      <c r="U22" s="138"/>
      <c r="V22" s="65"/>
      <c r="W22" s="65"/>
      <c r="X22" s="65"/>
      <c r="Y22" s="65"/>
    </row>
    <row r="23" spans="1:48" s="22" customFormat="1" ht="16.5" thickBot="1">
      <c r="A23" s="86" t="s">
        <v>31</v>
      </c>
      <c r="B23" s="45">
        <v>1901</v>
      </c>
      <c r="C23" s="46" t="s">
        <v>32</v>
      </c>
      <c r="D23" s="40">
        <f t="shared" si="1"/>
      </c>
      <c r="E23" s="46" t="s">
        <v>352</v>
      </c>
      <c r="F23" s="46" t="s">
        <v>8</v>
      </c>
      <c r="G23" s="47">
        <f>SUM(bcws!D21)</f>
        <v>98.9</v>
      </c>
      <c r="H23" s="47">
        <f t="shared" si="8"/>
        <v>98.72</v>
      </c>
      <c r="I23" s="47">
        <f t="shared" si="2"/>
        <v>81.458</v>
      </c>
      <c r="J23" s="48">
        <f t="shared" si="3"/>
        <v>0.998179979777553</v>
      </c>
      <c r="K23" s="48">
        <f t="shared" si="4"/>
        <v>1.2119128876230696</v>
      </c>
      <c r="L23" s="49">
        <v>127.4</v>
      </c>
      <c r="M23" s="72">
        <v>28.68</v>
      </c>
      <c r="N23" s="44">
        <f t="shared" si="5"/>
        <v>110.138</v>
      </c>
      <c r="O23" s="42">
        <f t="shared" si="6"/>
        <v>-17.262</v>
      </c>
      <c r="P23" s="50">
        <v>5.62</v>
      </c>
      <c r="Q23" s="50">
        <v>51.907</v>
      </c>
      <c r="R23" s="50">
        <f>5.109+18.822</f>
        <v>23.930999999999997</v>
      </c>
      <c r="S23" s="43">
        <f t="shared" si="7"/>
        <v>81.458</v>
      </c>
      <c r="T23" s="44">
        <f t="shared" si="0"/>
        <v>45.94200000000001</v>
      </c>
      <c r="U23" s="138"/>
      <c r="V23" s="65"/>
      <c r="W23" s="65"/>
      <c r="X23" s="65"/>
      <c r="Y23" s="6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</row>
    <row r="24" spans="1:25" s="113" customFormat="1" ht="16.5" thickBot="1">
      <c r="A24" s="119" t="s">
        <v>242</v>
      </c>
      <c r="B24" s="105">
        <v>3101</v>
      </c>
      <c r="C24" s="106" t="s">
        <v>243</v>
      </c>
      <c r="D24" s="93" t="str">
        <f t="shared" si="1"/>
        <v>COMPLETE</v>
      </c>
      <c r="E24" s="106" t="s">
        <v>244</v>
      </c>
      <c r="F24" s="106" t="s">
        <v>245</v>
      </c>
      <c r="G24" s="107">
        <v>28.2</v>
      </c>
      <c r="H24" s="107">
        <f t="shared" si="8"/>
        <v>28</v>
      </c>
      <c r="I24" s="107">
        <f t="shared" si="2"/>
        <v>41.099999999999994</v>
      </c>
      <c r="J24" s="108">
        <f t="shared" si="3"/>
        <v>0.9929078014184397</v>
      </c>
      <c r="K24" s="108">
        <f t="shared" si="4"/>
        <v>0.6812652068126521</v>
      </c>
      <c r="L24" s="109">
        <v>28</v>
      </c>
      <c r="M24" s="110">
        <v>0</v>
      </c>
      <c r="N24" s="101">
        <f t="shared" si="5"/>
        <v>41.099999999999994</v>
      </c>
      <c r="O24" s="99">
        <f t="shared" si="6"/>
        <v>13.099999999999994</v>
      </c>
      <c r="P24" s="111">
        <v>31.9</v>
      </c>
      <c r="Q24" s="111">
        <v>9.2</v>
      </c>
      <c r="R24" s="111">
        <v>0</v>
      </c>
      <c r="S24" s="100">
        <f t="shared" si="7"/>
        <v>41.099999999999994</v>
      </c>
      <c r="T24" s="101">
        <f t="shared" si="0"/>
        <v>-13.099999999999998</v>
      </c>
      <c r="U24" s="137"/>
      <c r="V24" s="112"/>
      <c r="W24" s="112"/>
      <c r="X24" s="112"/>
      <c r="Y24" s="112"/>
    </row>
    <row r="25" spans="1:25" s="113" customFormat="1" ht="16.5" thickBot="1">
      <c r="A25" s="120"/>
      <c r="B25" s="105">
        <v>3901</v>
      </c>
      <c r="C25" s="106"/>
      <c r="D25" s="93" t="str">
        <f t="shared" si="1"/>
        <v>COMPLETE</v>
      </c>
      <c r="E25" s="106" t="s">
        <v>250</v>
      </c>
      <c r="F25" s="106" t="s">
        <v>245</v>
      </c>
      <c r="G25" s="107">
        <v>0</v>
      </c>
      <c r="H25" s="107">
        <f t="shared" si="8"/>
        <v>0.0001</v>
      </c>
      <c r="I25" s="107">
        <f t="shared" si="2"/>
        <v>7.699999999999999</v>
      </c>
      <c r="J25" s="108"/>
      <c r="K25" s="108">
        <f t="shared" si="4"/>
        <v>1.298701298701299E-05</v>
      </c>
      <c r="L25" s="109">
        <v>0.0001</v>
      </c>
      <c r="M25" s="110">
        <v>0</v>
      </c>
      <c r="N25" s="101">
        <f t="shared" si="5"/>
        <v>7.699999999999999</v>
      </c>
      <c r="O25" s="99">
        <f t="shared" si="6"/>
        <v>7.6998999999999995</v>
      </c>
      <c r="P25" s="111">
        <v>2.1</v>
      </c>
      <c r="Q25" s="111">
        <v>5.6</v>
      </c>
      <c r="R25" s="111">
        <v>0</v>
      </c>
      <c r="S25" s="100">
        <f t="shared" si="7"/>
        <v>7.699999999999999</v>
      </c>
      <c r="T25" s="101">
        <f t="shared" si="0"/>
        <v>-7.6998999999999995</v>
      </c>
      <c r="U25" s="137"/>
      <c r="V25" s="112"/>
      <c r="W25" s="112"/>
      <c r="X25" s="112"/>
      <c r="Y25" s="112"/>
    </row>
    <row r="26" spans="1:25" s="113" customFormat="1" ht="16.5" thickBot="1">
      <c r="A26" s="91" t="s">
        <v>251</v>
      </c>
      <c r="B26" s="105">
        <v>4301</v>
      </c>
      <c r="C26" s="106"/>
      <c r="D26" s="93" t="str">
        <f t="shared" si="1"/>
        <v>COMPLETE</v>
      </c>
      <c r="E26" s="106" t="s">
        <v>252</v>
      </c>
      <c r="F26" s="106" t="s">
        <v>253</v>
      </c>
      <c r="G26" s="107">
        <v>0</v>
      </c>
      <c r="H26" s="107">
        <f t="shared" si="8"/>
        <v>0.0001</v>
      </c>
      <c r="I26" s="107">
        <f t="shared" si="2"/>
        <v>7.001</v>
      </c>
      <c r="J26" s="108"/>
      <c r="K26" s="108">
        <f t="shared" si="4"/>
        <v>1.42836737608913E-05</v>
      </c>
      <c r="L26" s="109">
        <v>0.0001</v>
      </c>
      <c r="M26" s="110">
        <v>0</v>
      </c>
      <c r="N26" s="101">
        <f t="shared" si="5"/>
        <v>7.001</v>
      </c>
      <c r="O26" s="99">
        <f t="shared" si="6"/>
        <v>7.000900000000001</v>
      </c>
      <c r="P26" s="111">
        <v>0.001</v>
      </c>
      <c r="Q26" s="111">
        <v>7</v>
      </c>
      <c r="R26" s="111">
        <v>0</v>
      </c>
      <c r="S26" s="100">
        <f t="shared" si="7"/>
        <v>7.001</v>
      </c>
      <c r="T26" s="101">
        <f t="shared" si="0"/>
        <v>-7.0009</v>
      </c>
      <c r="U26" s="137"/>
      <c r="V26" s="112"/>
      <c r="W26" s="112"/>
      <c r="X26" s="112"/>
      <c r="Y26" s="112"/>
    </row>
    <row r="27" spans="1:25" s="113" customFormat="1" ht="16.5" thickBot="1">
      <c r="A27" s="120"/>
      <c r="B27" s="105">
        <v>4401</v>
      </c>
      <c r="C27" s="106"/>
      <c r="D27" s="93" t="str">
        <f t="shared" si="1"/>
        <v>COMPLETE</v>
      </c>
      <c r="E27" s="106" t="s">
        <v>254</v>
      </c>
      <c r="F27" s="106" t="s">
        <v>253</v>
      </c>
      <c r="G27" s="107">
        <v>0</v>
      </c>
      <c r="H27" s="107">
        <f t="shared" si="8"/>
        <v>0.0001</v>
      </c>
      <c r="I27" s="107">
        <f t="shared" si="2"/>
        <v>4.101</v>
      </c>
      <c r="J27" s="108"/>
      <c r="K27" s="108">
        <f t="shared" si="4"/>
        <v>2.43842965130456E-05</v>
      </c>
      <c r="L27" s="109">
        <v>0.0001</v>
      </c>
      <c r="M27" s="110">
        <v>0</v>
      </c>
      <c r="N27" s="101">
        <f t="shared" si="5"/>
        <v>4.101</v>
      </c>
      <c r="O27" s="99">
        <f t="shared" si="6"/>
        <v>4.1009</v>
      </c>
      <c r="P27" s="111">
        <v>0.001</v>
      </c>
      <c r="Q27" s="111">
        <v>4.1</v>
      </c>
      <c r="R27" s="111">
        <v>0</v>
      </c>
      <c r="S27" s="100">
        <f t="shared" si="7"/>
        <v>4.101</v>
      </c>
      <c r="T27" s="101">
        <f t="shared" si="0"/>
        <v>-4.100899999999999</v>
      </c>
      <c r="U27" s="137"/>
      <c r="V27" s="112"/>
      <c r="W27" s="112"/>
      <c r="X27" s="112"/>
      <c r="Y27" s="112"/>
    </row>
    <row r="28" spans="1:25" s="113" customFormat="1" ht="16.5" thickBot="1">
      <c r="A28" s="121" t="s">
        <v>298</v>
      </c>
      <c r="B28" s="105">
        <v>5801</v>
      </c>
      <c r="C28" s="106"/>
      <c r="D28" s="93" t="str">
        <f t="shared" si="1"/>
        <v>COMPLETE</v>
      </c>
      <c r="E28" s="106" t="s">
        <v>263</v>
      </c>
      <c r="F28" s="106" t="s">
        <v>351</v>
      </c>
      <c r="G28" s="107">
        <v>0</v>
      </c>
      <c r="H28" s="107">
        <f t="shared" si="8"/>
        <v>0.001</v>
      </c>
      <c r="I28" s="107">
        <f t="shared" si="2"/>
        <v>2.2</v>
      </c>
      <c r="J28" s="108"/>
      <c r="K28" s="108">
        <f t="shared" si="4"/>
        <v>0.00045454545454545455</v>
      </c>
      <c r="L28" s="109">
        <v>0.001</v>
      </c>
      <c r="M28" s="110">
        <v>0</v>
      </c>
      <c r="N28" s="101">
        <f t="shared" si="5"/>
        <v>2.2</v>
      </c>
      <c r="O28" s="99">
        <f t="shared" si="6"/>
        <v>2.1990000000000003</v>
      </c>
      <c r="P28" s="111">
        <v>2.2</v>
      </c>
      <c r="Q28" s="111">
        <v>0</v>
      </c>
      <c r="R28" s="111">
        <v>0</v>
      </c>
      <c r="S28" s="100">
        <f t="shared" si="7"/>
        <v>2.2</v>
      </c>
      <c r="T28" s="101">
        <f t="shared" si="0"/>
        <v>-2.1990000000000003</v>
      </c>
      <c r="U28" s="137"/>
      <c r="V28" s="112"/>
      <c r="W28" s="112"/>
      <c r="X28" s="112"/>
      <c r="Y28" s="112"/>
    </row>
    <row r="29" spans="1:25" s="113" customFormat="1" ht="16.5" thickBot="1">
      <c r="A29" s="121" t="s">
        <v>299</v>
      </c>
      <c r="B29" s="105">
        <v>6201</v>
      </c>
      <c r="C29" s="106"/>
      <c r="D29" s="93" t="str">
        <f t="shared" si="1"/>
        <v>COMPLETE</v>
      </c>
      <c r="E29" s="106" t="s">
        <v>255</v>
      </c>
      <c r="F29" s="106" t="s">
        <v>256</v>
      </c>
      <c r="G29" s="107">
        <v>0</v>
      </c>
      <c r="H29" s="107">
        <f t="shared" si="8"/>
        <v>0.0001</v>
      </c>
      <c r="I29" s="107">
        <f t="shared" si="2"/>
        <v>43.7</v>
      </c>
      <c r="J29" s="108"/>
      <c r="K29" s="108">
        <f t="shared" si="4"/>
        <v>2.288329519450801E-06</v>
      </c>
      <c r="L29" s="109">
        <v>0.0001</v>
      </c>
      <c r="M29" s="110">
        <v>0</v>
      </c>
      <c r="N29" s="101">
        <f t="shared" si="5"/>
        <v>43.7</v>
      </c>
      <c r="O29" s="99">
        <f t="shared" si="6"/>
        <v>43.6999</v>
      </c>
      <c r="P29" s="111">
        <v>31.5</v>
      </c>
      <c r="Q29" s="111">
        <v>12.2</v>
      </c>
      <c r="R29" s="111">
        <v>0</v>
      </c>
      <c r="S29" s="100">
        <f t="shared" si="7"/>
        <v>43.7</v>
      </c>
      <c r="T29" s="101">
        <f t="shared" si="0"/>
        <v>-43.6999</v>
      </c>
      <c r="U29" s="137"/>
      <c r="V29" s="112"/>
      <c r="W29" s="112"/>
      <c r="X29" s="112"/>
      <c r="Y29" s="112"/>
    </row>
    <row r="30" spans="1:25" s="113" customFormat="1" ht="16.5" thickBot="1">
      <c r="A30" s="121" t="s">
        <v>300</v>
      </c>
      <c r="B30" s="105">
        <v>7401</v>
      </c>
      <c r="C30" s="106"/>
      <c r="D30" s="93" t="str">
        <f t="shared" si="1"/>
        <v>COMPLETE</v>
      </c>
      <c r="E30" s="106" t="s">
        <v>264</v>
      </c>
      <c r="F30" s="106" t="s">
        <v>34</v>
      </c>
      <c r="G30" s="107">
        <v>0</v>
      </c>
      <c r="H30" s="107">
        <f t="shared" si="8"/>
        <v>0.0001</v>
      </c>
      <c r="I30" s="107">
        <f t="shared" si="2"/>
        <v>2.7151000000000005</v>
      </c>
      <c r="J30" s="108"/>
      <c r="K30" s="108">
        <f t="shared" si="4"/>
        <v>3.683105594637398E-05</v>
      </c>
      <c r="L30" s="109">
        <v>0.0001</v>
      </c>
      <c r="M30" s="110">
        <v>0</v>
      </c>
      <c r="N30" s="101">
        <f t="shared" si="5"/>
        <v>2.7151000000000005</v>
      </c>
      <c r="O30" s="99">
        <f t="shared" si="6"/>
        <v>2.7150000000000003</v>
      </c>
      <c r="P30" s="111">
        <v>2.7</v>
      </c>
      <c r="Q30" s="111">
        <v>0.0001</v>
      </c>
      <c r="R30" s="111">
        <v>0.015</v>
      </c>
      <c r="S30" s="100">
        <f t="shared" si="7"/>
        <v>2.7151000000000005</v>
      </c>
      <c r="T30" s="101">
        <f t="shared" si="0"/>
        <v>-2.7150000000000003</v>
      </c>
      <c r="U30" s="137"/>
      <c r="V30" s="112"/>
      <c r="W30" s="112"/>
      <c r="X30" s="112"/>
      <c r="Y30" s="112"/>
    </row>
    <row r="31" spans="1:48" s="16" customFormat="1" ht="16.5" thickBot="1">
      <c r="A31" s="81" t="s">
        <v>35</v>
      </c>
      <c r="B31" s="45">
        <v>8101</v>
      </c>
      <c r="C31" s="46" t="s">
        <v>36</v>
      </c>
      <c r="D31" s="40">
        <f t="shared" si="1"/>
      </c>
      <c r="E31" s="46" t="s">
        <v>37</v>
      </c>
      <c r="F31" s="46" t="s">
        <v>39</v>
      </c>
      <c r="G31" s="47">
        <f>SUM(bcws!D23)</f>
        <v>257.5</v>
      </c>
      <c r="H31" s="47">
        <f t="shared" si="8"/>
        <v>260.7</v>
      </c>
      <c r="I31" s="47">
        <f t="shared" si="2"/>
        <v>168.6</v>
      </c>
      <c r="J31" s="48">
        <f t="shared" si="3"/>
        <v>1.0124271844660193</v>
      </c>
      <c r="K31" s="48">
        <f t="shared" si="4"/>
        <v>1.5462633451957295</v>
      </c>
      <c r="L31" s="49">
        <v>633</v>
      </c>
      <c r="M31" s="72">
        <v>372.3</v>
      </c>
      <c r="N31" s="44">
        <f t="shared" si="5"/>
        <v>540.9</v>
      </c>
      <c r="O31" s="42">
        <f t="shared" si="6"/>
        <v>-92.10000000000002</v>
      </c>
      <c r="P31" s="50">
        <f>57.7+35.75</f>
        <v>93.45</v>
      </c>
      <c r="Q31" s="50">
        <f>41.3+35.75</f>
        <v>77.05</v>
      </c>
      <c r="R31" s="50">
        <f>-29.9+28</f>
        <v>-1.8999999999999986</v>
      </c>
      <c r="S31" s="43">
        <f t="shared" si="7"/>
        <v>168.6</v>
      </c>
      <c r="T31" s="44">
        <f t="shared" si="0"/>
        <v>464.3999999999999</v>
      </c>
      <c r="U31" s="138"/>
      <c r="V31" s="65"/>
      <c r="W31" s="65"/>
      <c r="X31" s="65"/>
      <c r="Y31" s="6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</row>
    <row r="32" spans="1:21" ht="16.5" thickBot="1">
      <c r="A32" s="81"/>
      <c r="B32" s="45">
        <v>8102</v>
      </c>
      <c r="C32" s="46"/>
      <c r="D32" s="40">
        <f t="shared" si="1"/>
      </c>
      <c r="E32" s="46" t="s">
        <v>227</v>
      </c>
      <c r="F32" s="46" t="s">
        <v>40</v>
      </c>
      <c r="G32" s="47">
        <f>SUM(bcws!D24)</f>
        <v>76.8</v>
      </c>
      <c r="H32" s="47">
        <f t="shared" si="8"/>
        <v>76.624</v>
      </c>
      <c r="I32" s="47">
        <f t="shared" si="2"/>
        <v>29.639</v>
      </c>
      <c r="J32" s="48">
        <f t="shared" si="3"/>
        <v>0.9977083333333333</v>
      </c>
      <c r="K32" s="48">
        <f t="shared" si="4"/>
        <v>2.5852424170855968</v>
      </c>
      <c r="L32" s="49">
        <v>136.5</v>
      </c>
      <c r="M32" s="72">
        <v>59.876</v>
      </c>
      <c r="N32" s="44">
        <f t="shared" si="5"/>
        <v>89.515</v>
      </c>
      <c r="O32" s="42">
        <f t="shared" si="6"/>
        <v>-46.985</v>
      </c>
      <c r="P32" s="50">
        <f>3.029+6.124</f>
        <v>9.152999999999999</v>
      </c>
      <c r="Q32" s="50">
        <f>8.983+2.829</f>
        <v>11.812000000000001</v>
      </c>
      <c r="R32" s="50">
        <f>6.511+2.163</f>
        <v>8.674</v>
      </c>
      <c r="S32" s="43">
        <f t="shared" si="7"/>
        <v>29.639</v>
      </c>
      <c r="T32" s="44">
        <f t="shared" si="0"/>
        <v>106.86100000000002</v>
      </c>
      <c r="U32" s="138"/>
    </row>
    <row r="33" spans="1:48" s="16" customFormat="1" ht="16.5" thickBot="1">
      <c r="A33" s="87"/>
      <c r="B33" s="45">
        <v>8998</v>
      </c>
      <c r="C33" s="46"/>
      <c r="D33" s="40">
        <f t="shared" si="1"/>
      </c>
      <c r="E33" s="46" t="s">
        <v>38</v>
      </c>
      <c r="F33" s="46" t="s">
        <v>226</v>
      </c>
      <c r="G33" s="47">
        <f>SUM(bcws!D32)</f>
        <v>108.5</v>
      </c>
      <c r="H33" s="47">
        <f t="shared" si="8"/>
        <v>108.60000000000001</v>
      </c>
      <c r="I33" s="47">
        <f t="shared" si="2"/>
        <v>91.382</v>
      </c>
      <c r="J33" s="48">
        <f t="shared" si="3"/>
        <v>1.0009216589861751</v>
      </c>
      <c r="K33" s="48">
        <f t="shared" si="4"/>
        <v>1.1884178503425182</v>
      </c>
      <c r="L33" s="49">
        <v>201.8</v>
      </c>
      <c r="M33" s="72">
        <v>93.2</v>
      </c>
      <c r="N33" s="44">
        <f t="shared" si="5"/>
        <v>184.582</v>
      </c>
      <c r="O33" s="42">
        <f t="shared" si="6"/>
        <v>-17.218000000000018</v>
      </c>
      <c r="P33" s="50">
        <v>26.453</v>
      </c>
      <c r="Q33" s="50">
        <v>28.954</v>
      </c>
      <c r="R33" s="50">
        <f>30.1+5.875</f>
        <v>35.975</v>
      </c>
      <c r="S33" s="43">
        <f t="shared" si="7"/>
        <v>91.382</v>
      </c>
      <c r="T33" s="44">
        <f t="shared" si="0"/>
        <v>110.418</v>
      </c>
      <c r="U33" s="138"/>
      <c r="V33" s="65"/>
      <c r="W33" s="65"/>
      <c r="X33" s="65"/>
      <c r="Y33" s="6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</row>
    <row r="34" spans="1:48" s="16" customFormat="1" ht="16.5" thickBot="1">
      <c r="A34" s="80" t="s">
        <v>41</v>
      </c>
      <c r="B34" s="45">
        <v>8202</v>
      </c>
      <c r="C34" s="46" t="s">
        <v>5</v>
      </c>
      <c r="D34" s="40">
        <f t="shared" si="1"/>
      </c>
      <c r="E34" s="46" t="s">
        <v>353</v>
      </c>
      <c r="F34" s="46" t="s">
        <v>42</v>
      </c>
      <c r="G34" s="47">
        <f>SUM(bcws!D25)</f>
        <v>143.9</v>
      </c>
      <c r="H34" s="47">
        <f t="shared" si="8"/>
        <v>170.99999999999997</v>
      </c>
      <c r="I34" s="47">
        <f t="shared" si="2"/>
        <v>91.44800000000001</v>
      </c>
      <c r="J34" s="48">
        <f t="shared" si="3"/>
        <v>1.1883252258512853</v>
      </c>
      <c r="K34" s="48">
        <f t="shared" si="4"/>
        <v>1.8699151430321053</v>
      </c>
      <c r="L34" s="49">
        <v>362.9</v>
      </c>
      <c r="M34" s="72">
        <v>191.9</v>
      </c>
      <c r="N34" s="44">
        <f t="shared" si="5"/>
        <v>283.348</v>
      </c>
      <c r="O34" s="42">
        <f t="shared" si="6"/>
        <v>-79.55199999999996</v>
      </c>
      <c r="P34" s="50">
        <v>40.5</v>
      </c>
      <c r="Q34" s="50">
        <v>29.9</v>
      </c>
      <c r="R34" s="50">
        <v>21.048</v>
      </c>
      <c r="S34" s="43">
        <f t="shared" si="7"/>
        <v>91.44800000000001</v>
      </c>
      <c r="T34" s="44">
        <f t="shared" si="0"/>
        <v>271.452</v>
      </c>
      <c r="U34" s="138"/>
      <c r="V34" s="65"/>
      <c r="W34" s="65"/>
      <c r="X34" s="65"/>
      <c r="Y34" s="6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</row>
    <row r="35" spans="1:25" s="113" customFormat="1" ht="16.5" thickBot="1">
      <c r="A35" s="114"/>
      <c r="B35" s="105">
        <v>8203</v>
      </c>
      <c r="C35" s="106" t="s">
        <v>43</v>
      </c>
      <c r="D35" s="93" t="str">
        <f t="shared" si="1"/>
        <v>COMPLETE</v>
      </c>
      <c r="E35" s="106" t="s">
        <v>44</v>
      </c>
      <c r="F35" s="106" t="s">
        <v>28</v>
      </c>
      <c r="G35" s="107">
        <f>SUM(bcws!D26)</f>
        <v>10.6</v>
      </c>
      <c r="H35" s="107">
        <f t="shared" si="8"/>
        <v>14.1</v>
      </c>
      <c r="I35" s="107">
        <f t="shared" si="2"/>
        <v>26.6</v>
      </c>
      <c r="J35" s="108">
        <f t="shared" si="3"/>
        <v>1.330188679245283</v>
      </c>
      <c r="K35" s="108">
        <f t="shared" si="4"/>
        <v>0.5300751879699248</v>
      </c>
      <c r="L35" s="109">
        <v>14.1</v>
      </c>
      <c r="M35" s="110">
        <v>0</v>
      </c>
      <c r="N35" s="101">
        <f t="shared" si="5"/>
        <v>26.6</v>
      </c>
      <c r="O35" s="99">
        <f t="shared" si="6"/>
        <v>12.500000000000002</v>
      </c>
      <c r="P35" s="111">
        <v>18.6</v>
      </c>
      <c r="Q35" s="111">
        <v>7.3</v>
      </c>
      <c r="R35" s="111">
        <v>0.7</v>
      </c>
      <c r="S35" s="100">
        <f t="shared" si="7"/>
        <v>26.6</v>
      </c>
      <c r="T35" s="101">
        <f t="shared" si="0"/>
        <v>-12.5</v>
      </c>
      <c r="U35" s="137"/>
      <c r="V35" s="112"/>
      <c r="W35" s="112"/>
      <c r="X35" s="112"/>
      <c r="Y35" s="112"/>
    </row>
    <row r="36" spans="1:48" s="16" customFormat="1" ht="16.5" thickBot="1">
      <c r="A36" s="82"/>
      <c r="B36" s="45">
        <v>8204</v>
      </c>
      <c r="C36" s="46" t="s">
        <v>45</v>
      </c>
      <c r="D36" s="40">
        <f t="shared" si="1"/>
      </c>
      <c r="E36" s="46" t="s">
        <v>354</v>
      </c>
      <c r="F36" s="46" t="s">
        <v>46</v>
      </c>
      <c r="G36" s="47">
        <f>SUM(bcws!D27)</f>
        <v>31.700000000000003</v>
      </c>
      <c r="H36" s="47">
        <f t="shared" si="8"/>
        <v>37.4</v>
      </c>
      <c r="I36" s="47">
        <f t="shared" si="2"/>
        <v>42.108000000000004</v>
      </c>
      <c r="J36" s="48">
        <f t="shared" si="3"/>
        <v>1.1798107255520502</v>
      </c>
      <c r="K36" s="48">
        <f t="shared" si="4"/>
        <v>0.8881922675026123</v>
      </c>
      <c r="L36" s="49">
        <v>42.1</v>
      </c>
      <c r="M36" s="72">
        <v>4.7</v>
      </c>
      <c r="N36" s="44">
        <f t="shared" si="5"/>
        <v>46.80800000000001</v>
      </c>
      <c r="O36" s="42">
        <f t="shared" si="6"/>
        <v>4.7080000000000055</v>
      </c>
      <c r="P36" s="50">
        <v>29</v>
      </c>
      <c r="Q36" s="50">
        <v>24</v>
      </c>
      <c r="R36" s="50">
        <v>-10.892</v>
      </c>
      <c r="S36" s="43">
        <f t="shared" si="7"/>
        <v>42.108000000000004</v>
      </c>
      <c r="T36" s="44">
        <f t="shared" si="0"/>
        <v>-0.007999999999999119</v>
      </c>
      <c r="U36" s="138"/>
      <c r="V36" s="65"/>
      <c r="W36" s="65"/>
      <c r="X36" s="65"/>
      <c r="Y36" s="6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</row>
    <row r="37" spans="1:48" s="16" customFormat="1" ht="16.5" thickBot="1">
      <c r="A37" s="82"/>
      <c r="B37" s="45">
        <v>8205</v>
      </c>
      <c r="C37" s="46" t="s">
        <v>33</v>
      </c>
      <c r="D37" s="40">
        <f t="shared" si="1"/>
      </c>
      <c r="E37" s="46" t="s">
        <v>47</v>
      </c>
      <c r="F37" s="46" t="s">
        <v>48</v>
      </c>
      <c r="G37" s="47">
        <f>SUM(bcws!D28)</f>
        <v>29.700000000000003</v>
      </c>
      <c r="H37" s="47">
        <f t="shared" si="8"/>
        <v>30.099999999999998</v>
      </c>
      <c r="I37" s="47">
        <f t="shared" si="2"/>
        <v>22.5</v>
      </c>
      <c r="J37" s="48">
        <f t="shared" si="3"/>
        <v>1.0134680134680134</v>
      </c>
      <c r="K37" s="48">
        <f t="shared" si="4"/>
        <v>1.3377777777777777</v>
      </c>
      <c r="L37" s="49">
        <v>33.8</v>
      </c>
      <c r="M37" s="72">
        <v>3.7</v>
      </c>
      <c r="N37" s="44">
        <f t="shared" si="5"/>
        <v>26.2</v>
      </c>
      <c r="O37" s="42">
        <f t="shared" si="6"/>
        <v>-7.599999999999998</v>
      </c>
      <c r="P37" s="50">
        <v>9.3</v>
      </c>
      <c r="Q37" s="50">
        <v>5.9</v>
      </c>
      <c r="R37" s="50">
        <v>7.3</v>
      </c>
      <c r="S37" s="43">
        <f t="shared" si="7"/>
        <v>22.5</v>
      </c>
      <c r="T37" s="44">
        <f t="shared" si="0"/>
        <v>11.299999999999994</v>
      </c>
      <c r="U37" s="138"/>
      <c r="V37" s="65"/>
      <c r="W37" s="65"/>
      <c r="X37" s="65"/>
      <c r="Y37" s="6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</row>
    <row r="38" spans="1:25" s="113" customFormat="1" ht="16.5" thickBot="1">
      <c r="A38" s="114"/>
      <c r="B38" s="105">
        <v>8210</v>
      </c>
      <c r="C38" s="106"/>
      <c r="D38" s="93" t="str">
        <f t="shared" si="1"/>
        <v>COMPLETE</v>
      </c>
      <c r="E38" s="106" t="s">
        <v>257</v>
      </c>
      <c r="F38" s="106" t="s">
        <v>258</v>
      </c>
      <c r="G38" s="107">
        <v>0</v>
      </c>
      <c r="H38" s="107">
        <f t="shared" si="8"/>
        <v>0.0001</v>
      </c>
      <c r="I38" s="107">
        <f t="shared" si="2"/>
        <v>7.7</v>
      </c>
      <c r="J38" s="108"/>
      <c r="K38" s="108">
        <f t="shared" si="4"/>
        <v>1.2987012987012988E-05</v>
      </c>
      <c r="L38" s="109">
        <v>0.0001</v>
      </c>
      <c r="M38" s="110">
        <v>0</v>
      </c>
      <c r="N38" s="101">
        <f t="shared" si="5"/>
        <v>7.7</v>
      </c>
      <c r="O38" s="99">
        <f t="shared" si="6"/>
        <v>7.6999</v>
      </c>
      <c r="P38" s="111">
        <v>0.7</v>
      </c>
      <c r="Q38" s="111">
        <v>7</v>
      </c>
      <c r="R38" s="111">
        <v>0</v>
      </c>
      <c r="S38" s="100">
        <f t="shared" si="7"/>
        <v>7.7</v>
      </c>
      <c r="T38" s="101">
        <f t="shared" si="0"/>
        <v>-7.6998999999999995</v>
      </c>
      <c r="U38" s="137"/>
      <c r="V38" s="112"/>
      <c r="W38" s="112"/>
      <c r="X38" s="112"/>
      <c r="Y38" s="112"/>
    </row>
    <row r="39" spans="1:48" s="16" customFormat="1" ht="16.5" thickBot="1">
      <c r="A39" s="88"/>
      <c r="B39" s="51">
        <v>8220</v>
      </c>
      <c r="C39" s="52"/>
      <c r="D39" s="40">
        <f t="shared" si="1"/>
      </c>
      <c r="E39" s="52" t="s">
        <v>51</v>
      </c>
      <c r="F39" s="52" t="s">
        <v>34</v>
      </c>
      <c r="G39" s="53">
        <f>SUM(bcws!D29)</f>
        <v>176.5</v>
      </c>
      <c r="H39" s="53">
        <f t="shared" si="8"/>
        <v>180.005</v>
      </c>
      <c r="I39" s="53">
        <f t="shared" si="2"/>
        <v>111.2</v>
      </c>
      <c r="J39" s="54">
        <f t="shared" si="3"/>
        <v>1.01985835694051</v>
      </c>
      <c r="K39" s="54">
        <f t="shared" si="4"/>
        <v>1.61875</v>
      </c>
      <c r="L39" s="55">
        <v>530</v>
      </c>
      <c r="M39" s="73">
        <v>349.995</v>
      </c>
      <c r="N39" s="56">
        <f t="shared" si="5"/>
        <v>461.195</v>
      </c>
      <c r="O39" s="42">
        <f t="shared" si="6"/>
        <v>-68.805</v>
      </c>
      <c r="P39" s="57">
        <v>3.6</v>
      </c>
      <c r="Q39" s="57">
        <v>23.9</v>
      </c>
      <c r="R39" s="57">
        <f>83.7</f>
        <v>83.7</v>
      </c>
      <c r="S39" s="43">
        <f t="shared" si="7"/>
        <v>111.2</v>
      </c>
      <c r="T39" s="44">
        <f t="shared" si="0"/>
        <v>418.8</v>
      </c>
      <c r="U39" s="138"/>
      <c r="V39" s="65"/>
      <c r="W39" s="65"/>
      <c r="X39" s="65"/>
      <c r="Y39" s="6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</row>
    <row r="40" spans="1:48" s="16" customFormat="1" ht="39.75" thickBot="1">
      <c r="A40" s="88"/>
      <c r="B40" s="51">
        <v>8221</v>
      </c>
      <c r="C40" s="52"/>
      <c r="D40" s="40">
        <f t="shared" si="1"/>
      </c>
      <c r="E40" s="52" t="s">
        <v>50</v>
      </c>
      <c r="F40" s="52" t="s">
        <v>42</v>
      </c>
      <c r="G40" s="134">
        <f>SUM(bcws!D30)</f>
        <v>550</v>
      </c>
      <c r="H40" s="134">
        <f t="shared" si="8"/>
        <v>191.79999999999995</v>
      </c>
      <c r="I40" s="53">
        <f t="shared" si="2"/>
        <v>180.72</v>
      </c>
      <c r="J40" s="54">
        <f t="shared" si="3"/>
        <v>0.34872727272727266</v>
      </c>
      <c r="K40" s="54">
        <f t="shared" si="4"/>
        <v>1.0613103142983618</v>
      </c>
      <c r="L40" s="58">
        <v>1133.6</v>
      </c>
      <c r="M40" s="74">
        <v>941.8</v>
      </c>
      <c r="N40" s="59">
        <f t="shared" si="5"/>
        <v>1122.52</v>
      </c>
      <c r="O40" s="42">
        <f t="shared" si="6"/>
        <v>-11.079999999999927</v>
      </c>
      <c r="P40" s="60">
        <f>13.8+22.505</f>
        <v>36.305</v>
      </c>
      <c r="Q40" s="60">
        <f>41+8.052</f>
        <v>49.052</v>
      </c>
      <c r="R40" s="60">
        <f>93.2+2.163</f>
        <v>95.363</v>
      </c>
      <c r="S40" s="43">
        <f t="shared" si="7"/>
        <v>180.72</v>
      </c>
      <c r="T40" s="44">
        <f t="shared" si="0"/>
        <v>952.8799999999999</v>
      </c>
      <c r="U40" s="143" t="s">
        <v>350</v>
      </c>
      <c r="V40" s="65"/>
      <c r="W40" s="65"/>
      <c r="X40" s="65"/>
      <c r="Y40" s="6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</row>
    <row r="41" spans="1:48" s="16" customFormat="1" ht="16.5" thickBot="1">
      <c r="A41" s="89"/>
      <c r="B41" s="51">
        <v>8222</v>
      </c>
      <c r="C41" s="61"/>
      <c r="D41" s="40">
        <f t="shared" si="1"/>
      </c>
      <c r="E41" s="52" t="s">
        <v>161</v>
      </c>
      <c r="F41" s="52" t="s">
        <v>225</v>
      </c>
      <c r="G41" s="53">
        <f>SUM(bcws!D31)</f>
        <v>0</v>
      </c>
      <c r="H41" s="53">
        <f t="shared" si="8"/>
        <v>6.600000000000023</v>
      </c>
      <c r="I41" s="53">
        <f t="shared" si="2"/>
        <v>9.9</v>
      </c>
      <c r="J41" s="54"/>
      <c r="K41" s="54">
        <f t="shared" si="4"/>
        <v>0.666666666666669</v>
      </c>
      <c r="L41" s="55">
        <v>300</v>
      </c>
      <c r="M41" s="73">
        <v>293.4</v>
      </c>
      <c r="N41" s="56">
        <f t="shared" si="5"/>
        <v>303.29999999999995</v>
      </c>
      <c r="O41" s="42">
        <f t="shared" si="6"/>
        <v>3.2999999999999545</v>
      </c>
      <c r="P41" s="57"/>
      <c r="Q41" s="57">
        <v>1.5</v>
      </c>
      <c r="R41" s="57">
        <v>8.4</v>
      </c>
      <c r="S41" s="43">
        <f t="shared" si="7"/>
        <v>9.9</v>
      </c>
      <c r="T41" s="44">
        <f t="shared" si="0"/>
        <v>290.1</v>
      </c>
      <c r="U41" s="138"/>
      <c r="V41" s="65"/>
      <c r="W41" s="65"/>
      <c r="X41" s="65"/>
      <c r="Y41" s="6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</row>
    <row r="42" spans="1:25" s="113" customFormat="1" ht="16.5" thickBot="1">
      <c r="A42" s="122"/>
      <c r="B42" s="123">
        <v>8501</v>
      </c>
      <c r="C42" s="124"/>
      <c r="D42" s="93" t="str">
        <f t="shared" si="1"/>
        <v>COMPLETE</v>
      </c>
      <c r="E42" s="125" t="s">
        <v>265</v>
      </c>
      <c r="F42" s="125" t="s">
        <v>266</v>
      </c>
      <c r="G42" s="126">
        <v>0</v>
      </c>
      <c r="H42" s="126">
        <f t="shared" si="8"/>
        <v>0.0001</v>
      </c>
      <c r="I42" s="126">
        <f t="shared" si="2"/>
        <v>0.7001</v>
      </c>
      <c r="J42" s="127"/>
      <c r="K42" s="127">
        <f t="shared" si="4"/>
        <v>0.00014283673760891302</v>
      </c>
      <c r="L42" s="128">
        <v>0.0001</v>
      </c>
      <c r="M42" s="129"/>
      <c r="N42" s="130">
        <f t="shared" si="5"/>
        <v>0.7001</v>
      </c>
      <c r="O42" s="99">
        <f t="shared" si="6"/>
        <v>0.7</v>
      </c>
      <c r="P42" s="131">
        <v>0.7</v>
      </c>
      <c r="Q42" s="131">
        <v>0.0001</v>
      </c>
      <c r="R42" s="131">
        <v>0</v>
      </c>
      <c r="S42" s="100">
        <f t="shared" si="7"/>
        <v>0.7001</v>
      </c>
      <c r="T42" s="101">
        <f t="shared" si="0"/>
        <v>-0.7</v>
      </c>
      <c r="U42" s="144"/>
      <c r="V42" s="112"/>
      <c r="W42" s="112"/>
      <c r="X42" s="112"/>
      <c r="Y42" s="112"/>
    </row>
    <row r="43" spans="1:48" ht="15.75" customHeight="1" hidden="1" thickBot="1">
      <c r="A43" s="25"/>
      <c r="E43" s="12"/>
      <c r="F43" s="23"/>
      <c r="G43" s="26"/>
      <c r="H43" s="26"/>
      <c r="I43" s="26"/>
      <c r="J43" s="24"/>
      <c r="K43" s="24"/>
      <c r="L43" s="27"/>
      <c r="M43" s="75"/>
      <c r="N43" s="24"/>
      <c r="O43" s="29"/>
      <c r="P43" s="31"/>
      <c r="Q43" s="31"/>
      <c r="R43" s="31"/>
      <c r="S43" s="31"/>
      <c r="T43" s="24"/>
      <c r="W43" s="6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</row>
    <row r="44" spans="6:48" ht="16.5" thickBot="1">
      <c r="F44" s="52" t="s">
        <v>162</v>
      </c>
      <c r="G44" s="62">
        <f>SUM(G4:G42)</f>
        <v>3424.1000000000004</v>
      </c>
      <c r="H44" s="62">
        <f>SUM(H4:H42)</f>
        <v>3080.2949000000003</v>
      </c>
      <c r="I44" s="62">
        <f>SUM(I4:I42)</f>
        <v>3115.3351999999995</v>
      </c>
      <c r="J44" s="63">
        <f t="shared" si="3"/>
        <v>0.8995925644694956</v>
      </c>
      <c r="K44" s="63">
        <f t="shared" si="4"/>
        <v>0.9887523178886178</v>
      </c>
      <c r="L44" s="55">
        <f aca="true" t="shared" si="9" ref="L44:T44">SUM(L4:L42)</f>
        <v>5861.102000000002</v>
      </c>
      <c r="M44" s="73">
        <f t="shared" si="9"/>
        <v>2780.8070000000002</v>
      </c>
      <c r="N44" s="56">
        <f t="shared" si="9"/>
        <v>5896.142199999999</v>
      </c>
      <c r="O44" s="42">
        <f t="shared" si="9"/>
        <v>35.04020000000003</v>
      </c>
      <c r="P44" s="57">
        <f t="shared" si="9"/>
        <v>1305.7830000000001</v>
      </c>
      <c r="Q44" s="57">
        <f t="shared" si="9"/>
        <v>1053.9661999999998</v>
      </c>
      <c r="R44" s="57">
        <f t="shared" si="9"/>
        <v>755.5859999999999</v>
      </c>
      <c r="S44" s="57">
        <f t="shared" si="9"/>
        <v>3115.3351999999995</v>
      </c>
      <c r="T44" s="56">
        <f t="shared" si="9"/>
        <v>2745.7668</v>
      </c>
      <c r="W44" s="6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</row>
    <row r="45" spans="6:48" ht="16.5" thickBot="1">
      <c r="F45" s="52" t="s">
        <v>224</v>
      </c>
      <c r="G45" s="52"/>
      <c r="H45" s="52"/>
      <c r="I45" s="52"/>
      <c r="J45" s="52"/>
      <c r="K45" s="52"/>
      <c r="L45" s="55">
        <f>+L44*0.2</f>
        <v>1172.2204000000004</v>
      </c>
      <c r="M45" s="73"/>
      <c r="N45" s="56"/>
      <c r="O45" s="64"/>
      <c r="P45" s="57"/>
      <c r="Q45" s="57"/>
      <c r="R45" s="57"/>
      <c r="S45" s="57"/>
      <c r="T45" s="56"/>
      <c r="W45" s="6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</row>
    <row r="46" spans="6:48" ht="16.5" thickBot="1">
      <c r="F46" s="52" t="s">
        <v>163</v>
      </c>
      <c r="G46" s="52"/>
      <c r="H46" s="52"/>
      <c r="I46" s="52"/>
      <c r="J46" s="52"/>
      <c r="K46" s="52"/>
      <c r="L46" s="55">
        <f>SUM(L44:L45)</f>
        <v>7033.322400000002</v>
      </c>
      <c r="M46" s="73"/>
      <c r="N46" s="56"/>
      <c r="O46" s="64"/>
      <c r="P46" s="57"/>
      <c r="Q46" s="57"/>
      <c r="R46" s="57"/>
      <c r="S46" s="57"/>
      <c r="T46" s="56"/>
      <c r="W46" s="6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</row>
    <row r="47" spans="7:48" ht="15.75">
      <c r="G47" s="13"/>
      <c r="H47" s="13"/>
      <c r="K47" s="13"/>
      <c r="M47" s="76"/>
      <c r="W47" s="6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</row>
    <row r="48" spans="7:48" ht="15.75">
      <c r="G48" s="13"/>
      <c r="H48" s="13"/>
      <c r="K48" s="13"/>
      <c r="M48" s="76"/>
      <c r="W48" s="6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</row>
    <row r="49" spans="23:48" ht="15.75">
      <c r="W49" s="6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</row>
    <row r="50" spans="23:48" ht="15.75">
      <c r="W50" s="6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</row>
    <row r="51" spans="23:48" ht="15.75">
      <c r="W51" s="6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</row>
    <row r="52" spans="23:48" ht="15.75">
      <c r="W52" s="6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</row>
  </sheetData>
  <hyperlinks>
    <hyperlink ref="B14" r:id="rId1" display="http://ncsx.pppl.gov/Rebaseline/FY08_Rebaseline/Basis_of_Estimate_2008/Finalized WAFs/WBS_1_WAFs/WBS_14_WAFs/Jobs_1408_1451_1459/Job1408_1451_1459-R11.xls"/>
    <hyperlink ref="B9" r:id="rId2" display="http://ncsx.pppl.gov/Rebaseline/FY08_Rebaseline/Basis_of_Estimate_2008/Finalized WAFs/WBS_1_WAFs/WBS_14_WAFs/Job_1416/Job_1416-R5.xls"/>
    <hyperlink ref="B10" r:id="rId3" display="http://ncsx.pppl.gov/Rebaseline/FY08_Rebaseline/Basis_of_Estimate_2008/Finalized WAFs/WBS_1_WAFs/WBS_14_WAFs/Job_1421/Job_1421-R6.xls"/>
    <hyperlink ref="B19" r:id="rId4" display="http://ncsx.pppl.gov/Rebaseline/FY08_Rebaseline/Basis_of_Estimate_2008/Finalized WAFs/WBS_1_WAFs/WBS_18_WAFs/Jobs_1802_1810_1815/Job1802_1810_1815_R22.xls"/>
    <hyperlink ref="B22" r:id="rId5" display="http://ncsx.pppl.gov/Rebaseline/FY08_Rebaseline/Basis_of_Estimate_2008/Finalized WAFs/WBS_1_WAFs/WBS_18_WAFs/Jobs_1802_1810_1815/Job1802_1810_1815_R22.xls"/>
    <hyperlink ref="B21" r:id="rId6" display="http://ncsx.pppl.gov/Rebaseline/FY08_Rebaseline/Basis_of_Estimate_2008/Finalized WAFs/WBS_1_WAFs/WBS_18_WAFs/Job_1806/Job1806_R7.xls"/>
    <hyperlink ref="B23" r:id="rId7" display="http://ncsx.pppl.gov/Rebaseline/FY08_Rebaseline/Basis_of_Estimate_2008/Finalized WAFs/WBS_1_WAFs/WBS_19_WAFs/Job_1901/Job1901_R6.xls"/>
    <hyperlink ref="B33" r:id="rId8" display="http://ncsx.pppl.gov/Rebaseline/FY08_Rebaseline/Basis_of_Estimate_2008/Finalized WAFs/WBS_8_WAFs/Jobs_8101_8102_8998/Job8101_8102_8998_R14.xls"/>
    <hyperlink ref="B34" r:id="rId9" display="http://ncsx.pppl.gov/Rebaseline/FY08_Rebaseline/Basis_of_Estimate_2008/Finalized WAFs/WBS_8_WAFs/Job_8202/Job8202_R7.xls"/>
    <hyperlink ref="B35" r:id="rId10" display="http://ncsx.pppl.gov/Rebaseline/FY08_Rebaseline/Basis_of_Estimate_2008/Finalized WAFs/WBS_8_WAFs/Job_8203/Job 8203-R5.xls"/>
    <hyperlink ref="B36" r:id="rId11" display="http://ncsx.pppl.gov/Rebaseline/FY08_Rebaseline/Basis_of_Estimate_2008/Finalized WAFs/WBS_8_WAFs/Job_8204/Job8204_R4.xls"/>
    <hyperlink ref="B37" r:id="rId12" display="http://ncsx.pppl.gov/Rebaseline/FY08_Rebaseline/Basis_of_Estimate_2008/Finalized WAFs/WBS_8_WAFs/Job _8205/Job_8205-R4.xls"/>
    <hyperlink ref="B15" r:id="rId13" display="http://ncsx.pppl.gov/Rebaseline/FY08_Rebaseline/Basis_of_Estimate_2008/Finalized WAFs/WBS_1_WAFs/WBS_15_WAFs/Jobs_1501_1550/Job 1501_1550-R12a.xls"/>
    <hyperlink ref="B7" r:id="rId14" display="http://ncsx.pppl.gov/Rebaseline/FY08_Rebaseline/Basis_of_Estimate_2008/Finalized WAFs/WBS_1_WAFs/WBS_13_WAFs/Job_1361/Job1361_R5.xls"/>
    <hyperlink ref="B8" r:id="rId15" display="http://ncsx.pppl.gov/Rebaseline/FY08_Rebaseline/Basis_of_Estimate_2008/Finalized WAFs/WBS_1_WAFs/WBS_14_WAFs/Jobs_1408_1451_1459/Job1408_1451_1459-R11.xls"/>
    <hyperlink ref="B13" r:id="rId16" display="http://ncsx.pppl.gov/Rebaseline/FY08_Rebaseline/Basis_of_Estimate_2008/Finalized WAFs/WBS_1_WAFs/WBS_14_WAFs/Jobs_1408_1451_1459/Job1408_1451_1459-R11.xls"/>
    <hyperlink ref="B5" r:id="rId17" display="http://ncsx.pppl.gov/Rebaseline/FY08_Rebaseline/Basis_of_Estimate_2008/Finalized WAFs/WBS_1_WAFs/WBS_13_WAFs/Job_1302_1352/Job1302_1352_R7.xls"/>
    <hyperlink ref="B6" r:id="rId18" display="http://ncsx.pppl.gov/Rebaseline/FY08_Rebaseline/Basis_of_Estimate_2008/Finalized WAFs/WBS_1_WAFs/WBS_13_WAFs/Job_1354/Job_1354-R4.xls"/>
    <hyperlink ref="B12" r:id="rId19" display="http://ncsx.pppl.gov/Rebaseline/FY08_Rebaseline/Basis_of_Estimate_2008/Finalized WAFs/WBS_1_WAFs/WBS_14_WAFs/Job_1431/Job1431_R9.xls"/>
    <hyperlink ref="B16" r:id="rId20" display="http://ncsx.pppl.gov/Rebaseline/FY08_Rebaseline/Basis_of_Estimate_2008/Finalized WAFs/WBS_1_WAFs/WBS_16_WAFs/Job_1601-161/Job_1601-161-R9a.xls"/>
    <hyperlink ref="B18" r:id="rId21" display="http://ncsx.pppl.gov/Rebaseline/FY08_Rebaseline/Basis_of_Estimate_2008/Finalized WAFs/WBS_1_WAFs/WBS_17_WAFs/Jobs_1702_1752/Jobs_1702_1752-R4a.xls"/>
    <hyperlink ref="B24" r:id="rId22" display="http://ncsx.pppl.gov/Rebaseline/FY08_Rebaseline/Basis_of_Estimate_2008/Finalized WAFs/WBS_3_WAFs/Job_3101/Job3101_R8.xls"/>
  </hyperlinks>
  <printOptions/>
  <pageMargins left="0.24" right="0.17" top="0.27" bottom="0.23" header="0.26" footer="0.17"/>
  <pageSetup horizontalDpi="600" verticalDpi="600" orientation="landscape" scale="64" r:id="rId23"/>
  <headerFooter alignWithMargins="0">
    <oddFooter>&amp;R&amp;F           &amp;A    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15"/>
  <sheetViews>
    <sheetView tabSelected="1" workbookViewId="0" topLeftCell="A41">
      <selection activeCell="D111" sqref="D111"/>
    </sheetView>
  </sheetViews>
  <sheetFormatPr defaultColWidth="9.140625" defaultRowHeight="12.75"/>
  <cols>
    <col min="1" max="1" width="6.00390625" style="0" bestFit="1" customWidth="1"/>
    <col min="2" max="2" width="31.421875" style="0" customWidth="1"/>
    <col min="3" max="3" width="8.7109375" style="0" customWidth="1"/>
    <col min="4" max="4" width="7.7109375" style="0" customWidth="1"/>
    <col min="5" max="5" width="6.57421875" style="0" customWidth="1"/>
    <col min="6" max="6" width="2.28125" style="0" customWidth="1"/>
    <col min="7" max="7" width="6.57421875" style="233" customWidth="1"/>
    <col min="8" max="14" width="6.57421875" style="0" customWidth="1"/>
    <col min="15" max="15" width="47.7109375" style="190" customWidth="1"/>
  </cols>
  <sheetData>
    <row r="1" spans="1:15" ht="31.5">
      <c r="A1" s="182"/>
      <c r="B1" s="182"/>
      <c r="C1" s="182"/>
      <c r="D1" s="182"/>
      <c r="E1" s="182"/>
      <c r="G1" s="228" t="s">
        <v>440</v>
      </c>
      <c r="H1" s="227"/>
      <c r="I1" s="227"/>
      <c r="J1" s="227"/>
      <c r="K1" s="227"/>
      <c r="L1" s="227"/>
      <c r="M1" s="227"/>
      <c r="N1" s="227"/>
      <c r="O1" s="186"/>
    </row>
    <row r="2" spans="1:15" ht="39">
      <c r="A2" s="219" t="s">
        <v>454</v>
      </c>
      <c r="B2" s="219" t="s">
        <v>453</v>
      </c>
      <c r="D2" s="210" t="s">
        <v>437</v>
      </c>
      <c r="E2" s="210" t="s">
        <v>434</v>
      </c>
      <c r="F2" s="165"/>
      <c r="G2" s="229" t="s">
        <v>436</v>
      </c>
      <c r="H2" s="217"/>
      <c r="I2" s="217"/>
      <c r="J2" s="217"/>
      <c r="K2" s="217"/>
      <c r="L2" s="217"/>
      <c r="M2" s="217"/>
      <c r="N2" s="217"/>
      <c r="O2" s="216" t="s">
        <v>435</v>
      </c>
    </row>
    <row r="3" spans="1:15" ht="12.75">
      <c r="A3" t="s">
        <v>362</v>
      </c>
      <c r="B3" t="s">
        <v>372</v>
      </c>
      <c r="C3" s="187" t="s">
        <v>373</v>
      </c>
      <c r="D3" s="187">
        <v>79</v>
      </c>
      <c r="E3" s="222"/>
      <c r="F3" s="213"/>
      <c r="G3" s="235">
        <v>1260</v>
      </c>
      <c r="H3" s="235">
        <v>1355</v>
      </c>
      <c r="I3" s="235">
        <v>1416</v>
      </c>
      <c r="J3" s="235">
        <v>1421</v>
      </c>
      <c r="K3" s="222"/>
      <c r="L3" s="222"/>
      <c r="M3" s="222"/>
      <c r="N3" s="222"/>
      <c r="O3" s="239" t="s">
        <v>447</v>
      </c>
    </row>
    <row r="4" spans="3:15" ht="12.75">
      <c r="C4" s="69" t="s">
        <v>438</v>
      </c>
      <c r="D4" s="69">
        <v>64</v>
      </c>
      <c r="E4" s="190"/>
      <c r="F4" s="213"/>
      <c r="G4" s="225">
        <v>39707</v>
      </c>
      <c r="H4" s="226">
        <v>39699</v>
      </c>
      <c r="I4" s="225">
        <v>39707</v>
      </c>
      <c r="J4" s="225">
        <v>39711</v>
      </c>
      <c r="K4" s="223"/>
      <c r="L4" s="223"/>
      <c r="M4" s="223"/>
      <c r="N4" s="223"/>
      <c r="O4" s="223"/>
    </row>
    <row r="5" spans="1:15" ht="12.75">
      <c r="A5" t="s">
        <v>362</v>
      </c>
      <c r="B5" t="s">
        <v>375</v>
      </c>
      <c r="C5" s="187" t="s">
        <v>373</v>
      </c>
      <c r="D5" s="187">
        <v>79</v>
      </c>
      <c r="E5" s="222"/>
      <c r="F5" s="213"/>
      <c r="G5" s="235">
        <v>1421</v>
      </c>
      <c r="H5" s="222"/>
      <c r="I5" s="222"/>
      <c r="J5" s="222"/>
      <c r="K5" s="222"/>
      <c r="L5" s="222"/>
      <c r="M5" s="222"/>
      <c r="N5" s="222"/>
      <c r="O5" s="239" t="s">
        <v>442</v>
      </c>
    </row>
    <row r="6" spans="3:15" ht="12.75">
      <c r="C6" s="69" t="s">
        <v>438</v>
      </c>
      <c r="D6" s="238">
        <v>0</v>
      </c>
      <c r="E6" s="190"/>
      <c r="F6" s="213"/>
      <c r="G6" s="225">
        <v>39706</v>
      </c>
      <c r="H6" s="223"/>
      <c r="I6" s="223"/>
      <c r="J6" s="223"/>
      <c r="K6" s="223"/>
      <c r="L6" s="223"/>
      <c r="M6" s="223"/>
      <c r="N6" s="223"/>
      <c r="O6" s="223"/>
    </row>
    <row r="7" spans="1:15" ht="12.75">
      <c r="A7" t="s">
        <v>362</v>
      </c>
      <c r="B7" t="s">
        <v>376</v>
      </c>
      <c r="C7" s="187" t="s">
        <v>373</v>
      </c>
      <c r="D7" s="187">
        <v>280</v>
      </c>
      <c r="E7" s="222"/>
      <c r="F7" s="213"/>
      <c r="G7" s="235">
        <v>1421</v>
      </c>
      <c r="H7" s="223"/>
      <c r="I7" s="223"/>
      <c r="J7" s="223"/>
      <c r="K7" s="223"/>
      <c r="L7" s="223"/>
      <c r="M7" s="223"/>
      <c r="N7" s="223"/>
      <c r="O7" s="240" t="s">
        <v>443</v>
      </c>
    </row>
    <row r="8" spans="3:15" ht="12.75">
      <c r="C8" s="69" t="s">
        <v>438</v>
      </c>
      <c r="D8" s="69">
        <v>8</v>
      </c>
      <c r="E8" s="190"/>
      <c r="F8" s="213"/>
      <c r="G8" s="225">
        <v>39706</v>
      </c>
      <c r="H8" s="223"/>
      <c r="I8" s="223"/>
      <c r="J8" s="223"/>
      <c r="K8" s="223"/>
      <c r="L8" s="223"/>
      <c r="M8" s="223"/>
      <c r="N8" s="223"/>
      <c r="O8" s="224"/>
    </row>
    <row r="9" spans="1:15" ht="12.75">
      <c r="A9" s="211" t="s">
        <v>362</v>
      </c>
      <c r="B9" s="211" t="s">
        <v>377</v>
      </c>
      <c r="C9" s="212" t="s">
        <v>373</v>
      </c>
      <c r="D9" s="212">
        <v>79</v>
      </c>
      <c r="E9" s="212"/>
      <c r="F9" s="213"/>
      <c r="G9" s="234">
        <v>1270</v>
      </c>
      <c r="H9" s="234">
        <v>161</v>
      </c>
      <c r="I9" s="234">
        <v>162</v>
      </c>
      <c r="J9" s="222"/>
      <c r="K9" s="222"/>
      <c r="L9" s="222"/>
      <c r="M9" s="222"/>
      <c r="N9" s="222"/>
      <c r="O9" s="222"/>
    </row>
    <row r="10" spans="1:15" ht="12.75">
      <c r="A10" s="211"/>
      <c r="B10" s="211"/>
      <c r="C10" s="189" t="s">
        <v>374</v>
      </c>
      <c r="D10" s="189">
        <f>SUM(E10:N10)</f>
        <v>0</v>
      </c>
      <c r="E10" s="189"/>
      <c r="F10" s="213"/>
      <c r="G10" s="230" t="s">
        <v>439</v>
      </c>
      <c r="H10" s="220" t="s">
        <v>439</v>
      </c>
      <c r="I10" s="220" t="s">
        <v>439</v>
      </c>
      <c r="J10" s="223"/>
      <c r="K10" s="223"/>
      <c r="L10" s="223"/>
      <c r="M10" s="223"/>
      <c r="N10" s="223"/>
      <c r="O10" s="222"/>
    </row>
    <row r="11" spans="1:15" ht="12.75">
      <c r="A11" t="s">
        <v>362</v>
      </c>
      <c r="B11" t="s">
        <v>378</v>
      </c>
      <c r="C11" s="187" t="s">
        <v>373</v>
      </c>
      <c r="D11" s="187">
        <v>20</v>
      </c>
      <c r="E11" s="222"/>
      <c r="F11" s="213"/>
      <c r="G11" s="236">
        <v>163</v>
      </c>
      <c r="H11" s="222"/>
      <c r="I11" s="222"/>
      <c r="J11" s="222"/>
      <c r="K11" s="222"/>
      <c r="L11" s="222"/>
      <c r="M11" s="222"/>
      <c r="N11" s="222"/>
      <c r="O11" s="239" t="s">
        <v>447</v>
      </c>
    </row>
    <row r="12" spans="3:15" ht="12.75">
      <c r="C12" s="69" t="s">
        <v>374</v>
      </c>
      <c r="D12" s="69">
        <v>42</v>
      </c>
      <c r="E12" s="190"/>
      <c r="F12" s="213"/>
      <c r="G12" s="226">
        <v>39699</v>
      </c>
      <c r="H12" s="223"/>
      <c r="I12" s="223"/>
      <c r="J12" s="223"/>
      <c r="K12" s="223"/>
      <c r="L12" s="223"/>
      <c r="M12" s="223"/>
      <c r="N12" s="223"/>
      <c r="O12" s="222"/>
    </row>
    <row r="13" spans="1:15" ht="12.75">
      <c r="A13" t="s">
        <v>362</v>
      </c>
      <c r="B13" t="s">
        <v>379</v>
      </c>
      <c r="C13" s="187" t="s">
        <v>373</v>
      </c>
      <c r="D13" s="187">
        <v>20</v>
      </c>
      <c r="E13" s="222"/>
      <c r="F13" s="213"/>
      <c r="G13" s="223"/>
      <c r="H13" s="223"/>
      <c r="I13" s="223"/>
      <c r="J13" s="223"/>
      <c r="K13" s="223"/>
      <c r="L13" s="223"/>
      <c r="M13" s="223"/>
      <c r="N13" s="223"/>
      <c r="O13" s="222"/>
    </row>
    <row r="14" spans="3:15" ht="12.75">
      <c r="C14" s="69" t="s">
        <v>374</v>
      </c>
      <c r="D14" s="69">
        <f>SUM(E14:N14)</f>
        <v>0</v>
      </c>
      <c r="E14" s="190"/>
      <c r="F14" s="213"/>
      <c r="G14" s="223"/>
      <c r="H14" s="223"/>
      <c r="I14" s="223"/>
      <c r="J14" s="223"/>
      <c r="K14" s="223"/>
      <c r="L14" s="223"/>
      <c r="M14" s="223"/>
      <c r="N14" s="223"/>
      <c r="O14" s="222"/>
    </row>
    <row r="15" spans="1:15" ht="12.75">
      <c r="A15" t="s">
        <v>362</v>
      </c>
      <c r="B15" t="s">
        <v>380</v>
      </c>
      <c r="C15" s="187" t="s">
        <v>373</v>
      </c>
      <c r="D15" s="187">
        <v>10</v>
      </c>
      <c r="E15" s="222"/>
      <c r="F15" s="213"/>
      <c r="G15" s="223"/>
      <c r="H15" s="223"/>
      <c r="I15" s="223"/>
      <c r="J15" s="223"/>
      <c r="K15" s="223"/>
      <c r="L15" s="223"/>
      <c r="M15" s="223"/>
      <c r="N15" s="223"/>
      <c r="O15" s="222"/>
    </row>
    <row r="16" spans="3:15" ht="12.75">
      <c r="C16" s="69" t="s">
        <v>374</v>
      </c>
      <c r="D16" s="69">
        <f>SUM(E16:N16)</f>
        <v>0</v>
      </c>
      <c r="E16" s="190"/>
      <c r="F16" s="213"/>
      <c r="G16" s="223"/>
      <c r="H16" s="223"/>
      <c r="I16" s="223"/>
      <c r="J16" s="223"/>
      <c r="K16" s="223"/>
      <c r="L16" s="223"/>
      <c r="M16" s="223"/>
      <c r="N16" s="223"/>
      <c r="O16" s="222"/>
    </row>
    <row r="17" spans="1:15" ht="12.75">
      <c r="A17" t="s">
        <v>362</v>
      </c>
      <c r="B17" t="s">
        <v>381</v>
      </c>
      <c r="C17" s="187" t="s">
        <v>373</v>
      </c>
      <c r="D17" s="187">
        <v>10</v>
      </c>
      <c r="E17" s="222"/>
      <c r="F17" s="213"/>
      <c r="G17" s="223"/>
      <c r="H17" s="223"/>
      <c r="I17" s="223"/>
      <c r="J17" s="223"/>
      <c r="K17" s="223"/>
      <c r="L17" s="223"/>
      <c r="M17" s="223"/>
      <c r="N17" s="223"/>
      <c r="O17" s="239" t="s">
        <v>447</v>
      </c>
    </row>
    <row r="18" spans="3:15" ht="12.75">
      <c r="C18" s="69" t="s">
        <v>374</v>
      </c>
      <c r="D18" s="69">
        <f>SUM(E18:N18)</f>
        <v>0</v>
      </c>
      <c r="E18" s="190"/>
      <c r="F18" s="213"/>
      <c r="G18" s="223"/>
      <c r="H18" s="223"/>
      <c r="I18" s="223"/>
      <c r="J18" s="223"/>
      <c r="K18" s="223"/>
      <c r="L18" s="223"/>
      <c r="M18" s="223"/>
      <c r="N18" s="223"/>
      <c r="O18" s="222"/>
    </row>
    <row r="19" spans="1:15" ht="12" customHeight="1">
      <c r="A19" t="s">
        <v>362</v>
      </c>
      <c r="B19" t="s">
        <v>382</v>
      </c>
      <c r="C19" s="187" t="s">
        <v>373</v>
      </c>
      <c r="D19" s="187">
        <v>79</v>
      </c>
      <c r="E19" s="222"/>
      <c r="F19" s="213"/>
      <c r="G19" s="235">
        <v>1421</v>
      </c>
      <c r="H19" s="222"/>
      <c r="I19" s="222"/>
      <c r="J19" s="222"/>
      <c r="K19" s="222"/>
      <c r="L19" s="222"/>
      <c r="M19" s="222"/>
      <c r="N19" s="222"/>
      <c r="O19" s="240" t="s">
        <v>443</v>
      </c>
    </row>
    <row r="20" spans="3:15" ht="12.75">
      <c r="C20" s="69" t="s">
        <v>374</v>
      </c>
      <c r="D20" s="69">
        <v>16</v>
      </c>
      <c r="E20" s="190"/>
      <c r="F20" s="213"/>
      <c r="G20" s="225">
        <v>39706</v>
      </c>
      <c r="H20" s="222"/>
      <c r="I20" s="222"/>
      <c r="J20" s="223"/>
      <c r="K20" s="223"/>
      <c r="L20" s="223"/>
      <c r="M20" s="223"/>
      <c r="N20" s="223"/>
      <c r="O20" s="223"/>
    </row>
    <row r="21" spans="1:15" ht="12.75">
      <c r="A21" s="211" t="s">
        <v>360</v>
      </c>
      <c r="B21" s="211" t="s">
        <v>383</v>
      </c>
      <c r="C21" s="212" t="s">
        <v>373</v>
      </c>
      <c r="D21" s="212">
        <v>0</v>
      </c>
      <c r="E21" s="212"/>
      <c r="F21" s="213"/>
      <c r="G21" s="231"/>
      <c r="H21" s="222"/>
      <c r="I21" s="222"/>
      <c r="J21" s="222"/>
      <c r="K21" s="222"/>
      <c r="L21" s="222"/>
      <c r="M21" s="222"/>
      <c r="N21" s="222"/>
      <c r="O21" s="224"/>
    </row>
    <row r="22" spans="1:15" ht="12.75">
      <c r="A22" s="211"/>
      <c r="B22" s="211"/>
      <c r="C22" s="189" t="s">
        <v>374</v>
      </c>
      <c r="D22" s="189">
        <f>SUM(E22:N22)</f>
        <v>0</v>
      </c>
      <c r="E22" s="189">
        <v>0</v>
      </c>
      <c r="F22" s="213"/>
      <c r="G22" s="231"/>
      <c r="H22" s="222"/>
      <c r="I22" s="222"/>
      <c r="J22" s="223"/>
      <c r="K22" s="223"/>
      <c r="L22" s="223"/>
      <c r="M22" s="223"/>
      <c r="N22" s="223"/>
      <c r="O22" s="224"/>
    </row>
    <row r="23" spans="1:15" ht="12.75">
      <c r="A23" s="211" t="s">
        <v>360</v>
      </c>
      <c r="B23" s="211" t="s">
        <v>384</v>
      </c>
      <c r="C23" s="212" t="s">
        <v>373</v>
      </c>
      <c r="D23" s="212">
        <v>41</v>
      </c>
      <c r="E23" s="212"/>
      <c r="F23" s="213"/>
      <c r="G23" s="230">
        <v>2101</v>
      </c>
      <c r="H23" s="220">
        <v>2201</v>
      </c>
      <c r="I23" s="222"/>
      <c r="J23" s="222"/>
      <c r="K23" s="222"/>
      <c r="L23" s="222"/>
      <c r="M23" s="222"/>
      <c r="N23" s="222"/>
      <c r="O23" s="224"/>
    </row>
    <row r="24" spans="1:15" ht="12.75">
      <c r="A24" s="211"/>
      <c r="B24" s="211"/>
      <c r="C24" s="189" t="s">
        <v>374</v>
      </c>
      <c r="D24" s="189">
        <v>6</v>
      </c>
      <c r="E24" s="189"/>
      <c r="F24" s="213"/>
      <c r="G24" s="230" t="s">
        <v>439</v>
      </c>
      <c r="H24" s="220" t="s">
        <v>439</v>
      </c>
      <c r="I24" s="222"/>
      <c r="J24" s="223"/>
      <c r="K24" s="223"/>
      <c r="L24" s="223"/>
      <c r="M24" s="223"/>
      <c r="N24" s="223"/>
      <c r="O24" s="224"/>
    </row>
    <row r="25" spans="1:15" ht="12.75">
      <c r="A25" t="s">
        <v>360</v>
      </c>
      <c r="B25" t="s">
        <v>385</v>
      </c>
      <c r="C25" s="187" t="s">
        <v>373</v>
      </c>
      <c r="D25" s="187">
        <v>99</v>
      </c>
      <c r="E25" s="231"/>
      <c r="F25" s="213"/>
      <c r="G25" s="235">
        <v>8204</v>
      </c>
      <c r="H25" s="222"/>
      <c r="I25" s="222"/>
      <c r="J25" s="222"/>
      <c r="K25" s="222"/>
      <c r="L25" s="222"/>
      <c r="M25" s="222"/>
      <c r="N25" s="222"/>
      <c r="O25" s="240" t="s">
        <v>444</v>
      </c>
    </row>
    <row r="26" spans="3:15" ht="12.75">
      <c r="C26" s="69" t="s">
        <v>374</v>
      </c>
      <c r="D26" s="69">
        <v>0</v>
      </c>
      <c r="E26" s="190"/>
      <c r="F26" s="213"/>
      <c r="G26" s="225">
        <v>39721</v>
      </c>
      <c r="H26" s="222"/>
      <c r="I26" s="222"/>
      <c r="J26" s="222"/>
      <c r="K26" s="222"/>
      <c r="L26" s="222"/>
      <c r="M26" s="222"/>
      <c r="N26" s="222"/>
      <c r="O26" s="222"/>
    </row>
    <row r="27" spans="1:15" ht="12.75">
      <c r="A27" t="s">
        <v>360</v>
      </c>
      <c r="B27" t="s">
        <v>386</v>
      </c>
      <c r="C27" s="187" t="s">
        <v>373</v>
      </c>
      <c r="D27" s="187">
        <v>376</v>
      </c>
      <c r="E27" s="231"/>
      <c r="F27" s="213"/>
      <c r="G27" s="235">
        <v>1830</v>
      </c>
      <c r="H27" s="235">
        <v>8203</v>
      </c>
      <c r="I27" s="222"/>
      <c r="J27" s="222"/>
      <c r="K27" s="222"/>
      <c r="L27" s="222"/>
      <c r="M27" s="222"/>
      <c r="N27" s="222"/>
      <c r="O27" s="222"/>
    </row>
    <row r="28" spans="3:15" ht="12.75">
      <c r="C28" s="69" t="s">
        <v>374</v>
      </c>
      <c r="D28" s="69">
        <v>0</v>
      </c>
      <c r="E28" s="190"/>
      <c r="F28" s="213"/>
      <c r="G28" s="225">
        <v>39736</v>
      </c>
      <c r="H28" s="225">
        <v>39736</v>
      </c>
      <c r="I28" s="222"/>
      <c r="J28" s="222"/>
      <c r="K28" s="222"/>
      <c r="L28" s="222"/>
      <c r="M28" s="222"/>
      <c r="N28" s="222"/>
      <c r="O28" s="222"/>
    </row>
    <row r="29" spans="1:15" ht="12.75">
      <c r="A29" t="s">
        <v>360</v>
      </c>
      <c r="B29" t="s">
        <v>387</v>
      </c>
      <c r="C29" s="187" t="s">
        <v>373</v>
      </c>
      <c r="D29" s="187">
        <v>0</v>
      </c>
      <c r="E29" s="231"/>
      <c r="F29" s="213"/>
      <c r="G29" s="221">
        <v>8221</v>
      </c>
      <c r="H29" s="222"/>
      <c r="I29" s="222"/>
      <c r="J29" s="222"/>
      <c r="K29" s="222"/>
      <c r="L29" s="222"/>
      <c r="M29" s="222"/>
      <c r="N29" s="222"/>
      <c r="O29" s="224"/>
    </row>
    <row r="30" spans="3:15" ht="12.75">
      <c r="C30" s="69" t="s">
        <v>374</v>
      </c>
      <c r="D30" s="69">
        <v>0</v>
      </c>
      <c r="E30" s="190"/>
      <c r="F30" s="213"/>
      <c r="G30" s="232">
        <v>39752</v>
      </c>
      <c r="H30" s="222"/>
      <c r="I30" s="222"/>
      <c r="J30" s="223"/>
      <c r="K30" s="223"/>
      <c r="L30" s="223"/>
      <c r="M30" s="223"/>
      <c r="N30" s="223"/>
      <c r="O30" s="239" t="s">
        <v>448</v>
      </c>
    </row>
    <row r="31" spans="1:15" ht="12.75">
      <c r="A31" s="211" t="s">
        <v>360</v>
      </c>
      <c r="B31" s="211" t="s">
        <v>388</v>
      </c>
      <c r="C31" s="212" t="s">
        <v>373</v>
      </c>
      <c r="D31" s="212">
        <v>168</v>
      </c>
      <c r="E31" s="212"/>
      <c r="F31" s="213"/>
      <c r="G31" s="230">
        <v>1302</v>
      </c>
      <c r="H31" s="220">
        <v>1451</v>
      </c>
      <c r="I31" s="222"/>
      <c r="J31" s="222"/>
      <c r="K31" s="222"/>
      <c r="L31" s="222"/>
      <c r="M31" s="222"/>
      <c r="N31" s="222"/>
      <c r="O31" s="222"/>
    </row>
    <row r="32" spans="1:15" ht="12.75">
      <c r="A32" s="211"/>
      <c r="B32" s="211"/>
      <c r="C32" s="189" t="s">
        <v>374</v>
      </c>
      <c r="D32" s="189">
        <v>52</v>
      </c>
      <c r="E32" s="189"/>
      <c r="F32" s="213"/>
      <c r="G32" s="230" t="s">
        <v>439</v>
      </c>
      <c r="H32" s="220" t="s">
        <v>439</v>
      </c>
      <c r="I32" s="222"/>
      <c r="J32" s="222"/>
      <c r="K32" s="222"/>
      <c r="L32" s="222"/>
      <c r="M32" s="222"/>
      <c r="N32" s="222"/>
      <c r="O32" s="222"/>
    </row>
    <row r="33" spans="1:15" ht="12.75">
      <c r="A33" t="s">
        <v>360</v>
      </c>
      <c r="B33" t="s">
        <v>389</v>
      </c>
      <c r="C33" s="187" t="s">
        <v>373</v>
      </c>
      <c r="D33" s="187">
        <v>560</v>
      </c>
      <c r="E33" s="213"/>
      <c r="F33" s="213"/>
      <c r="G33" s="235">
        <v>1353</v>
      </c>
      <c r="H33" s="235">
        <v>1501</v>
      </c>
      <c r="I33" s="235">
        <v>1702</v>
      </c>
      <c r="J33" s="222"/>
      <c r="K33" s="222"/>
      <c r="L33" s="222"/>
      <c r="M33" s="222"/>
      <c r="N33" s="222"/>
      <c r="O33" s="240" t="s">
        <v>444</v>
      </c>
    </row>
    <row r="34" spans="3:15" ht="12.75">
      <c r="C34" s="69" t="s">
        <v>374</v>
      </c>
      <c r="D34" s="69">
        <v>160</v>
      </c>
      <c r="E34" s="190"/>
      <c r="F34" s="213"/>
      <c r="G34" s="226">
        <v>39689</v>
      </c>
      <c r="H34" s="226">
        <v>39689</v>
      </c>
      <c r="I34" s="226">
        <v>39689</v>
      </c>
      <c r="J34" s="222"/>
      <c r="K34" s="222"/>
      <c r="L34" s="222"/>
      <c r="M34" s="222"/>
      <c r="N34" s="222"/>
      <c r="O34" s="239" t="s">
        <v>441</v>
      </c>
    </row>
    <row r="35" spans="1:15" ht="12.75">
      <c r="A35" t="s">
        <v>360</v>
      </c>
      <c r="B35" t="s">
        <v>390</v>
      </c>
      <c r="C35" s="187" t="s">
        <v>373</v>
      </c>
      <c r="D35" s="187">
        <v>41</v>
      </c>
      <c r="E35" s="213"/>
      <c r="F35" s="213"/>
      <c r="G35" s="221">
        <v>8221</v>
      </c>
      <c r="H35" s="222"/>
      <c r="I35" s="222"/>
      <c r="J35" s="222"/>
      <c r="K35" s="222"/>
      <c r="L35" s="222"/>
      <c r="M35" s="222"/>
      <c r="N35" s="222"/>
      <c r="O35" s="239" t="s">
        <v>448</v>
      </c>
    </row>
    <row r="36" spans="3:15" ht="12.75">
      <c r="C36" s="69" t="s">
        <v>374</v>
      </c>
      <c r="D36" s="69">
        <v>0</v>
      </c>
      <c r="E36" s="190"/>
      <c r="F36" s="213"/>
      <c r="G36" s="232">
        <v>39752</v>
      </c>
      <c r="H36" s="222"/>
      <c r="I36" s="222"/>
      <c r="J36" s="222"/>
      <c r="K36" s="222"/>
      <c r="L36" s="222"/>
      <c r="M36" s="222"/>
      <c r="N36" s="222"/>
      <c r="O36" s="222"/>
    </row>
    <row r="37" spans="1:15" ht="12.75">
      <c r="A37" s="211" t="s">
        <v>360</v>
      </c>
      <c r="B37" s="211" t="s">
        <v>391</v>
      </c>
      <c r="C37" s="212" t="s">
        <v>373</v>
      </c>
      <c r="D37" s="212">
        <v>32</v>
      </c>
      <c r="E37" s="212"/>
      <c r="F37" s="213"/>
      <c r="G37" s="234">
        <v>1204</v>
      </c>
      <c r="H37" s="234">
        <v>1429</v>
      </c>
      <c r="I37" s="234">
        <v>1431</v>
      </c>
      <c r="J37" s="234">
        <v>1805</v>
      </c>
      <c r="K37" s="234">
        <v>6101</v>
      </c>
      <c r="L37" s="234">
        <v>6301</v>
      </c>
      <c r="M37" s="222"/>
      <c r="N37" s="222"/>
      <c r="O37" s="222"/>
    </row>
    <row r="38" spans="1:15" ht="12.75">
      <c r="A38" s="211"/>
      <c r="B38" s="211"/>
      <c r="C38" s="189" t="s">
        <v>374</v>
      </c>
      <c r="D38" s="189">
        <f>SUM(E38:N38)</f>
        <v>0</v>
      </c>
      <c r="E38" s="189"/>
      <c r="F38" s="213"/>
      <c r="G38" s="230" t="s">
        <v>439</v>
      </c>
      <c r="H38" s="230" t="s">
        <v>439</v>
      </c>
      <c r="I38" s="230" t="s">
        <v>439</v>
      </c>
      <c r="J38" s="230" t="s">
        <v>439</v>
      </c>
      <c r="K38" s="230" t="s">
        <v>439</v>
      </c>
      <c r="L38" s="230" t="s">
        <v>439</v>
      </c>
      <c r="M38" s="222"/>
      <c r="N38" s="222"/>
      <c r="O38" s="222"/>
    </row>
    <row r="39" spans="1:15" ht="12.75">
      <c r="A39" t="s">
        <v>360</v>
      </c>
      <c r="B39" t="s">
        <v>392</v>
      </c>
      <c r="C39" s="187" t="s">
        <v>373</v>
      </c>
      <c r="D39" s="187">
        <v>41</v>
      </c>
      <c r="E39" s="213"/>
      <c r="F39" s="213"/>
      <c r="G39" s="235">
        <v>8205</v>
      </c>
      <c r="H39" s="222"/>
      <c r="I39" s="222"/>
      <c r="J39" s="222"/>
      <c r="K39" s="222"/>
      <c r="L39" s="222"/>
      <c r="M39" s="222"/>
      <c r="N39" s="222"/>
      <c r="O39" s="240" t="s">
        <v>444</v>
      </c>
    </row>
    <row r="40" spans="3:15" ht="12.75">
      <c r="C40" s="69" t="s">
        <v>374</v>
      </c>
      <c r="D40" s="69">
        <v>0</v>
      </c>
      <c r="E40" s="190"/>
      <c r="F40" s="213"/>
      <c r="G40" s="225">
        <v>39721</v>
      </c>
      <c r="H40" s="222"/>
      <c r="I40" s="222"/>
      <c r="J40" s="222"/>
      <c r="K40" s="222"/>
      <c r="L40" s="222"/>
      <c r="M40" s="222"/>
      <c r="N40" s="222"/>
      <c r="O40" s="222"/>
    </row>
    <row r="41" spans="1:15" ht="12.75">
      <c r="A41" t="s">
        <v>360</v>
      </c>
      <c r="B41" s="192" t="s">
        <v>393</v>
      </c>
      <c r="C41" s="188" t="s">
        <v>373</v>
      </c>
      <c r="D41" s="188">
        <v>160</v>
      </c>
      <c r="E41" s="213"/>
      <c r="F41" s="213"/>
      <c r="G41" s="237">
        <v>8204</v>
      </c>
      <c r="H41" s="222"/>
      <c r="I41" s="222"/>
      <c r="J41" s="222"/>
      <c r="K41" s="222"/>
      <c r="L41" s="222"/>
      <c r="M41" s="222"/>
      <c r="N41" s="222"/>
      <c r="O41" s="240" t="s">
        <v>443</v>
      </c>
    </row>
    <row r="42" spans="2:15" ht="12.75">
      <c r="B42" s="192"/>
      <c r="C42" s="186" t="s">
        <v>374</v>
      </c>
      <c r="D42" s="186">
        <v>160</v>
      </c>
      <c r="E42" s="190"/>
      <c r="F42" s="213"/>
      <c r="G42" s="232">
        <v>39710</v>
      </c>
      <c r="H42" s="222"/>
      <c r="I42" s="222"/>
      <c r="J42" s="222"/>
      <c r="K42" s="222"/>
      <c r="L42" s="222"/>
      <c r="M42" s="222"/>
      <c r="N42" s="222"/>
      <c r="O42" s="222"/>
    </row>
    <row r="43" spans="1:15" ht="12.75">
      <c r="A43" s="211" t="s">
        <v>360</v>
      </c>
      <c r="B43" s="211" t="s">
        <v>394</v>
      </c>
      <c r="C43" s="212" t="s">
        <v>373</v>
      </c>
      <c r="D43" s="212">
        <v>20</v>
      </c>
      <c r="E43" s="212"/>
      <c r="F43" s="213"/>
      <c r="G43" s="234">
        <v>8501</v>
      </c>
      <c r="H43" s="222"/>
      <c r="I43" s="222"/>
      <c r="J43" s="222"/>
      <c r="K43" s="222"/>
      <c r="L43" s="222"/>
      <c r="M43" s="222"/>
      <c r="N43" s="222"/>
      <c r="O43" s="222"/>
    </row>
    <row r="44" spans="1:15" ht="12.75">
      <c r="A44" s="211"/>
      <c r="B44" s="211"/>
      <c r="C44" s="189" t="s">
        <v>374</v>
      </c>
      <c r="D44" s="189">
        <f>SUM(E44:N44)</f>
        <v>0</v>
      </c>
      <c r="E44" s="189"/>
      <c r="F44" s="213"/>
      <c r="G44" s="230" t="s">
        <v>439</v>
      </c>
      <c r="H44" s="222"/>
      <c r="I44" s="222"/>
      <c r="J44" s="222"/>
      <c r="K44" s="222"/>
      <c r="L44" s="222"/>
      <c r="M44" s="222"/>
      <c r="N44" s="222"/>
      <c r="O44" s="222"/>
    </row>
    <row r="45" spans="1:15" ht="12.75">
      <c r="A45" t="s">
        <v>360</v>
      </c>
      <c r="B45" t="s">
        <v>395</v>
      </c>
      <c r="C45" s="187" t="s">
        <v>373</v>
      </c>
      <c r="D45" s="187">
        <v>100</v>
      </c>
      <c r="E45" s="213"/>
      <c r="F45" s="213"/>
      <c r="G45" s="235">
        <v>8221</v>
      </c>
      <c r="H45" s="222"/>
      <c r="I45" s="222"/>
      <c r="J45" s="222"/>
      <c r="K45" s="222"/>
      <c r="L45" s="222"/>
      <c r="M45" s="222"/>
      <c r="N45" s="222"/>
      <c r="O45" s="222"/>
    </row>
    <row r="46" spans="3:15" ht="12.75">
      <c r="C46" s="69" t="s">
        <v>374</v>
      </c>
      <c r="D46" s="69">
        <v>0</v>
      </c>
      <c r="E46" s="190"/>
      <c r="F46" s="213"/>
      <c r="G46" s="225">
        <v>39813</v>
      </c>
      <c r="H46" s="222"/>
      <c r="I46" s="222"/>
      <c r="J46" s="222"/>
      <c r="K46" s="222"/>
      <c r="L46" s="222"/>
      <c r="M46" s="222"/>
      <c r="N46" s="222"/>
      <c r="O46" s="222"/>
    </row>
    <row r="47" spans="1:15" ht="12.75">
      <c r="A47" t="s">
        <v>360</v>
      </c>
      <c r="B47" t="s">
        <v>396</v>
      </c>
      <c r="C47" s="187" t="s">
        <v>373</v>
      </c>
      <c r="D47" s="187">
        <v>160</v>
      </c>
      <c r="E47" s="213"/>
      <c r="F47" s="213"/>
      <c r="G47" s="235">
        <v>8221</v>
      </c>
      <c r="H47" s="222"/>
      <c r="I47" s="222"/>
      <c r="J47" s="222"/>
      <c r="K47" s="222"/>
      <c r="L47" s="222"/>
      <c r="M47" s="222"/>
      <c r="N47" s="222"/>
      <c r="O47" s="222"/>
    </row>
    <row r="48" spans="3:15" ht="12.75">
      <c r="C48" s="69" t="s">
        <v>374</v>
      </c>
      <c r="D48" s="69">
        <v>26</v>
      </c>
      <c r="E48" s="190"/>
      <c r="F48" s="213"/>
      <c r="G48" s="225">
        <v>39813</v>
      </c>
      <c r="H48" s="222"/>
      <c r="I48" s="222"/>
      <c r="J48" s="222"/>
      <c r="K48" s="222"/>
      <c r="L48" s="222"/>
      <c r="M48" s="222"/>
      <c r="N48" s="222"/>
      <c r="O48" s="222"/>
    </row>
    <row r="49" spans="1:15" ht="12.75">
      <c r="A49" t="s">
        <v>360</v>
      </c>
      <c r="B49" t="s">
        <v>397</v>
      </c>
      <c r="C49" s="187" t="s">
        <v>373</v>
      </c>
      <c r="D49" s="187">
        <v>99</v>
      </c>
      <c r="E49" s="213"/>
      <c r="F49" s="213"/>
      <c r="G49" s="222"/>
      <c r="H49" s="222"/>
      <c r="I49" s="222"/>
      <c r="J49" s="222"/>
      <c r="K49" s="222"/>
      <c r="L49" s="222"/>
      <c r="M49" s="222"/>
      <c r="N49" s="222"/>
      <c r="O49" s="222"/>
    </row>
    <row r="50" spans="3:15" ht="12.75">
      <c r="C50" s="69" t="s">
        <v>374</v>
      </c>
      <c r="D50" s="69">
        <f>SUM(E50:N50)</f>
        <v>0</v>
      </c>
      <c r="E50" s="190"/>
      <c r="F50" s="213"/>
      <c r="G50" s="222"/>
      <c r="H50" s="222"/>
      <c r="I50" s="222"/>
      <c r="J50" s="222"/>
      <c r="K50" s="222"/>
      <c r="L50" s="222"/>
      <c r="M50" s="222"/>
      <c r="N50" s="222"/>
      <c r="O50" s="222"/>
    </row>
    <row r="51" spans="1:15" ht="12.75">
      <c r="A51" t="s">
        <v>360</v>
      </c>
      <c r="B51" t="s">
        <v>398</v>
      </c>
      <c r="C51" s="187" t="s">
        <v>373</v>
      </c>
      <c r="D51" s="187">
        <v>57</v>
      </c>
      <c r="E51" s="213"/>
      <c r="F51" s="213"/>
      <c r="G51" s="235">
        <v>1361</v>
      </c>
      <c r="H51" s="235">
        <v>1354</v>
      </c>
      <c r="I51" s="235">
        <v>6401</v>
      </c>
      <c r="J51" s="222"/>
      <c r="K51" s="222"/>
      <c r="L51" s="222"/>
      <c r="M51" s="222"/>
      <c r="N51" s="222"/>
      <c r="O51" s="222"/>
    </row>
    <row r="52" spans="3:15" ht="12.75">
      <c r="C52" s="69" t="s">
        <v>374</v>
      </c>
      <c r="D52" s="241">
        <v>8</v>
      </c>
      <c r="E52" s="190"/>
      <c r="F52" s="213"/>
      <c r="G52" s="225">
        <v>39736</v>
      </c>
      <c r="H52" s="225">
        <v>39736</v>
      </c>
      <c r="I52" s="225">
        <v>39721</v>
      </c>
      <c r="J52" s="222"/>
      <c r="K52" s="222"/>
      <c r="L52" s="222"/>
      <c r="M52" s="222"/>
      <c r="N52" s="222"/>
      <c r="O52" s="222"/>
    </row>
    <row r="53" spans="1:15" ht="12.75">
      <c r="A53" t="s">
        <v>360</v>
      </c>
      <c r="B53" t="s">
        <v>399</v>
      </c>
      <c r="C53" s="187" t="s">
        <v>373</v>
      </c>
      <c r="D53" s="187">
        <v>41</v>
      </c>
      <c r="E53" s="213"/>
      <c r="F53" s="213"/>
      <c r="G53" s="235">
        <v>3101</v>
      </c>
      <c r="H53" s="222"/>
      <c r="I53" s="222"/>
      <c r="J53" s="222"/>
      <c r="K53" s="222"/>
      <c r="L53" s="222"/>
      <c r="M53" s="222"/>
      <c r="N53" s="222"/>
      <c r="O53" s="222"/>
    </row>
    <row r="54" spans="3:15" ht="12.75">
      <c r="C54" s="69" t="s">
        <v>374</v>
      </c>
      <c r="D54" s="69">
        <v>0</v>
      </c>
      <c r="E54" s="190"/>
      <c r="F54" s="213"/>
      <c r="G54" s="225">
        <v>39706</v>
      </c>
      <c r="H54" s="222"/>
      <c r="I54" s="222"/>
      <c r="J54" s="222"/>
      <c r="K54" s="222"/>
      <c r="L54" s="222"/>
      <c r="M54" s="222"/>
      <c r="N54" s="222"/>
      <c r="O54" s="222"/>
    </row>
    <row r="55" spans="1:15" ht="12.75">
      <c r="A55" t="s">
        <v>360</v>
      </c>
      <c r="B55" t="s">
        <v>400</v>
      </c>
      <c r="C55" s="187" t="s">
        <v>373</v>
      </c>
      <c r="D55" s="187">
        <v>24</v>
      </c>
      <c r="E55" s="213"/>
      <c r="F55" s="213"/>
      <c r="G55" s="235">
        <v>1459</v>
      </c>
      <c r="H55" s="222"/>
      <c r="I55" s="222"/>
      <c r="J55" s="222"/>
      <c r="K55" s="222"/>
      <c r="L55" s="222"/>
      <c r="M55" s="222"/>
      <c r="N55" s="222"/>
      <c r="O55" s="222"/>
    </row>
    <row r="56" spans="3:15" ht="12.75">
      <c r="C56" s="69" t="s">
        <v>374</v>
      </c>
      <c r="D56" s="69">
        <v>0</v>
      </c>
      <c r="E56" s="190"/>
      <c r="F56" s="213"/>
      <c r="G56" s="225">
        <v>39721</v>
      </c>
      <c r="H56" s="222"/>
      <c r="I56" s="222"/>
      <c r="J56" s="222"/>
      <c r="K56" s="222"/>
      <c r="L56" s="222"/>
      <c r="M56" s="222"/>
      <c r="N56" s="222"/>
      <c r="O56" s="222"/>
    </row>
    <row r="57" spans="1:15" ht="12.75">
      <c r="A57" t="s">
        <v>360</v>
      </c>
      <c r="B57" t="s">
        <v>401</v>
      </c>
      <c r="C57" s="187" t="s">
        <v>373</v>
      </c>
      <c r="D57" s="187">
        <v>336</v>
      </c>
      <c r="E57" s="213"/>
      <c r="F57" s="213"/>
      <c r="G57" s="235">
        <v>1354</v>
      </c>
      <c r="H57" s="235">
        <v>1803</v>
      </c>
      <c r="I57" s="235">
        <v>1810</v>
      </c>
      <c r="J57" s="221">
        <v>8221</v>
      </c>
      <c r="K57" s="222"/>
      <c r="L57" s="222"/>
      <c r="M57" s="222"/>
      <c r="N57" s="222"/>
      <c r="O57" s="239" t="s">
        <v>448</v>
      </c>
    </row>
    <row r="58" spans="3:15" ht="12.75">
      <c r="C58" s="69" t="s">
        <v>374</v>
      </c>
      <c r="D58" s="69">
        <v>40</v>
      </c>
      <c r="E58" s="190"/>
      <c r="F58" s="213"/>
      <c r="G58" s="225">
        <v>39736</v>
      </c>
      <c r="H58" s="225">
        <v>39736</v>
      </c>
      <c r="I58" s="225">
        <v>39767</v>
      </c>
      <c r="J58" s="232">
        <v>39752</v>
      </c>
      <c r="K58" s="222"/>
      <c r="L58" s="222"/>
      <c r="M58" s="222"/>
      <c r="N58" s="222"/>
      <c r="O58" s="222"/>
    </row>
    <row r="59" spans="1:15" ht="12.75">
      <c r="A59" t="s">
        <v>360</v>
      </c>
      <c r="B59" t="s">
        <v>402</v>
      </c>
      <c r="C59" s="187" t="s">
        <v>373</v>
      </c>
      <c r="D59" s="187">
        <v>16</v>
      </c>
      <c r="E59" s="213"/>
      <c r="F59" s="213"/>
      <c r="G59" s="235">
        <v>7301</v>
      </c>
      <c r="H59" s="235">
        <v>7401</v>
      </c>
      <c r="I59" s="235">
        <v>7501</v>
      </c>
      <c r="J59" s="235">
        <v>7503</v>
      </c>
      <c r="K59" s="235">
        <v>7601</v>
      </c>
      <c r="L59" s="235">
        <v>8215</v>
      </c>
      <c r="M59" s="235">
        <v>8220</v>
      </c>
      <c r="N59" s="222"/>
      <c r="O59" s="222"/>
    </row>
    <row r="60" spans="3:15" ht="12.75">
      <c r="C60" s="69" t="s">
        <v>374</v>
      </c>
      <c r="D60" s="69">
        <v>0</v>
      </c>
      <c r="E60" s="190"/>
      <c r="F60" s="213"/>
      <c r="G60" s="225">
        <v>39715</v>
      </c>
      <c r="H60" s="225">
        <v>39715</v>
      </c>
      <c r="I60" s="225">
        <v>39715</v>
      </c>
      <c r="J60" s="225">
        <v>39715</v>
      </c>
      <c r="K60" s="225">
        <v>39715</v>
      </c>
      <c r="L60" s="225">
        <v>39715</v>
      </c>
      <c r="M60" s="225">
        <v>39813</v>
      </c>
      <c r="N60" s="222"/>
      <c r="O60" s="222"/>
    </row>
    <row r="61" spans="1:15" ht="12.75">
      <c r="A61" t="s">
        <v>360</v>
      </c>
      <c r="B61" t="s">
        <v>403</v>
      </c>
      <c r="C61" s="187" t="s">
        <v>373</v>
      </c>
      <c r="D61" s="187">
        <v>16</v>
      </c>
      <c r="E61" s="213"/>
      <c r="F61" s="213"/>
      <c r="G61" s="235">
        <v>8205</v>
      </c>
      <c r="H61" s="222"/>
      <c r="I61" s="222"/>
      <c r="J61" s="222"/>
      <c r="K61" s="222"/>
      <c r="L61" s="222"/>
      <c r="M61" s="222"/>
      <c r="N61" s="222"/>
      <c r="O61" s="239" t="s">
        <v>445</v>
      </c>
    </row>
    <row r="62" spans="3:15" ht="12.75">
      <c r="C62" s="69" t="s">
        <v>374</v>
      </c>
      <c r="D62" s="69">
        <v>0</v>
      </c>
      <c r="E62" s="190"/>
      <c r="F62" s="213"/>
      <c r="G62" s="225">
        <v>39721</v>
      </c>
      <c r="H62" s="222"/>
      <c r="I62" s="222"/>
      <c r="J62" s="222"/>
      <c r="K62" s="222"/>
      <c r="L62" s="222"/>
      <c r="M62" s="222"/>
      <c r="N62" s="222"/>
      <c r="O62" s="222"/>
    </row>
    <row r="63" spans="1:15" ht="12.75">
      <c r="A63" t="s">
        <v>360</v>
      </c>
      <c r="B63" t="s">
        <v>404</v>
      </c>
      <c r="C63" s="187" t="s">
        <v>373</v>
      </c>
      <c r="D63" s="187">
        <v>220</v>
      </c>
      <c r="E63" s="213"/>
      <c r="F63" s="213"/>
      <c r="G63" s="235">
        <v>1701</v>
      </c>
      <c r="H63" s="235">
        <v>1804</v>
      </c>
      <c r="I63" s="235">
        <v>6201</v>
      </c>
      <c r="J63" s="222"/>
      <c r="K63" s="222"/>
      <c r="L63" s="222"/>
      <c r="M63" s="222"/>
      <c r="N63" s="222"/>
      <c r="O63" s="222"/>
    </row>
    <row r="64" spans="3:15" ht="12.75">
      <c r="C64" s="69" t="s">
        <v>374</v>
      </c>
      <c r="D64" s="69">
        <v>17</v>
      </c>
      <c r="E64" s="190"/>
      <c r="F64" s="213"/>
      <c r="G64" s="225">
        <v>39704</v>
      </c>
      <c r="H64" s="225">
        <v>39704</v>
      </c>
      <c r="I64" s="225">
        <v>39704</v>
      </c>
      <c r="J64" s="222"/>
      <c r="K64" s="222"/>
      <c r="L64" s="222"/>
      <c r="M64" s="222"/>
      <c r="N64" s="222"/>
      <c r="O64" s="222"/>
    </row>
    <row r="65" spans="1:15" ht="12.75">
      <c r="A65" t="s">
        <v>360</v>
      </c>
      <c r="B65" s="192" t="s">
        <v>405</v>
      </c>
      <c r="C65" s="188" t="s">
        <v>373</v>
      </c>
      <c r="D65" s="188">
        <v>160</v>
      </c>
      <c r="E65" s="213"/>
      <c r="F65" s="213"/>
      <c r="G65" s="235">
        <v>4101</v>
      </c>
      <c r="H65" s="235">
        <v>4301</v>
      </c>
      <c r="I65" s="235">
        <v>4401</v>
      </c>
      <c r="J65" s="235">
        <v>4501</v>
      </c>
      <c r="K65" s="222"/>
      <c r="L65" s="222"/>
      <c r="M65" s="222"/>
      <c r="N65" s="222"/>
      <c r="O65" s="240" t="s">
        <v>446</v>
      </c>
    </row>
    <row r="66" spans="2:15" ht="12.75">
      <c r="B66" s="192"/>
      <c r="C66" s="186" t="s">
        <v>374</v>
      </c>
      <c r="D66" s="186">
        <v>39</v>
      </c>
      <c r="E66" s="190"/>
      <c r="F66" s="213"/>
      <c r="G66" s="225">
        <v>39721</v>
      </c>
      <c r="H66" s="225">
        <v>39721</v>
      </c>
      <c r="I66" s="225">
        <v>39721</v>
      </c>
      <c r="J66" s="225">
        <v>39721</v>
      </c>
      <c r="K66" s="222"/>
      <c r="L66" s="222"/>
      <c r="M66" s="222"/>
      <c r="N66" s="222"/>
      <c r="O66" s="222"/>
    </row>
    <row r="67" spans="1:15" ht="12.75">
      <c r="A67" t="s">
        <v>360</v>
      </c>
      <c r="B67" t="s">
        <v>406</v>
      </c>
      <c r="C67" s="187" t="s">
        <v>373</v>
      </c>
      <c r="D67" s="187">
        <v>160</v>
      </c>
      <c r="E67" s="213"/>
      <c r="F67" s="213"/>
      <c r="G67" s="235">
        <v>8221</v>
      </c>
      <c r="H67" s="222"/>
      <c r="I67" s="222"/>
      <c r="J67" s="222"/>
      <c r="K67" s="222"/>
      <c r="L67" s="222"/>
      <c r="M67" s="222"/>
      <c r="N67" s="222"/>
      <c r="O67" s="239" t="s">
        <v>447</v>
      </c>
    </row>
    <row r="68" spans="3:15" ht="12.75">
      <c r="C68" s="69" t="s">
        <v>374</v>
      </c>
      <c r="D68" s="69">
        <v>0</v>
      </c>
      <c r="E68" s="190"/>
      <c r="F68" s="213"/>
      <c r="G68" s="225">
        <v>39782</v>
      </c>
      <c r="H68" s="222"/>
      <c r="I68" s="222"/>
      <c r="J68" s="222"/>
      <c r="K68" s="222"/>
      <c r="L68" s="222"/>
      <c r="M68" s="222"/>
      <c r="N68" s="222"/>
      <c r="O68" s="222"/>
    </row>
    <row r="69" spans="1:15" ht="12.75">
      <c r="A69" t="s">
        <v>360</v>
      </c>
      <c r="B69" t="s">
        <v>407</v>
      </c>
      <c r="C69" s="187" t="s">
        <v>373</v>
      </c>
      <c r="D69" s="187">
        <v>336</v>
      </c>
      <c r="E69" s="213"/>
      <c r="F69" s="213"/>
      <c r="G69" s="221">
        <v>1354</v>
      </c>
      <c r="H69" s="221">
        <v>1803</v>
      </c>
      <c r="I69" s="221">
        <v>1810</v>
      </c>
      <c r="J69" s="221">
        <v>8221</v>
      </c>
      <c r="K69" s="222"/>
      <c r="L69" s="222"/>
      <c r="M69" s="222"/>
      <c r="N69" s="222"/>
      <c r="O69" s="239" t="s">
        <v>448</v>
      </c>
    </row>
    <row r="70" spans="3:15" ht="12.75">
      <c r="C70" s="69" t="s">
        <v>374</v>
      </c>
      <c r="D70" s="69">
        <v>0</v>
      </c>
      <c r="E70" s="190"/>
      <c r="F70" s="213"/>
      <c r="G70" s="232">
        <v>39736</v>
      </c>
      <c r="H70" s="232">
        <v>39736</v>
      </c>
      <c r="I70" s="232">
        <v>39767</v>
      </c>
      <c r="J70" s="232">
        <v>39752</v>
      </c>
      <c r="K70" s="222"/>
      <c r="L70" s="222"/>
      <c r="M70" s="222"/>
      <c r="N70" s="222"/>
      <c r="O70" s="222"/>
    </row>
    <row r="71" spans="1:15" ht="12.75">
      <c r="A71" s="211" t="s">
        <v>360</v>
      </c>
      <c r="B71" s="211" t="s">
        <v>408</v>
      </c>
      <c r="C71" s="212" t="s">
        <v>373</v>
      </c>
      <c r="D71" s="212">
        <v>79</v>
      </c>
      <c r="E71" s="212"/>
      <c r="F71" s="213"/>
      <c r="G71" s="234">
        <v>5101</v>
      </c>
      <c r="H71" s="234">
        <v>5201</v>
      </c>
      <c r="I71" s="234">
        <v>5301</v>
      </c>
      <c r="J71" s="234">
        <v>5401</v>
      </c>
      <c r="K71" s="234">
        <v>5501</v>
      </c>
      <c r="L71" s="234">
        <v>5601</v>
      </c>
      <c r="M71" s="234">
        <v>5801</v>
      </c>
      <c r="N71" s="222"/>
      <c r="O71" s="222"/>
    </row>
    <row r="72" spans="1:15" ht="12.75">
      <c r="A72" s="211"/>
      <c r="B72" s="211"/>
      <c r="C72" s="189" t="s">
        <v>374</v>
      </c>
      <c r="D72" s="189">
        <v>0</v>
      </c>
      <c r="E72" s="189"/>
      <c r="F72" s="213"/>
      <c r="G72" s="230" t="s">
        <v>439</v>
      </c>
      <c r="H72" s="230" t="s">
        <v>439</v>
      </c>
      <c r="I72" s="230" t="s">
        <v>439</v>
      </c>
      <c r="J72" s="230" t="s">
        <v>439</v>
      </c>
      <c r="K72" s="230" t="s">
        <v>439</v>
      </c>
      <c r="L72" s="230" t="s">
        <v>439</v>
      </c>
      <c r="M72" s="230" t="s">
        <v>439</v>
      </c>
      <c r="N72" s="222"/>
      <c r="O72" s="222"/>
    </row>
    <row r="73" spans="1:15" ht="12.75">
      <c r="A73" t="s">
        <v>360</v>
      </c>
      <c r="B73" t="s">
        <v>409</v>
      </c>
      <c r="C73" s="187" t="s">
        <v>373</v>
      </c>
      <c r="D73" s="187">
        <v>762</v>
      </c>
      <c r="E73" s="213"/>
      <c r="F73" s="213"/>
      <c r="G73" s="235">
        <v>8221</v>
      </c>
      <c r="H73" s="222"/>
      <c r="I73" s="222"/>
      <c r="J73" s="222"/>
      <c r="K73" s="222"/>
      <c r="L73" s="222"/>
      <c r="M73" s="222"/>
      <c r="N73" s="222"/>
      <c r="O73" s="222"/>
    </row>
    <row r="74" spans="3:15" ht="12.75">
      <c r="C74" s="69" t="s">
        <v>374</v>
      </c>
      <c r="D74" s="69">
        <v>304</v>
      </c>
      <c r="E74" s="186">
        <v>304</v>
      </c>
      <c r="F74" s="213"/>
      <c r="G74" s="225">
        <v>39813</v>
      </c>
      <c r="H74" s="222"/>
      <c r="I74" s="222"/>
      <c r="J74" s="222"/>
      <c r="K74" s="222"/>
      <c r="L74" s="222"/>
      <c r="M74" s="222"/>
      <c r="N74" s="222"/>
      <c r="O74" s="222"/>
    </row>
    <row r="75" spans="1:15" ht="12.75">
      <c r="A75" t="s">
        <v>360</v>
      </c>
      <c r="B75" t="s">
        <v>410</v>
      </c>
      <c r="C75" s="187" t="s">
        <v>373</v>
      </c>
      <c r="D75" s="187">
        <v>16</v>
      </c>
      <c r="E75" s="213"/>
      <c r="F75" s="213"/>
      <c r="G75" s="235">
        <v>8205</v>
      </c>
      <c r="H75" s="222"/>
      <c r="I75" s="222"/>
      <c r="J75" s="222"/>
      <c r="K75" s="222"/>
      <c r="L75" s="222"/>
      <c r="M75" s="222"/>
      <c r="N75" s="222"/>
      <c r="O75" s="222"/>
    </row>
    <row r="76" spans="3:15" ht="12.75">
      <c r="C76" s="69" t="s">
        <v>374</v>
      </c>
      <c r="D76" s="69">
        <v>0</v>
      </c>
      <c r="E76" s="190"/>
      <c r="F76" s="213"/>
      <c r="G76" s="225">
        <v>39721</v>
      </c>
      <c r="H76" s="222"/>
      <c r="I76" s="222"/>
      <c r="J76" s="222"/>
      <c r="K76" s="222"/>
      <c r="L76" s="222"/>
      <c r="M76" s="222"/>
      <c r="N76" s="222"/>
      <c r="O76" s="222"/>
    </row>
    <row r="77" spans="1:15" ht="12.75">
      <c r="A77" t="s">
        <v>360</v>
      </c>
      <c r="B77" t="s">
        <v>411</v>
      </c>
      <c r="C77" s="187" t="s">
        <v>373</v>
      </c>
      <c r="D77" s="187">
        <v>41</v>
      </c>
      <c r="E77" s="213"/>
      <c r="F77" s="213"/>
      <c r="G77" s="235">
        <v>3101</v>
      </c>
      <c r="H77" s="235">
        <v>3601</v>
      </c>
      <c r="I77" s="235">
        <v>3801</v>
      </c>
      <c r="J77" s="235">
        <v>3901</v>
      </c>
      <c r="K77" s="222"/>
      <c r="L77" s="222"/>
      <c r="M77" s="222"/>
      <c r="N77" s="222"/>
      <c r="O77" s="222"/>
    </row>
    <row r="78" spans="3:15" ht="12.75">
      <c r="C78" s="69" t="s">
        <v>374</v>
      </c>
      <c r="D78" s="69">
        <v>0</v>
      </c>
      <c r="E78" s="190"/>
      <c r="F78" s="213"/>
      <c r="G78" s="225">
        <v>39706</v>
      </c>
      <c r="H78" s="225">
        <v>39706</v>
      </c>
      <c r="I78" s="225">
        <v>39706</v>
      </c>
      <c r="J78" s="225">
        <v>39706</v>
      </c>
      <c r="K78" s="222"/>
      <c r="L78" s="222"/>
      <c r="M78" s="222"/>
      <c r="N78" s="222"/>
      <c r="O78" s="222"/>
    </row>
    <row r="79" spans="1:15" ht="12.75">
      <c r="A79" t="s">
        <v>360</v>
      </c>
      <c r="B79" t="s">
        <v>412</v>
      </c>
      <c r="C79" s="187" t="s">
        <v>373</v>
      </c>
      <c r="D79" s="187">
        <v>160</v>
      </c>
      <c r="E79" s="213"/>
      <c r="F79" s="213"/>
      <c r="G79" s="235">
        <v>8221</v>
      </c>
      <c r="H79" s="222"/>
      <c r="I79" s="222"/>
      <c r="J79" s="222"/>
      <c r="K79" s="222"/>
      <c r="L79" s="222"/>
      <c r="M79" s="222"/>
      <c r="N79" s="222"/>
      <c r="O79" s="222"/>
    </row>
    <row r="80" spans="3:15" ht="12.75">
      <c r="C80" s="69" t="s">
        <v>374</v>
      </c>
      <c r="D80" s="69">
        <v>0</v>
      </c>
      <c r="E80" s="190"/>
      <c r="F80" s="213"/>
      <c r="G80" s="225">
        <v>39813</v>
      </c>
      <c r="H80" s="222"/>
      <c r="I80" s="222"/>
      <c r="J80" s="222"/>
      <c r="K80" s="222"/>
      <c r="L80" s="222"/>
      <c r="M80" s="222"/>
      <c r="N80" s="222"/>
      <c r="O80" s="222"/>
    </row>
    <row r="81" spans="1:15" ht="12.75">
      <c r="A81" t="s">
        <v>360</v>
      </c>
      <c r="B81" t="s">
        <v>413</v>
      </c>
      <c r="C81" s="187" t="s">
        <v>373</v>
      </c>
      <c r="D81" s="187">
        <v>200</v>
      </c>
      <c r="E81" s="213"/>
      <c r="F81" s="213"/>
      <c r="G81" s="235">
        <v>8221</v>
      </c>
      <c r="H81" s="222"/>
      <c r="I81" s="222"/>
      <c r="J81" s="222"/>
      <c r="K81" s="222"/>
      <c r="L81" s="222"/>
      <c r="M81" s="222"/>
      <c r="N81" s="222"/>
      <c r="O81" s="222"/>
    </row>
    <row r="82" spans="3:15" ht="12.75">
      <c r="C82" s="69" t="s">
        <v>374</v>
      </c>
      <c r="D82" s="69">
        <v>0</v>
      </c>
      <c r="E82" s="190"/>
      <c r="F82" s="213"/>
      <c r="G82" s="225">
        <v>39813</v>
      </c>
      <c r="H82" s="222"/>
      <c r="I82" s="222"/>
      <c r="J82" s="222"/>
      <c r="K82" s="222"/>
      <c r="L82" s="222"/>
      <c r="M82" s="222"/>
      <c r="N82" s="222"/>
      <c r="O82" s="222"/>
    </row>
    <row r="83" spans="1:15" ht="12.75">
      <c r="A83" t="s">
        <v>360</v>
      </c>
      <c r="B83" t="s">
        <v>414</v>
      </c>
      <c r="C83" s="187" t="s">
        <v>373</v>
      </c>
      <c r="D83" s="187">
        <v>0</v>
      </c>
      <c r="E83" s="213"/>
      <c r="F83" s="213"/>
      <c r="G83" s="235">
        <v>8221</v>
      </c>
      <c r="H83" s="222"/>
      <c r="I83" s="222"/>
      <c r="J83" s="222"/>
      <c r="K83" s="222"/>
      <c r="L83" s="222"/>
      <c r="M83" s="222"/>
      <c r="N83" s="222"/>
      <c r="O83" s="222"/>
    </row>
    <row r="84" spans="3:15" ht="12.75">
      <c r="C84" s="69" t="s">
        <v>374</v>
      </c>
      <c r="D84" s="69">
        <v>100</v>
      </c>
      <c r="E84" s="190"/>
      <c r="F84" s="213"/>
      <c r="G84" s="225">
        <v>39813</v>
      </c>
      <c r="H84" s="222"/>
      <c r="I84" s="222"/>
      <c r="J84" s="222"/>
      <c r="K84" s="222"/>
      <c r="L84" s="222"/>
      <c r="M84" s="222"/>
      <c r="N84" s="222"/>
      <c r="O84" s="222"/>
    </row>
    <row r="85" spans="1:15" ht="12.75">
      <c r="A85" t="s">
        <v>360</v>
      </c>
      <c r="B85" t="s">
        <v>415</v>
      </c>
      <c r="C85" s="187" t="s">
        <v>373</v>
      </c>
      <c r="D85" s="187">
        <v>215</v>
      </c>
      <c r="E85" s="213"/>
      <c r="F85" s="213"/>
      <c r="G85" s="235">
        <v>8221</v>
      </c>
      <c r="H85" s="222"/>
      <c r="I85" s="222"/>
      <c r="J85" s="222"/>
      <c r="K85" s="222"/>
      <c r="L85" s="222"/>
      <c r="M85" s="222"/>
      <c r="N85" s="222"/>
      <c r="O85" s="222"/>
    </row>
    <row r="86" spans="3:15" ht="12.75">
      <c r="C86" s="69" t="s">
        <v>374</v>
      </c>
      <c r="D86" s="69">
        <v>0</v>
      </c>
      <c r="E86" s="190"/>
      <c r="F86" s="213"/>
      <c r="G86" s="225">
        <v>39782</v>
      </c>
      <c r="H86" s="222"/>
      <c r="I86" s="222"/>
      <c r="J86" s="222"/>
      <c r="K86" s="222"/>
      <c r="L86" s="222"/>
      <c r="M86" s="222"/>
      <c r="N86" s="222"/>
      <c r="O86" s="222"/>
    </row>
    <row r="87" spans="1:15" ht="12.75">
      <c r="A87" t="s">
        <v>360</v>
      </c>
      <c r="B87" t="s">
        <v>416</v>
      </c>
      <c r="C87" s="187" t="s">
        <v>373</v>
      </c>
      <c r="D87" s="187">
        <v>158</v>
      </c>
      <c r="E87" s="213"/>
      <c r="F87" s="213"/>
      <c r="G87" s="235">
        <v>1802</v>
      </c>
      <c r="H87" s="235">
        <v>1810</v>
      </c>
      <c r="I87" s="218">
        <v>1815</v>
      </c>
      <c r="J87" s="222"/>
      <c r="K87" s="222"/>
      <c r="L87" s="222"/>
      <c r="M87" s="222"/>
      <c r="N87" s="222"/>
      <c r="O87" s="239" t="s">
        <v>449</v>
      </c>
    </row>
    <row r="88" spans="3:15" ht="12.75">
      <c r="C88" s="69" t="s">
        <v>374</v>
      </c>
      <c r="D88" s="69">
        <v>0</v>
      </c>
      <c r="E88" s="190"/>
      <c r="F88" s="213"/>
      <c r="G88" s="225">
        <v>39767</v>
      </c>
      <c r="H88" s="225">
        <v>39767</v>
      </c>
      <c r="I88" s="225">
        <v>39767</v>
      </c>
      <c r="J88" s="222"/>
      <c r="K88" s="222"/>
      <c r="L88" s="222"/>
      <c r="M88" s="222"/>
      <c r="N88" s="222"/>
      <c r="O88" s="222"/>
    </row>
    <row r="89" spans="1:15" ht="12.75">
      <c r="A89" t="s">
        <v>360</v>
      </c>
      <c r="B89" t="s">
        <v>417</v>
      </c>
      <c r="C89" s="187" t="s">
        <v>373</v>
      </c>
      <c r="D89" s="187">
        <v>160</v>
      </c>
      <c r="E89" s="213"/>
      <c r="F89" s="213"/>
      <c r="G89" s="237">
        <v>8204</v>
      </c>
      <c r="H89" s="222"/>
      <c r="I89" s="222"/>
      <c r="J89" s="222"/>
      <c r="K89" s="222"/>
      <c r="L89" s="222"/>
      <c r="M89" s="222"/>
      <c r="N89" s="222"/>
      <c r="O89" s="240" t="s">
        <v>443</v>
      </c>
    </row>
    <row r="90" spans="3:15" ht="12.75">
      <c r="C90" s="69" t="s">
        <v>374</v>
      </c>
      <c r="D90" s="69">
        <v>0</v>
      </c>
      <c r="E90" s="190"/>
      <c r="F90" s="213"/>
      <c r="G90" s="232">
        <v>39721</v>
      </c>
      <c r="H90" s="222"/>
      <c r="I90" s="222"/>
      <c r="J90" s="222"/>
      <c r="K90" s="222"/>
      <c r="L90" s="222"/>
      <c r="M90" s="222"/>
      <c r="N90" s="222"/>
      <c r="O90" s="222"/>
    </row>
    <row r="91" spans="3:15" ht="6" customHeight="1" thickBot="1">
      <c r="C91" s="191"/>
      <c r="D91" s="191"/>
      <c r="E91" s="191"/>
      <c r="F91" s="214"/>
      <c r="G91" s="242"/>
      <c r="H91" s="243"/>
      <c r="I91" s="243"/>
      <c r="J91" s="243"/>
      <c r="K91" s="243"/>
      <c r="L91" s="243"/>
      <c r="M91" s="243"/>
      <c r="N91" s="244"/>
      <c r="O91" s="186"/>
    </row>
    <row r="92" spans="3:15" ht="12.75">
      <c r="C92" s="193" t="s">
        <v>418</v>
      </c>
      <c r="D92" s="187">
        <f>SUMIF($C3:$C90,"Planned",D3:D90)</f>
        <v>5710</v>
      </c>
      <c r="E92" s="187"/>
      <c r="F92" s="213"/>
      <c r="G92" s="232"/>
      <c r="H92" s="232"/>
      <c r="I92" s="232"/>
      <c r="J92" s="232"/>
      <c r="K92" s="232"/>
      <c r="L92" s="232"/>
      <c r="M92" s="232"/>
      <c r="N92" s="232"/>
      <c r="O92" s="194"/>
    </row>
    <row r="93" spans="3:15" ht="12.75">
      <c r="C93" s="193"/>
      <c r="D93" s="187"/>
      <c r="E93" s="187"/>
      <c r="F93" s="213"/>
      <c r="G93" s="232"/>
      <c r="H93" s="232"/>
      <c r="I93" s="232"/>
      <c r="J93" s="232"/>
      <c r="K93" s="232"/>
      <c r="L93" s="232"/>
      <c r="M93" s="232"/>
      <c r="N93" s="232"/>
      <c r="O93" s="194"/>
    </row>
    <row r="94" spans="3:15" ht="12.75">
      <c r="C94" s="195" t="s">
        <v>419</v>
      </c>
      <c r="D94" s="196">
        <f>SUMIF($C3:$C90,"Actual",D3:D90)</f>
        <v>970</v>
      </c>
      <c r="E94" s="196"/>
      <c r="F94" s="215"/>
      <c r="G94" s="245"/>
      <c r="H94" s="245"/>
      <c r="I94" s="245"/>
      <c r="J94" s="245"/>
      <c r="K94" s="245"/>
      <c r="L94" s="245"/>
      <c r="M94" s="245"/>
      <c r="N94" s="245"/>
      <c r="O94" s="186"/>
    </row>
    <row r="95" ht="12.75">
      <c r="O95"/>
    </row>
    <row r="96" spans="3:15" ht="12.75">
      <c r="C96" s="195" t="s">
        <v>450</v>
      </c>
      <c r="D96" s="69">
        <f>SUM(E3:E90)</f>
        <v>304</v>
      </c>
      <c r="O96"/>
    </row>
    <row r="97" ht="12.75">
      <c r="O97"/>
    </row>
    <row r="98" spans="3:15" ht="12.75">
      <c r="C98" s="195" t="s">
        <v>451</v>
      </c>
      <c r="D98" s="69">
        <f>D94+D96</f>
        <v>1274</v>
      </c>
      <c r="O98"/>
    </row>
    <row r="99" ht="12.75">
      <c r="O99"/>
    </row>
    <row r="100" spans="3:15" ht="12.75">
      <c r="C100" s="195" t="s">
        <v>452</v>
      </c>
      <c r="D100" s="69">
        <f>D92-D98</f>
        <v>4436</v>
      </c>
      <c r="O100"/>
    </row>
    <row r="101" ht="13.5" thickBot="1">
      <c r="O101"/>
    </row>
    <row r="102" spans="1:15" ht="13.5" thickTop="1">
      <c r="A102" s="247" t="s">
        <v>455</v>
      </c>
      <c r="B102" s="248"/>
      <c r="C102" s="248"/>
      <c r="D102" s="260" t="s">
        <v>476</v>
      </c>
      <c r="E102" s="261"/>
      <c r="F102" s="248"/>
      <c r="G102" s="249"/>
      <c r="H102" s="248"/>
      <c r="I102" s="248"/>
      <c r="J102" s="248"/>
      <c r="K102" s="248"/>
      <c r="L102" s="248"/>
      <c r="M102" s="250"/>
      <c r="O102"/>
    </row>
    <row r="103" spans="1:15" s="246" customFormat="1" ht="12.75">
      <c r="A103" s="251"/>
      <c r="B103" s="252" t="s">
        <v>456</v>
      </c>
      <c r="C103" s="252"/>
      <c r="D103" s="252" t="s">
        <v>461</v>
      </c>
      <c r="E103" s="252"/>
      <c r="F103" s="252"/>
      <c r="G103" s="253"/>
      <c r="H103" s="252"/>
      <c r="I103" s="252"/>
      <c r="J103" s="252"/>
      <c r="K103" s="252"/>
      <c r="L103" s="252"/>
      <c r="M103" s="254"/>
      <c r="O103"/>
    </row>
    <row r="104" spans="1:13" s="246" customFormat="1" ht="12.75">
      <c r="A104" s="251"/>
      <c r="B104" s="252"/>
      <c r="C104" s="252"/>
      <c r="D104" s="252"/>
      <c r="E104" s="252"/>
      <c r="F104" s="252"/>
      <c r="G104" s="253"/>
      <c r="H104" s="252"/>
      <c r="I104" s="252"/>
      <c r="J104" s="252"/>
      <c r="K104" s="252"/>
      <c r="L104" s="252"/>
      <c r="M104" s="254"/>
    </row>
    <row r="105" spans="1:13" s="246" customFormat="1" ht="12.75">
      <c r="A105" s="251"/>
      <c r="B105" s="252" t="s">
        <v>457</v>
      </c>
      <c r="C105" s="252"/>
      <c r="D105" s="252" t="s">
        <v>40</v>
      </c>
      <c r="E105" s="252"/>
      <c r="F105" s="252"/>
      <c r="G105" s="253"/>
      <c r="H105" s="252"/>
      <c r="I105" s="252"/>
      <c r="J105" s="252"/>
      <c r="K105" s="252"/>
      <c r="L105" s="252"/>
      <c r="M105" s="254"/>
    </row>
    <row r="106" spans="1:13" s="246" customFormat="1" ht="12.75">
      <c r="A106" s="251"/>
      <c r="B106" s="252"/>
      <c r="C106" s="252"/>
      <c r="D106" s="252"/>
      <c r="E106" s="252"/>
      <c r="F106" s="252"/>
      <c r="G106" s="253"/>
      <c r="H106" s="252"/>
      <c r="I106" s="252"/>
      <c r="J106" s="252"/>
      <c r="K106" s="252"/>
      <c r="L106" s="252"/>
      <c r="M106" s="254"/>
    </row>
    <row r="107" spans="1:13" s="246" customFormat="1" ht="12.75">
      <c r="A107" s="251"/>
      <c r="B107" s="252" t="s">
        <v>458</v>
      </c>
      <c r="C107" s="252"/>
      <c r="D107" s="252" t="s">
        <v>459</v>
      </c>
      <c r="E107" s="252"/>
      <c r="F107" s="252"/>
      <c r="G107" s="253"/>
      <c r="H107" s="252"/>
      <c r="I107" s="252"/>
      <c r="J107" s="252"/>
      <c r="K107" s="252"/>
      <c r="L107" s="252"/>
      <c r="M107" s="254"/>
    </row>
    <row r="108" spans="1:13" s="246" customFormat="1" ht="12.75">
      <c r="A108" s="251"/>
      <c r="B108" s="252"/>
      <c r="C108" s="252"/>
      <c r="D108" s="252"/>
      <c r="E108" s="252"/>
      <c r="F108" s="252"/>
      <c r="G108" s="253"/>
      <c r="H108" s="252"/>
      <c r="I108" s="252"/>
      <c r="J108" s="252"/>
      <c r="K108" s="252"/>
      <c r="L108" s="252"/>
      <c r="M108" s="254"/>
    </row>
    <row r="109" spans="1:13" s="246" customFormat="1" ht="12.75">
      <c r="A109" s="251"/>
      <c r="B109" s="252" t="s">
        <v>460</v>
      </c>
      <c r="C109" s="252"/>
      <c r="D109" s="252" t="s">
        <v>467</v>
      </c>
      <c r="E109" s="252"/>
      <c r="F109" s="252"/>
      <c r="G109" s="253"/>
      <c r="H109" s="252"/>
      <c r="I109" s="252"/>
      <c r="J109" s="252"/>
      <c r="K109" s="252"/>
      <c r="L109" s="252"/>
      <c r="M109" s="254"/>
    </row>
    <row r="110" spans="1:13" s="246" customFormat="1" ht="12.75">
      <c r="A110" s="251"/>
      <c r="B110" s="252"/>
      <c r="C110" s="252"/>
      <c r="D110" s="252"/>
      <c r="E110" s="252"/>
      <c r="F110" s="252"/>
      <c r="G110" s="253"/>
      <c r="H110" s="252"/>
      <c r="I110" s="252"/>
      <c r="J110" s="252"/>
      <c r="K110" s="252"/>
      <c r="L110" s="252"/>
      <c r="M110" s="254"/>
    </row>
    <row r="111" spans="1:13" s="246" customFormat="1" ht="12.75">
      <c r="A111" s="251"/>
      <c r="B111" s="252" t="s">
        <v>462</v>
      </c>
      <c r="C111" s="252"/>
      <c r="D111" s="252" t="s">
        <v>482</v>
      </c>
      <c r="E111" s="252"/>
      <c r="F111" s="252"/>
      <c r="G111" s="253"/>
      <c r="H111" s="252"/>
      <c r="I111" s="252"/>
      <c r="J111" s="252"/>
      <c r="K111" s="252"/>
      <c r="L111" s="252"/>
      <c r="M111" s="254"/>
    </row>
    <row r="112" spans="1:13" s="246" customFormat="1" ht="12.75">
      <c r="A112" s="251"/>
      <c r="B112" s="252"/>
      <c r="C112" s="252"/>
      <c r="D112" s="252"/>
      <c r="E112" s="252"/>
      <c r="F112" s="252"/>
      <c r="G112" s="253"/>
      <c r="H112" s="252"/>
      <c r="I112" s="252"/>
      <c r="J112" s="252"/>
      <c r="K112" s="252"/>
      <c r="L112" s="252"/>
      <c r="M112" s="254"/>
    </row>
    <row r="113" spans="1:13" s="246" customFormat="1" ht="12.75">
      <c r="A113" s="251"/>
      <c r="B113" s="252" t="s">
        <v>463</v>
      </c>
      <c r="C113" s="252"/>
      <c r="D113" s="252" t="s">
        <v>477</v>
      </c>
      <c r="E113" s="252"/>
      <c r="F113" s="252"/>
      <c r="G113" s="253"/>
      <c r="H113" s="252"/>
      <c r="I113" s="252"/>
      <c r="J113" s="252"/>
      <c r="K113" s="252"/>
      <c r="L113" s="252"/>
      <c r="M113" s="254"/>
    </row>
    <row r="114" spans="1:13" s="246" customFormat="1" ht="12.75">
      <c r="A114" s="251"/>
      <c r="B114" s="252"/>
      <c r="C114" s="252"/>
      <c r="D114" s="252"/>
      <c r="E114" s="252"/>
      <c r="F114" s="252"/>
      <c r="G114" s="253"/>
      <c r="H114" s="252"/>
      <c r="I114" s="252"/>
      <c r="J114" s="252"/>
      <c r="K114" s="252"/>
      <c r="L114" s="252"/>
      <c r="M114" s="254"/>
    </row>
    <row r="115" spans="1:13" s="246" customFormat="1" ht="12.75">
      <c r="A115" s="251"/>
      <c r="B115" s="252" t="s">
        <v>464</v>
      </c>
      <c r="C115" s="252"/>
      <c r="D115" s="252" t="s">
        <v>465</v>
      </c>
      <c r="E115" s="252"/>
      <c r="F115" s="252"/>
      <c r="G115" s="253"/>
      <c r="H115" s="252"/>
      <c r="I115" s="252"/>
      <c r="J115" s="252"/>
      <c r="K115" s="252"/>
      <c r="L115" s="252"/>
      <c r="M115" s="254"/>
    </row>
    <row r="116" spans="1:13" s="246" customFormat="1" ht="12.75">
      <c r="A116" s="251"/>
      <c r="B116" s="252"/>
      <c r="C116" s="252"/>
      <c r="D116" s="252"/>
      <c r="E116" s="252"/>
      <c r="F116" s="252"/>
      <c r="G116" s="253"/>
      <c r="H116" s="252"/>
      <c r="I116" s="252"/>
      <c r="J116" s="252"/>
      <c r="K116" s="252"/>
      <c r="L116" s="252"/>
      <c r="M116" s="254"/>
    </row>
    <row r="117" spans="1:13" s="246" customFormat="1" ht="12.75">
      <c r="A117" s="251"/>
      <c r="B117" s="252" t="s">
        <v>466</v>
      </c>
      <c r="C117" s="252"/>
      <c r="D117" s="252" t="s">
        <v>470</v>
      </c>
      <c r="E117" s="252"/>
      <c r="F117" s="252"/>
      <c r="G117" s="253"/>
      <c r="H117" s="252"/>
      <c r="I117" s="252"/>
      <c r="J117" s="252"/>
      <c r="K117" s="252"/>
      <c r="L117" s="252"/>
      <c r="M117" s="254"/>
    </row>
    <row r="118" spans="1:13" s="246" customFormat="1" ht="12.75">
      <c r="A118" s="251"/>
      <c r="B118" s="252"/>
      <c r="C118" s="252"/>
      <c r="D118" s="252"/>
      <c r="E118" s="252"/>
      <c r="F118" s="252"/>
      <c r="G118" s="253"/>
      <c r="H118" s="252"/>
      <c r="I118" s="252"/>
      <c r="J118" s="252"/>
      <c r="K118" s="252"/>
      <c r="L118" s="252"/>
      <c r="M118" s="254"/>
    </row>
    <row r="119" spans="1:13" s="246" customFormat="1" ht="12.75">
      <c r="A119" s="251"/>
      <c r="B119" s="252" t="s">
        <v>468</v>
      </c>
      <c r="C119" s="252"/>
      <c r="D119" s="252" t="s">
        <v>469</v>
      </c>
      <c r="E119" s="252"/>
      <c r="F119" s="252"/>
      <c r="G119" s="253"/>
      <c r="H119" s="252"/>
      <c r="I119" s="252"/>
      <c r="J119" s="252"/>
      <c r="K119" s="252"/>
      <c r="L119" s="252"/>
      <c r="M119" s="254"/>
    </row>
    <row r="120" spans="1:13" s="246" customFormat="1" ht="12.75">
      <c r="A120" s="251"/>
      <c r="B120" s="252"/>
      <c r="C120" s="252"/>
      <c r="D120" s="252"/>
      <c r="E120" s="252"/>
      <c r="F120" s="252"/>
      <c r="G120" s="253"/>
      <c r="H120" s="252"/>
      <c r="I120" s="252"/>
      <c r="J120" s="252"/>
      <c r="K120" s="252"/>
      <c r="L120" s="252"/>
      <c r="M120" s="254"/>
    </row>
    <row r="121" spans="1:13" s="246" customFormat="1" ht="12.75">
      <c r="A121" s="251"/>
      <c r="B121" s="252" t="s">
        <v>471</v>
      </c>
      <c r="C121" s="252"/>
      <c r="D121" s="252" t="s">
        <v>34</v>
      </c>
      <c r="E121" s="252"/>
      <c r="F121" s="252"/>
      <c r="G121" s="253"/>
      <c r="H121" s="252"/>
      <c r="I121" s="252"/>
      <c r="J121" s="252"/>
      <c r="K121" s="252"/>
      <c r="L121" s="252"/>
      <c r="M121" s="254"/>
    </row>
    <row r="122" spans="1:13" s="246" customFormat="1" ht="12.75">
      <c r="A122" s="251"/>
      <c r="B122" s="252"/>
      <c r="C122" s="252"/>
      <c r="D122" s="252"/>
      <c r="E122" s="252"/>
      <c r="F122" s="252"/>
      <c r="G122" s="253"/>
      <c r="H122" s="252"/>
      <c r="I122" s="252"/>
      <c r="J122" s="252"/>
      <c r="K122" s="252"/>
      <c r="L122" s="252"/>
      <c r="M122" s="254"/>
    </row>
    <row r="123" spans="1:13" s="246" customFormat="1" ht="12.75">
      <c r="A123" s="251"/>
      <c r="B123" s="252" t="s">
        <v>472</v>
      </c>
      <c r="C123" s="252"/>
      <c r="D123" s="252" t="s">
        <v>473</v>
      </c>
      <c r="E123" s="252"/>
      <c r="F123" s="252"/>
      <c r="G123" s="253"/>
      <c r="H123" s="252"/>
      <c r="I123" s="252"/>
      <c r="J123" s="252"/>
      <c r="K123" s="252"/>
      <c r="L123" s="252"/>
      <c r="M123" s="254"/>
    </row>
    <row r="124" spans="1:13" s="246" customFormat="1" ht="12.75">
      <c r="A124" s="251"/>
      <c r="B124" s="252"/>
      <c r="C124" s="252"/>
      <c r="D124" s="252"/>
      <c r="E124" s="252"/>
      <c r="F124" s="252"/>
      <c r="G124" s="253"/>
      <c r="H124" s="252"/>
      <c r="I124" s="252"/>
      <c r="J124" s="252"/>
      <c r="K124" s="252"/>
      <c r="L124" s="252"/>
      <c r="M124" s="254"/>
    </row>
    <row r="125" spans="1:13" s="246" customFormat="1" ht="12.75">
      <c r="A125" s="251"/>
      <c r="B125" s="252" t="s">
        <v>478</v>
      </c>
      <c r="C125" s="252"/>
      <c r="D125" s="252" t="s">
        <v>226</v>
      </c>
      <c r="E125" s="252"/>
      <c r="F125" s="252"/>
      <c r="G125" s="253"/>
      <c r="H125" s="252"/>
      <c r="I125" s="252"/>
      <c r="J125" s="252"/>
      <c r="K125" s="252"/>
      <c r="L125" s="252"/>
      <c r="M125" s="254"/>
    </row>
    <row r="126" spans="1:13" s="246" customFormat="1" ht="12.75">
      <c r="A126" s="251"/>
      <c r="B126" s="252"/>
      <c r="C126" s="252"/>
      <c r="D126" s="252"/>
      <c r="E126" s="252"/>
      <c r="F126" s="252"/>
      <c r="G126" s="253"/>
      <c r="H126" s="252"/>
      <c r="I126" s="252"/>
      <c r="J126" s="252"/>
      <c r="K126" s="252"/>
      <c r="L126" s="252"/>
      <c r="M126" s="254"/>
    </row>
    <row r="127" spans="1:13" s="246" customFormat="1" ht="12.75">
      <c r="A127" s="251"/>
      <c r="B127" s="252" t="s">
        <v>479</v>
      </c>
      <c r="C127" s="252"/>
      <c r="D127" s="252" t="s">
        <v>258</v>
      </c>
      <c r="E127" s="252"/>
      <c r="F127" s="252"/>
      <c r="G127" s="253"/>
      <c r="H127" s="252"/>
      <c r="I127" s="252"/>
      <c r="J127" s="252"/>
      <c r="K127" s="252"/>
      <c r="L127" s="252"/>
      <c r="M127" s="254"/>
    </row>
    <row r="128" spans="1:13" s="246" customFormat="1" ht="12.75">
      <c r="A128" s="251"/>
      <c r="B128" s="252"/>
      <c r="C128" s="252"/>
      <c r="D128" s="252"/>
      <c r="E128" s="252"/>
      <c r="F128" s="252"/>
      <c r="G128" s="253"/>
      <c r="H128" s="252"/>
      <c r="I128" s="252"/>
      <c r="J128" s="252"/>
      <c r="K128" s="252"/>
      <c r="L128" s="252"/>
      <c r="M128" s="254"/>
    </row>
    <row r="129" spans="1:13" s="246" customFormat="1" ht="12.75">
      <c r="A129" s="251"/>
      <c r="B129" s="252" t="s">
        <v>474</v>
      </c>
      <c r="C129" s="252"/>
      <c r="D129" s="252" t="s">
        <v>26</v>
      </c>
      <c r="E129" s="252"/>
      <c r="F129" s="252"/>
      <c r="G129" s="253"/>
      <c r="H129" s="252"/>
      <c r="I129" s="252"/>
      <c r="J129" s="252"/>
      <c r="K129" s="252"/>
      <c r="L129" s="252"/>
      <c r="M129" s="254"/>
    </row>
    <row r="130" spans="1:13" s="246" customFormat="1" ht="12.75">
      <c r="A130" s="251"/>
      <c r="B130" s="252"/>
      <c r="C130" s="252"/>
      <c r="D130" s="252"/>
      <c r="E130" s="252"/>
      <c r="F130" s="252"/>
      <c r="G130" s="253"/>
      <c r="H130" s="252"/>
      <c r="I130" s="252"/>
      <c r="J130" s="252"/>
      <c r="K130" s="252"/>
      <c r="L130" s="252"/>
      <c r="M130" s="254"/>
    </row>
    <row r="131" spans="1:13" s="246" customFormat="1" ht="12.75">
      <c r="A131" s="251"/>
      <c r="B131" s="252" t="s">
        <v>480</v>
      </c>
      <c r="C131" s="252"/>
      <c r="D131" s="252" t="s">
        <v>481</v>
      </c>
      <c r="E131" s="252"/>
      <c r="F131" s="252"/>
      <c r="G131" s="253"/>
      <c r="H131" s="252"/>
      <c r="I131" s="252"/>
      <c r="J131" s="252"/>
      <c r="K131" s="252"/>
      <c r="L131" s="252"/>
      <c r="M131" s="254"/>
    </row>
    <row r="132" spans="1:13" s="246" customFormat="1" ht="12.75">
      <c r="A132" s="251"/>
      <c r="B132" s="252"/>
      <c r="C132" s="252"/>
      <c r="D132" s="252"/>
      <c r="E132" s="252"/>
      <c r="F132" s="252"/>
      <c r="G132" s="253"/>
      <c r="H132" s="252"/>
      <c r="I132" s="252"/>
      <c r="J132" s="252"/>
      <c r="K132" s="252"/>
      <c r="L132" s="252"/>
      <c r="M132" s="254"/>
    </row>
    <row r="133" spans="1:13" s="246" customFormat="1" ht="13.5" thickBot="1">
      <c r="A133" s="257"/>
      <c r="B133" s="256" t="s">
        <v>475</v>
      </c>
      <c r="C133" s="256"/>
      <c r="D133" s="256" t="s">
        <v>256</v>
      </c>
      <c r="E133" s="255"/>
      <c r="F133" s="256"/>
      <c r="G133" s="258"/>
      <c r="H133" s="256"/>
      <c r="I133" s="256"/>
      <c r="J133" s="256"/>
      <c r="K133" s="256"/>
      <c r="L133" s="256"/>
      <c r="M133" s="259"/>
    </row>
    <row r="134" ht="13.5" thickTop="1">
      <c r="O134"/>
    </row>
    <row r="135" ht="12.75">
      <c r="O135"/>
    </row>
    <row r="136" ht="12.75">
      <c r="O136"/>
    </row>
    <row r="137" ht="12.75">
      <c r="O137"/>
    </row>
    <row r="138" ht="12.75">
      <c r="O138"/>
    </row>
    <row r="139" ht="12.75">
      <c r="O139"/>
    </row>
    <row r="140" ht="12.75">
      <c r="O140"/>
    </row>
    <row r="141" ht="12.75">
      <c r="O141"/>
    </row>
    <row r="142" ht="12.75">
      <c r="O142"/>
    </row>
    <row r="143" ht="12.75">
      <c r="O143"/>
    </row>
    <row r="144" ht="12.75">
      <c r="O144"/>
    </row>
    <row r="145" ht="12.75">
      <c r="O145"/>
    </row>
    <row r="146" ht="12.75">
      <c r="O146"/>
    </row>
    <row r="147" ht="12.75">
      <c r="O147"/>
    </row>
    <row r="148" ht="12.75">
      <c r="O148"/>
    </row>
    <row r="149" ht="12.75">
      <c r="O149"/>
    </row>
    <row r="150" ht="12.75">
      <c r="O150"/>
    </row>
    <row r="151" ht="12.75">
      <c r="O151"/>
    </row>
    <row r="152" ht="12.75">
      <c r="O152"/>
    </row>
    <row r="153" ht="12.75">
      <c r="O153"/>
    </row>
    <row r="154" ht="12.75">
      <c r="O154"/>
    </row>
    <row r="155" ht="12.75">
      <c r="O155"/>
    </row>
    <row r="156" ht="12.75">
      <c r="O156"/>
    </row>
    <row r="157" ht="12.75">
      <c r="O157"/>
    </row>
    <row r="158" ht="12.75">
      <c r="O158"/>
    </row>
    <row r="159" ht="12.75">
      <c r="O159"/>
    </row>
    <row r="160" ht="12.75">
      <c r="O160"/>
    </row>
    <row r="161" ht="12.75">
      <c r="O161"/>
    </row>
    <row r="162" ht="12.75">
      <c r="O162"/>
    </row>
    <row r="163" ht="12.75">
      <c r="O163"/>
    </row>
    <row r="164" ht="12.75">
      <c r="O164"/>
    </row>
    <row r="165" ht="12.75">
      <c r="O165"/>
    </row>
    <row r="166" ht="12.75">
      <c r="O166"/>
    </row>
    <row r="167" ht="12.75">
      <c r="O167"/>
    </row>
    <row r="168" ht="12.75">
      <c r="O168"/>
    </row>
    <row r="169" ht="12.75">
      <c r="O169"/>
    </row>
    <row r="170" ht="12.75">
      <c r="O170"/>
    </row>
    <row r="171" ht="12.75">
      <c r="O171"/>
    </row>
    <row r="172" ht="12.75">
      <c r="O172"/>
    </row>
    <row r="173" ht="12.75">
      <c r="O173"/>
    </row>
    <row r="174" ht="12.75">
      <c r="O174"/>
    </row>
    <row r="175" ht="12.75">
      <c r="O175"/>
    </row>
    <row r="176" ht="12.75">
      <c r="O176"/>
    </row>
    <row r="177" ht="12.75">
      <c r="O177"/>
    </row>
    <row r="178" ht="12.75">
      <c r="O178"/>
    </row>
    <row r="179" ht="12.75">
      <c r="O179"/>
    </row>
    <row r="180" ht="12.75">
      <c r="O180"/>
    </row>
    <row r="181" ht="12.75">
      <c r="O181"/>
    </row>
    <row r="182" ht="12.75">
      <c r="O182"/>
    </row>
    <row r="183" ht="12.75">
      <c r="O183"/>
    </row>
    <row r="184" ht="12.75">
      <c r="O184"/>
    </row>
    <row r="185" ht="12.75">
      <c r="O185"/>
    </row>
    <row r="186" ht="12.75">
      <c r="O186"/>
    </row>
    <row r="187" ht="12.75">
      <c r="O187"/>
    </row>
    <row r="188" ht="12.75">
      <c r="O188"/>
    </row>
    <row r="189" ht="12.75">
      <c r="O189"/>
    </row>
    <row r="190" ht="12.75">
      <c r="O190"/>
    </row>
    <row r="191" ht="12.75">
      <c r="O191"/>
    </row>
    <row r="192" ht="12.75">
      <c r="O192"/>
    </row>
    <row r="193" ht="12.75">
      <c r="O193"/>
    </row>
    <row r="194" ht="12.75">
      <c r="O194"/>
    </row>
    <row r="195" ht="12.75">
      <c r="O195"/>
    </row>
    <row r="196" ht="12.75">
      <c r="O196"/>
    </row>
    <row r="197" ht="12.75">
      <c r="O197"/>
    </row>
    <row r="198" ht="12.75">
      <c r="O198"/>
    </row>
    <row r="199" ht="12.75">
      <c r="O199"/>
    </row>
    <row r="200" ht="12.75">
      <c r="O200"/>
    </row>
    <row r="201" ht="12.75">
      <c r="O201"/>
    </row>
    <row r="202" ht="12.75">
      <c r="O202"/>
    </row>
    <row r="203" ht="12.75">
      <c r="O203"/>
    </row>
    <row r="204" ht="12.75">
      <c r="O204"/>
    </row>
    <row r="205" ht="12.75">
      <c r="O205"/>
    </row>
    <row r="206" ht="12.75">
      <c r="O206"/>
    </row>
    <row r="207" ht="12.75">
      <c r="O207"/>
    </row>
    <row r="208" ht="12.75">
      <c r="O208"/>
    </row>
    <row r="209" ht="12.75">
      <c r="O209"/>
    </row>
    <row r="210" ht="12.75">
      <c r="O210"/>
    </row>
    <row r="211" ht="12.75">
      <c r="O211"/>
    </row>
    <row r="212" ht="12.75">
      <c r="O212"/>
    </row>
    <row r="213" ht="12.75">
      <c r="O213"/>
    </row>
    <row r="214" ht="12.75">
      <c r="O214"/>
    </row>
    <row r="215" ht="12.75">
      <c r="O215"/>
    </row>
  </sheetData>
  <printOptions gridLines="1"/>
  <pageMargins left="0.86" right="0.46" top="0.6" bottom="0.31" header="0.17" footer="0.17"/>
  <pageSetup horizontalDpi="600" verticalDpi="600" orientation="portrait" scale="55" r:id="rId1"/>
  <headerFooter alignWithMargins="0">
    <oddHeader>&amp;C&amp;"Arial,Bold"&amp;14NCSX Documentation Close-Out Job 8221
Estimate to Complete (ETC&amp;"Arial,Regular"&amp;10)</oddHeader>
    <oddFooter>&amp;L&amp;"Arial,Bold"Job 8221 ETC&amp;R&amp;"Arial,Bold"&amp;D      &amp;T</oddFooter>
  </headerFooter>
  <rowBreaks count="1" manualBreakCount="1">
    <brk id="10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111"/>
  <sheetViews>
    <sheetView workbookViewId="0" topLeftCell="A55">
      <selection activeCell="A91" sqref="A91:IV91"/>
    </sheetView>
  </sheetViews>
  <sheetFormatPr defaultColWidth="9.140625" defaultRowHeight="12.75"/>
  <cols>
    <col min="1" max="1" width="9.421875" style="1" customWidth="1"/>
    <col min="2" max="2" width="64.57421875" style="1" bestFit="1" customWidth="1"/>
    <col min="3" max="3" width="45.421875" style="1" bestFit="1" customWidth="1"/>
    <col min="4" max="4" width="8.00390625" style="1" bestFit="1" customWidth="1"/>
    <col min="5" max="5" width="13.140625" style="1" bestFit="1" customWidth="1"/>
    <col min="6" max="6" width="14.7109375" style="7" bestFit="1" customWidth="1"/>
    <col min="7" max="9" width="18.00390625" style="3" customWidth="1"/>
    <col min="10" max="10" width="17.00390625" style="3" customWidth="1"/>
    <col min="11" max="11" width="9.140625" style="9" customWidth="1"/>
    <col min="12" max="16384" width="9.140625" style="1" customWidth="1"/>
  </cols>
  <sheetData>
    <row r="3" ht="12">
      <c r="G3" s="3" t="s">
        <v>53</v>
      </c>
    </row>
    <row r="4" spans="2:16" ht="48">
      <c r="B4" s="1" t="s">
        <v>52</v>
      </c>
      <c r="D4" s="1" t="s">
        <v>221</v>
      </c>
      <c r="E4" s="1" t="s">
        <v>222</v>
      </c>
      <c r="F4" s="7" t="s">
        <v>223</v>
      </c>
      <c r="G4" s="3" t="s">
        <v>54</v>
      </c>
      <c r="H4" s="3" t="s">
        <v>55</v>
      </c>
      <c r="I4" s="3" t="s">
        <v>56</v>
      </c>
      <c r="J4" s="5" t="s">
        <v>157</v>
      </c>
      <c r="K4" s="9" t="s">
        <v>160</v>
      </c>
      <c r="O4" s="1" t="s">
        <v>158</v>
      </c>
      <c r="P4" s="1" t="s">
        <v>159</v>
      </c>
    </row>
    <row r="5" spans="5:10" ht="12">
      <c r="E5" s="6">
        <f>SUM(G5:H5)</f>
        <v>0</v>
      </c>
      <c r="F5" s="8">
        <f>SUM(D5:E5)</f>
        <v>0</v>
      </c>
      <c r="J5" s="1"/>
    </row>
    <row r="6" spans="1:12" ht="12">
      <c r="A6" s="6">
        <f>SUM(F6:F13)</f>
        <v>11171.900606161234</v>
      </c>
      <c r="B6" s="1" t="s">
        <v>57</v>
      </c>
      <c r="E6" s="6">
        <f aca="true" t="shared" si="0" ref="E6:E69">SUM(G6:H6)</f>
        <v>424.495</v>
      </c>
      <c r="F6" s="8">
        <f aca="true" t="shared" si="1" ref="F6:F69">SUM(D6:E6)</f>
        <v>424.495</v>
      </c>
      <c r="G6" s="3">
        <v>424.495</v>
      </c>
      <c r="J6" s="1">
        <f>SUM(O6:P6)</f>
        <v>0</v>
      </c>
      <c r="K6" s="10">
        <f>SUM(G6:J6)</f>
        <v>424.495</v>
      </c>
      <c r="L6" s="6">
        <f>+K6</f>
        <v>424.495</v>
      </c>
    </row>
    <row r="7" spans="1:12" ht="12">
      <c r="A7" s="1">
        <v>1202</v>
      </c>
      <c r="B7" s="1" t="s">
        <v>58</v>
      </c>
      <c r="E7" s="6">
        <f t="shared" si="0"/>
        <v>1770.58</v>
      </c>
      <c r="F7" s="8">
        <f t="shared" si="1"/>
        <v>1770.58</v>
      </c>
      <c r="G7" s="3">
        <v>1770.58</v>
      </c>
      <c r="J7" s="1">
        <f aca="true" t="shared" si="2" ref="J7:J70">SUM(O7:P7)</f>
        <v>0</v>
      </c>
      <c r="K7" s="10">
        <f aca="true" t="shared" si="3" ref="K7:K70">SUM(G7:J7)</f>
        <v>1770.58</v>
      </c>
      <c r="L7" s="6">
        <f>+K7+L6</f>
        <v>2195.075</v>
      </c>
    </row>
    <row r="8" spans="1:12" ht="12">
      <c r="A8" s="1">
        <v>1203</v>
      </c>
      <c r="B8" s="1" t="s">
        <v>59</v>
      </c>
      <c r="E8" s="6">
        <f t="shared" si="0"/>
        <v>1217.3429999999998</v>
      </c>
      <c r="F8" s="8">
        <f t="shared" si="1"/>
        <v>1217.3429999999998</v>
      </c>
      <c r="G8" s="3">
        <v>1217.3429999999998</v>
      </c>
      <c r="J8" s="1">
        <f t="shared" si="2"/>
        <v>0</v>
      </c>
      <c r="K8" s="10">
        <f t="shared" si="3"/>
        <v>1217.3429999999998</v>
      </c>
      <c r="L8" s="6">
        <f aca="true" t="shared" si="4" ref="L8:L71">+K8+L7</f>
        <v>3412.4179999999997</v>
      </c>
    </row>
    <row r="9" spans="1:15" ht="12">
      <c r="A9" s="1">
        <v>1204</v>
      </c>
      <c r="B9" s="1" t="s">
        <v>118</v>
      </c>
      <c r="C9" s="17" t="s">
        <v>118</v>
      </c>
      <c r="D9" s="17">
        <v>220.6</v>
      </c>
      <c r="E9" s="6">
        <f t="shared" si="0"/>
        <v>777.4519061597235</v>
      </c>
      <c r="F9" s="8">
        <f t="shared" si="1"/>
        <v>998.0519061597236</v>
      </c>
      <c r="G9" s="3">
        <v>535.641</v>
      </c>
      <c r="H9" s="3">
        <v>241.81090615972357</v>
      </c>
      <c r="I9" s="4">
        <v>76.93267</v>
      </c>
      <c r="J9" s="1">
        <f t="shared" si="2"/>
        <v>13.75</v>
      </c>
      <c r="K9" s="10">
        <f t="shared" si="3"/>
        <v>868.1345761597236</v>
      </c>
      <c r="L9" s="6">
        <f t="shared" si="4"/>
        <v>4280.552576159724</v>
      </c>
      <c r="O9" s="1">
        <v>13.75</v>
      </c>
    </row>
    <row r="10" spans="1:12" ht="12">
      <c r="A10" s="1">
        <v>1206</v>
      </c>
      <c r="B10" s="1" t="s">
        <v>60</v>
      </c>
      <c r="C10" s="17"/>
      <c r="D10" s="17"/>
      <c r="E10" s="6">
        <f t="shared" si="0"/>
        <v>15.954</v>
      </c>
      <c r="F10" s="8">
        <f t="shared" si="1"/>
        <v>15.954</v>
      </c>
      <c r="G10" s="3">
        <v>15.954</v>
      </c>
      <c r="I10" s="4"/>
      <c r="J10" s="1">
        <f t="shared" si="2"/>
        <v>0</v>
      </c>
      <c r="K10" s="10">
        <f t="shared" si="3"/>
        <v>15.954</v>
      </c>
      <c r="L10" s="6">
        <f t="shared" si="4"/>
        <v>4296.506576159723</v>
      </c>
    </row>
    <row r="11" spans="1:12" ht="12">
      <c r="A11" s="1">
        <v>1250</v>
      </c>
      <c r="B11" s="1" t="s">
        <v>119</v>
      </c>
      <c r="C11" s="17"/>
      <c r="D11" s="17"/>
      <c r="E11" s="6">
        <f t="shared" si="0"/>
        <v>5537.086700001512</v>
      </c>
      <c r="F11" s="8">
        <f t="shared" si="1"/>
        <v>5537.086700001512</v>
      </c>
      <c r="G11" s="3">
        <v>5788.857</v>
      </c>
      <c r="H11" s="3">
        <v>-251.77029999848764</v>
      </c>
      <c r="I11" s="4">
        <v>0</v>
      </c>
      <c r="J11" s="1">
        <f t="shared" si="2"/>
        <v>0</v>
      </c>
      <c r="K11" s="10">
        <f t="shared" si="3"/>
        <v>5537.086700001512</v>
      </c>
      <c r="L11" s="6">
        <f t="shared" si="4"/>
        <v>9833.593276161235</v>
      </c>
    </row>
    <row r="12" spans="2:16" ht="12">
      <c r="B12" s="4" t="s">
        <v>154</v>
      </c>
      <c r="C12" s="17" t="s">
        <v>154</v>
      </c>
      <c r="D12" s="17">
        <v>566.73</v>
      </c>
      <c r="E12" s="6">
        <f t="shared" si="0"/>
        <v>0</v>
      </c>
      <c r="F12" s="8">
        <f t="shared" si="1"/>
        <v>566.73</v>
      </c>
      <c r="I12" s="4">
        <v>0</v>
      </c>
      <c r="J12" s="1">
        <f t="shared" si="2"/>
        <v>4.48</v>
      </c>
      <c r="K12" s="10">
        <f t="shared" si="3"/>
        <v>4.48</v>
      </c>
      <c r="L12" s="6">
        <f t="shared" si="4"/>
        <v>9838.073276161234</v>
      </c>
      <c r="P12" s="1">
        <v>4.48</v>
      </c>
    </row>
    <row r="13" spans="2:12" ht="12">
      <c r="B13" s="4" t="s">
        <v>155</v>
      </c>
      <c r="C13" s="17" t="s">
        <v>155</v>
      </c>
      <c r="D13" s="17">
        <v>641.66</v>
      </c>
      <c r="E13" s="6">
        <f t="shared" si="0"/>
        <v>0</v>
      </c>
      <c r="F13" s="8">
        <f t="shared" si="1"/>
        <v>641.66</v>
      </c>
      <c r="I13" s="4">
        <v>0</v>
      </c>
      <c r="J13" s="1">
        <f t="shared" si="2"/>
        <v>0</v>
      </c>
      <c r="K13" s="10">
        <f t="shared" si="3"/>
        <v>0</v>
      </c>
      <c r="L13" s="6">
        <f t="shared" si="4"/>
        <v>9838.073276161234</v>
      </c>
    </row>
    <row r="14" spans="1:12" ht="12">
      <c r="A14" s="6">
        <f>SUM(F14:F23)</f>
        <v>8085.874529685183</v>
      </c>
      <c r="B14" s="1" t="s">
        <v>61</v>
      </c>
      <c r="C14" s="17"/>
      <c r="D14" s="17"/>
      <c r="E14" s="6">
        <f t="shared" si="0"/>
        <v>970.154</v>
      </c>
      <c r="F14" s="8">
        <f>SUM(D14:E14)-13</f>
        <v>957.154</v>
      </c>
      <c r="G14" s="3">
        <v>970.154</v>
      </c>
      <c r="I14" s="4"/>
      <c r="J14" s="1">
        <f t="shared" si="2"/>
        <v>0</v>
      </c>
      <c r="K14" s="10">
        <f t="shared" si="3"/>
        <v>970.154</v>
      </c>
      <c r="L14" s="6">
        <f t="shared" si="4"/>
        <v>10808.227276161235</v>
      </c>
    </row>
    <row r="15" spans="2:12" ht="12">
      <c r="B15" s="1" t="s">
        <v>120</v>
      </c>
      <c r="C15" s="18" t="s">
        <v>166</v>
      </c>
      <c r="D15" s="18">
        <v>90.9</v>
      </c>
      <c r="E15" s="6">
        <f t="shared" si="0"/>
        <v>96.37100320238491</v>
      </c>
      <c r="F15" s="8">
        <f t="shared" si="1"/>
        <v>187.27100320238492</v>
      </c>
      <c r="G15" s="3">
        <v>19.338</v>
      </c>
      <c r="H15" s="3">
        <v>77.03300320238492</v>
      </c>
      <c r="I15" s="4">
        <v>31.911869999999997</v>
      </c>
      <c r="J15" s="1">
        <f t="shared" si="2"/>
        <v>0</v>
      </c>
      <c r="K15" s="10">
        <f t="shared" si="3"/>
        <v>128.2828732023849</v>
      </c>
      <c r="L15" s="6">
        <f t="shared" si="4"/>
        <v>10936.51014936362</v>
      </c>
    </row>
    <row r="16" spans="2:12" ht="12">
      <c r="B16" s="1" t="s">
        <v>62</v>
      </c>
      <c r="C16" s="18"/>
      <c r="D16" s="18"/>
      <c r="E16" s="6">
        <f t="shared" si="0"/>
        <v>154.795</v>
      </c>
      <c r="F16" s="8">
        <f t="shared" si="1"/>
        <v>154.795</v>
      </c>
      <c r="G16" s="3">
        <v>154.795</v>
      </c>
      <c r="I16" s="4"/>
      <c r="J16" s="1">
        <f t="shared" si="2"/>
        <v>0</v>
      </c>
      <c r="K16" s="10">
        <f t="shared" si="3"/>
        <v>154.795</v>
      </c>
      <c r="L16" s="6">
        <f t="shared" si="4"/>
        <v>11091.30514936362</v>
      </c>
    </row>
    <row r="17" spans="2:12" ht="12">
      <c r="B17" s="1" t="s">
        <v>63</v>
      </c>
      <c r="C17" s="18"/>
      <c r="D17" s="18"/>
      <c r="E17" s="6">
        <f t="shared" si="0"/>
        <v>535.879</v>
      </c>
      <c r="F17" s="8">
        <f t="shared" si="1"/>
        <v>535.879</v>
      </c>
      <c r="G17" s="3">
        <v>535.879</v>
      </c>
      <c r="I17" s="4"/>
      <c r="J17" s="1">
        <f t="shared" si="2"/>
        <v>0</v>
      </c>
      <c r="K17" s="10">
        <f t="shared" si="3"/>
        <v>535.879</v>
      </c>
      <c r="L17" s="6">
        <f t="shared" si="4"/>
        <v>11627.18414936362</v>
      </c>
    </row>
    <row r="18" spans="2:12" ht="12">
      <c r="B18" s="1" t="s">
        <v>64</v>
      </c>
      <c r="C18" s="18"/>
      <c r="D18" s="18"/>
      <c r="E18" s="6">
        <f t="shared" si="0"/>
        <v>482.959</v>
      </c>
      <c r="F18" s="8">
        <f t="shared" si="1"/>
        <v>482.959</v>
      </c>
      <c r="G18" s="3">
        <v>482.959</v>
      </c>
      <c r="I18" s="4"/>
      <c r="J18" s="1">
        <f t="shared" si="2"/>
        <v>0</v>
      </c>
      <c r="K18" s="10">
        <f t="shared" si="3"/>
        <v>482.959</v>
      </c>
      <c r="L18" s="6">
        <f t="shared" si="4"/>
        <v>12110.143149363621</v>
      </c>
    </row>
    <row r="19" spans="2:15" ht="12">
      <c r="B19" s="1" t="s">
        <v>121</v>
      </c>
      <c r="C19" s="18" t="s">
        <v>167</v>
      </c>
      <c r="D19" s="18">
        <v>1637.64</v>
      </c>
      <c r="E19" s="6">
        <f t="shared" si="0"/>
        <v>7.832</v>
      </c>
      <c r="F19" s="8">
        <f t="shared" si="1"/>
        <v>1645.4720000000002</v>
      </c>
      <c r="H19" s="3">
        <v>7.832</v>
      </c>
      <c r="I19" s="4">
        <v>58.21712000000001</v>
      </c>
      <c r="J19" s="1">
        <f t="shared" si="2"/>
        <v>13.735</v>
      </c>
      <c r="K19" s="10">
        <f t="shared" si="3"/>
        <v>79.78412</v>
      </c>
      <c r="L19" s="6">
        <f t="shared" si="4"/>
        <v>12189.927269363621</v>
      </c>
      <c r="O19" s="1">
        <v>13.735</v>
      </c>
    </row>
    <row r="20" spans="2:12" ht="12">
      <c r="B20" s="1" t="s">
        <v>122</v>
      </c>
      <c r="C20" s="17" t="s">
        <v>168</v>
      </c>
      <c r="D20" s="17">
        <v>357.38</v>
      </c>
      <c r="E20" s="6">
        <f t="shared" si="0"/>
        <v>0</v>
      </c>
      <c r="F20" s="8">
        <f t="shared" si="1"/>
        <v>357.38</v>
      </c>
      <c r="H20" s="3">
        <v>0</v>
      </c>
      <c r="I20" s="4">
        <v>0</v>
      </c>
      <c r="J20" s="1">
        <f t="shared" si="2"/>
        <v>0</v>
      </c>
      <c r="K20" s="10">
        <f t="shared" si="3"/>
        <v>0</v>
      </c>
      <c r="L20" s="6">
        <f t="shared" si="4"/>
        <v>12189.927269363621</v>
      </c>
    </row>
    <row r="21" spans="2:15" ht="12">
      <c r="B21" s="1" t="s">
        <v>123</v>
      </c>
      <c r="C21" s="17" t="s">
        <v>123</v>
      </c>
      <c r="D21" s="17">
        <v>1433.01</v>
      </c>
      <c r="E21" s="6">
        <f t="shared" si="0"/>
        <v>49.245999999999995</v>
      </c>
      <c r="F21" s="8">
        <f t="shared" si="1"/>
        <v>1482.256</v>
      </c>
      <c r="G21" s="3">
        <v>0</v>
      </c>
      <c r="H21" s="3">
        <v>49.245999999999995</v>
      </c>
      <c r="I21" s="4">
        <v>112.25412</v>
      </c>
      <c r="J21" s="1">
        <f t="shared" si="2"/>
        <v>39.941</v>
      </c>
      <c r="K21" s="10">
        <f t="shared" si="3"/>
        <v>201.44111999999998</v>
      </c>
      <c r="L21" s="6">
        <f t="shared" si="4"/>
        <v>12391.36838936362</v>
      </c>
      <c r="O21" s="1">
        <v>39.941</v>
      </c>
    </row>
    <row r="22" spans="2:12" ht="12">
      <c r="B22" s="1" t="s">
        <v>124</v>
      </c>
      <c r="C22" s="17" t="s">
        <v>169</v>
      </c>
      <c r="D22" s="17">
        <v>109.96</v>
      </c>
      <c r="E22" s="6">
        <f t="shared" si="0"/>
        <v>0</v>
      </c>
      <c r="F22" s="8">
        <f t="shared" si="1"/>
        <v>109.96</v>
      </c>
      <c r="G22" s="3">
        <v>0</v>
      </c>
      <c r="H22" s="3">
        <v>0</v>
      </c>
      <c r="I22" s="4">
        <v>0.883</v>
      </c>
      <c r="J22" s="1">
        <f t="shared" si="2"/>
        <v>0</v>
      </c>
      <c r="K22" s="10">
        <f t="shared" si="3"/>
        <v>0.883</v>
      </c>
      <c r="L22" s="6">
        <f t="shared" si="4"/>
        <v>12392.25138936362</v>
      </c>
    </row>
    <row r="23" spans="2:15" ht="12">
      <c r="B23" s="1" t="s">
        <v>125</v>
      </c>
      <c r="C23" s="17" t="s">
        <v>125</v>
      </c>
      <c r="D23" s="17">
        <v>627.6</v>
      </c>
      <c r="E23" s="6">
        <f t="shared" si="0"/>
        <v>1545.148526482798</v>
      </c>
      <c r="F23" s="8">
        <f t="shared" si="1"/>
        <v>2172.748526482798</v>
      </c>
      <c r="G23" s="3">
        <v>1073.601</v>
      </c>
      <c r="H23" s="3">
        <v>471.5475264827977</v>
      </c>
      <c r="I23" s="4">
        <v>224.13</v>
      </c>
      <c r="J23" s="1">
        <f t="shared" si="2"/>
        <v>95.854</v>
      </c>
      <c r="K23" s="10">
        <f t="shared" si="3"/>
        <v>1865.132526482798</v>
      </c>
      <c r="L23" s="6">
        <f t="shared" si="4"/>
        <v>14257.383915846418</v>
      </c>
      <c r="O23" s="1">
        <v>95.854</v>
      </c>
    </row>
    <row r="24" spans="1:12" ht="12">
      <c r="A24" s="6">
        <f>SUM(F24:F45)</f>
        <v>40735.11776076135</v>
      </c>
      <c r="B24" s="1" t="s">
        <v>65</v>
      </c>
      <c r="C24" s="17"/>
      <c r="D24" s="17"/>
      <c r="E24" s="6">
        <f t="shared" si="0"/>
        <v>304.356</v>
      </c>
      <c r="F24" s="8">
        <f t="shared" si="1"/>
        <v>304.356</v>
      </c>
      <c r="G24" s="3">
        <v>304.356</v>
      </c>
      <c r="I24" s="4"/>
      <c r="J24" s="1">
        <f t="shared" si="2"/>
        <v>0</v>
      </c>
      <c r="K24" s="10">
        <f t="shared" si="3"/>
        <v>304.356</v>
      </c>
      <c r="L24" s="6">
        <f t="shared" si="4"/>
        <v>14561.739915846418</v>
      </c>
    </row>
    <row r="25" spans="2:12" ht="12">
      <c r="B25" s="1" t="s">
        <v>66</v>
      </c>
      <c r="C25" s="17"/>
      <c r="D25" s="17"/>
      <c r="E25" s="6">
        <f t="shared" si="0"/>
        <v>239.14</v>
      </c>
      <c r="F25" s="8">
        <f t="shared" si="1"/>
        <v>239.14</v>
      </c>
      <c r="G25" s="3">
        <v>239.14</v>
      </c>
      <c r="I25" s="4"/>
      <c r="J25" s="1">
        <f t="shared" si="2"/>
        <v>0</v>
      </c>
      <c r="K25" s="10">
        <f t="shared" si="3"/>
        <v>239.14</v>
      </c>
      <c r="L25" s="6">
        <f t="shared" si="4"/>
        <v>14800.879915846417</v>
      </c>
    </row>
    <row r="26" spans="2:12" ht="12">
      <c r="B26" s="1" t="s">
        <v>132</v>
      </c>
      <c r="C26" s="17"/>
      <c r="D26" s="17"/>
      <c r="E26" s="6">
        <f t="shared" si="0"/>
        <v>2519.20162</v>
      </c>
      <c r="F26" s="8">
        <f t="shared" si="1"/>
        <v>2519.20162</v>
      </c>
      <c r="G26" s="3">
        <v>2554.149</v>
      </c>
      <c r="H26" s="3">
        <v>-34.947379999999995</v>
      </c>
      <c r="I26" s="4">
        <v>0</v>
      </c>
      <c r="J26" s="1">
        <f t="shared" si="2"/>
        <v>0</v>
      </c>
      <c r="K26" s="10">
        <f t="shared" si="3"/>
        <v>2519.20162</v>
      </c>
      <c r="L26" s="6">
        <f t="shared" si="4"/>
        <v>17320.081535846417</v>
      </c>
    </row>
    <row r="27" spans="2:12" ht="12">
      <c r="B27" s="1" t="s">
        <v>133</v>
      </c>
      <c r="C27" s="17"/>
      <c r="D27" s="17"/>
      <c r="E27" s="6">
        <f t="shared" si="0"/>
        <v>168</v>
      </c>
      <c r="F27" s="8">
        <f t="shared" si="1"/>
        <v>168</v>
      </c>
      <c r="G27" s="3">
        <v>168</v>
      </c>
      <c r="I27" s="4"/>
      <c r="J27" s="1">
        <f t="shared" si="2"/>
        <v>0</v>
      </c>
      <c r="K27" s="10">
        <f t="shared" si="3"/>
        <v>168</v>
      </c>
      <c r="L27" s="6">
        <f t="shared" si="4"/>
        <v>17488.081535846417</v>
      </c>
    </row>
    <row r="28" spans="2:12" ht="12">
      <c r="B28" s="1" t="s">
        <v>67</v>
      </c>
      <c r="C28" s="17"/>
      <c r="D28" s="17"/>
      <c r="E28" s="6">
        <f t="shared" si="0"/>
        <v>2263.137</v>
      </c>
      <c r="F28" s="8">
        <f t="shared" si="1"/>
        <v>2263.137</v>
      </c>
      <c r="G28" s="3">
        <v>2263.137</v>
      </c>
      <c r="I28" s="4"/>
      <c r="J28" s="1">
        <f t="shared" si="2"/>
        <v>0</v>
      </c>
      <c r="K28" s="10">
        <f t="shared" si="3"/>
        <v>2263.137</v>
      </c>
      <c r="L28" s="6">
        <f t="shared" si="4"/>
        <v>19751.218535846416</v>
      </c>
    </row>
    <row r="29" spans="2:12" ht="12">
      <c r="B29" s="1" t="s">
        <v>68</v>
      </c>
      <c r="C29" s="17"/>
      <c r="D29" s="17"/>
      <c r="E29" s="6">
        <f t="shared" si="0"/>
        <v>2569.776</v>
      </c>
      <c r="F29" s="8">
        <f t="shared" si="1"/>
        <v>2569.776</v>
      </c>
      <c r="G29" s="3">
        <v>2569.776</v>
      </c>
      <c r="I29" s="4"/>
      <c r="J29" s="1">
        <f t="shared" si="2"/>
        <v>0</v>
      </c>
      <c r="K29" s="10">
        <f t="shared" si="3"/>
        <v>2569.776</v>
      </c>
      <c r="L29" s="6">
        <f t="shared" si="4"/>
        <v>22320.994535846417</v>
      </c>
    </row>
    <row r="30" spans="2:15" ht="12">
      <c r="B30" s="1" t="s">
        <v>135</v>
      </c>
      <c r="C30" s="17" t="s">
        <v>170</v>
      </c>
      <c r="D30" s="17">
        <v>123.92</v>
      </c>
      <c r="E30" s="6">
        <f t="shared" si="0"/>
        <v>2497.755396878306</v>
      </c>
      <c r="F30" s="8">
        <f t="shared" si="1"/>
        <v>2621.675396878306</v>
      </c>
      <c r="G30" s="3">
        <v>2353.142</v>
      </c>
      <c r="H30" s="3">
        <v>144.61339687830605</v>
      </c>
      <c r="I30" s="4">
        <v>86.73286999999999</v>
      </c>
      <c r="J30" s="1">
        <f t="shared" si="2"/>
        <v>77.685</v>
      </c>
      <c r="K30" s="10">
        <f t="shared" si="3"/>
        <v>2662.1732668783056</v>
      </c>
      <c r="L30" s="6">
        <f t="shared" si="4"/>
        <v>24983.16780272472</v>
      </c>
      <c r="O30" s="1">
        <v>77.685</v>
      </c>
    </row>
    <row r="31" spans="2:12" ht="12">
      <c r="B31" s="1" t="s">
        <v>72</v>
      </c>
      <c r="C31" s="17"/>
      <c r="D31" s="17"/>
      <c r="E31" s="6">
        <f t="shared" si="0"/>
        <v>832.579</v>
      </c>
      <c r="F31" s="8">
        <f t="shared" si="1"/>
        <v>832.579</v>
      </c>
      <c r="G31" s="3">
        <v>832.579</v>
      </c>
      <c r="I31" s="4"/>
      <c r="J31" s="1">
        <f t="shared" si="2"/>
        <v>0</v>
      </c>
      <c r="K31" s="10">
        <f t="shared" si="3"/>
        <v>832.579</v>
      </c>
      <c r="L31" s="6">
        <f t="shared" si="4"/>
        <v>25815.746802724723</v>
      </c>
    </row>
    <row r="32" spans="2:12" ht="12">
      <c r="B32" s="1" t="s">
        <v>69</v>
      </c>
      <c r="C32" s="17"/>
      <c r="D32" s="17"/>
      <c r="E32" s="6">
        <f t="shared" si="0"/>
        <v>1049.608</v>
      </c>
      <c r="F32" s="8">
        <f t="shared" si="1"/>
        <v>1049.608</v>
      </c>
      <c r="G32" s="3">
        <v>1049.608</v>
      </c>
      <c r="I32" s="4"/>
      <c r="J32" s="1">
        <f t="shared" si="2"/>
        <v>0</v>
      </c>
      <c r="K32" s="10">
        <f t="shared" si="3"/>
        <v>1049.608</v>
      </c>
      <c r="L32" s="6">
        <f t="shared" si="4"/>
        <v>26865.354802724723</v>
      </c>
    </row>
    <row r="33" spans="2:12" ht="12">
      <c r="B33" s="1" t="s">
        <v>76</v>
      </c>
      <c r="C33" s="17"/>
      <c r="D33" s="17"/>
      <c r="E33" s="6">
        <f t="shared" si="0"/>
        <v>9900.574362863086</v>
      </c>
      <c r="F33" s="8">
        <f>SUM(D33:E33)-55</f>
        <v>9845.574362863086</v>
      </c>
      <c r="G33" s="3">
        <v>9965.686999999998</v>
      </c>
      <c r="H33" s="3">
        <v>-65.11263713691103</v>
      </c>
      <c r="I33" s="4">
        <v>0</v>
      </c>
      <c r="J33" s="1">
        <f t="shared" si="2"/>
        <v>0</v>
      </c>
      <c r="K33" s="10">
        <f t="shared" si="3"/>
        <v>9900.574362863086</v>
      </c>
      <c r="L33" s="6">
        <f t="shared" si="4"/>
        <v>36765.92916558781</v>
      </c>
    </row>
    <row r="34" spans="2:12" ht="12">
      <c r="B34" s="1" t="s">
        <v>70</v>
      </c>
      <c r="C34" s="17"/>
      <c r="D34" s="17"/>
      <c r="E34" s="6">
        <f t="shared" si="0"/>
        <v>540.732</v>
      </c>
      <c r="F34" s="8">
        <f t="shared" si="1"/>
        <v>540.732</v>
      </c>
      <c r="G34" s="3">
        <v>540.732</v>
      </c>
      <c r="I34" s="4"/>
      <c r="J34" s="1">
        <f t="shared" si="2"/>
        <v>0</v>
      </c>
      <c r="K34" s="10">
        <f t="shared" si="3"/>
        <v>540.732</v>
      </c>
      <c r="L34" s="6">
        <f t="shared" si="4"/>
        <v>37306.66116558781</v>
      </c>
    </row>
    <row r="35" spans="2:12" ht="12">
      <c r="B35" s="1" t="s">
        <v>71</v>
      </c>
      <c r="C35" s="17"/>
      <c r="D35" s="17"/>
      <c r="E35" s="6">
        <f t="shared" si="0"/>
        <v>27.819</v>
      </c>
      <c r="F35" s="8">
        <f t="shared" si="1"/>
        <v>27.819</v>
      </c>
      <c r="G35" s="3">
        <v>27.819</v>
      </c>
      <c r="I35" s="4"/>
      <c r="J35" s="1">
        <f t="shared" si="2"/>
        <v>0</v>
      </c>
      <c r="K35" s="10">
        <f t="shared" si="3"/>
        <v>27.819</v>
      </c>
      <c r="L35" s="6">
        <f t="shared" si="4"/>
        <v>37334.48016558781</v>
      </c>
    </row>
    <row r="36" spans="2:12" ht="12">
      <c r="B36" s="1" t="s">
        <v>73</v>
      </c>
      <c r="C36" s="17"/>
      <c r="D36" s="17"/>
      <c r="E36" s="6">
        <f t="shared" si="0"/>
        <v>638.674</v>
      </c>
      <c r="F36" s="8">
        <f t="shared" si="1"/>
        <v>638.674</v>
      </c>
      <c r="G36" s="3">
        <v>638.674</v>
      </c>
      <c r="I36" s="4"/>
      <c r="J36" s="1">
        <f t="shared" si="2"/>
        <v>0</v>
      </c>
      <c r="K36" s="10">
        <f t="shared" si="3"/>
        <v>638.674</v>
      </c>
      <c r="L36" s="6">
        <f t="shared" si="4"/>
        <v>37973.15416558781</v>
      </c>
    </row>
    <row r="37" spans="2:12" ht="12">
      <c r="B37" s="1" t="s">
        <v>74</v>
      </c>
      <c r="C37" s="17"/>
      <c r="D37" s="17"/>
      <c r="E37" s="6">
        <f t="shared" si="0"/>
        <v>24.038</v>
      </c>
      <c r="F37" s="8">
        <f t="shared" si="1"/>
        <v>24.038</v>
      </c>
      <c r="G37" s="3">
        <v>24.038</v>
      </c>
      <c r="I37" s="4"/>
      <c r="J37" s="1">
        <f t="shared" si="2"/>
        <v>0</v>
      </c>
      <c r="K37" s="10">
        <f t="shared" si="3"/>
        <v>24.038</v>
      </c>
      <c r="L37" s="6">
        <f t="shared" si="4"/>
        <v>37997.19216558781</v>
      </c>
    </row>
    <row r="38" spans="2:16" ht="12">
      <c r="B38" s="1" t="s">
        <v>153</v>
      </c>
      <c r="C38" s="17" t="s">
        <v>171</v>
      </c>
      <c r="D38" s="17">
        <v>140.35</v>
      </c>
      <c r="E38" s="6">
        <f t="shared" si="0"/>
        <v>4602.92488</v>
      </c>
      <c r="F38" s="8">
        <f t="shared" si="1"/>
        <v>4743.27488</v>
      </c>
      <c r="G38" s="3">
        <v>4418.659</v>
      </c>
      <c r="H38" s="3">
        <v>184.26587999999998</v>
      </c>
      <c r="I38" s="4">
        <v>74.41</v>
      </c>
      <c r="J38" s="1">
        <f t="shared" si="2"/>
        <v>9.941</v>
      </c>
      <c r="K38" s="10">
        <f t="shared" si="3"/>
        <v>4687.275879999999</v>
      </c>
      <c r="L38" s="6">
        <f t="shared" si="4"/>
        <v>42684.46804558781</v>
      </c>
      <c r="P38" s="1">
        <v>9.941</v>
      </c>
    </row>
    <row r="39" spans="2:12" ht="12">
      <c r="B39" s="1" t="s">
        <v>75</v>
      </c>
      <c r="C39" s="17"/>
      <c r="D39" s="17"/>
      <c r="E39" s="6">
        <f t="shared" si="0"/>
        <v>48.434</v>
      </c>
      <c r="F39" s="8">
        <f t="shared" si="1"/>
        <v>48.434</v>
      </c>
      <c r="G39" s="3">
        <v>48.434</v>
      </c>
      <c r="I39" s="4"/>
      <c r="J39" s="1">
        <f t="shared" si="2"/>
        <v>0</v>
      </c>
      <c r="K39" s="10">
        <f t="shared" si="3"/>
        <v>48.434</v>
      </c>
      <c r="L39" s="6">
        <f t="shared" si="4"/>
        <v>42732.90204558781</v>
      </c>
    </row>
    <row r="40" spans="2:16" ht="12">
      <c r="B40" s="1" t="s">
        <v>126</v>
      </c>
      <c r="C40" s="17" t="s">
        <v>126</v>
      </c>
      <c r="D40" s="17">
        <v>28.17</v>
      </c>
      <c r="E40" s="6">
        <f t="shared" si="0"/>
        <v>1062.0957076727493</v>
      </c>
      <c r="F40" s="8">
        <f t="shared" si="1"/>
        <v>1090.2657076727494</v>
      </c>
      <c r="H40" s="3">
        <v>1062.0957076727493</v>
      </c>
      <c r="I40" s="4">
        <v>356.74</v>
      </c>
      <c r="J40" s="1">
        <f t="shared" si="2"/>
        <v>32.173</v>
      </c>
      <c r="K40" s="10">
        <f t="shared" si="3"/>
        <v>1451.0087076727493</v>
      </c>
      <c r="L40" s="6">
        <f t="shared" si="4"/>
        <v>44183.91075326056</v>
      </c>
      <c r="O40" s="1">
        <v>2.303</v>
      </c>
      <c r="P40" s="1">
        <v>29.87</v>
      </c>
    </row>
    <row r="41" spans="2:15" ht="12">
      <c r="B41" s="1" t="s">
        <v>134</v>
      </c>
      <c r="C41" s="17" t="s">
        <v>172</v>
      </c>
      <c r="D41" s="17">
        <v>4.42</v>
      </c>
      <c r="E41" s="6">
        <f t="shared" si="0"/>
        <v>245.61321571244582</v>
      </c>
      <c r="F41" s="8">
        <f t="shared" si="1"/>
        <v>250.0332157124458</v>
      </c>
      <c r="G41" s="3">
        <v>157.99</v>
      </c>
      <c r="H41" s="3">
        <v>87.6232157124458</v>
      </c>
      <c r="I41" s="4">
        <v>20.08754</v>
      </c>
      <c r="J41" s="1">
        <f t="shared" si="2"/>
        <v>1.856</v>
      </c>
      <c r="K41" s="10">
        <f t="shared" si="3"/>
        <v>267.5567557124458</v>
      </c>
      <c r="L41" s="6">
        <f t="shared" si="4"/>
        <v>44451.46750897301</v>
      </c>
      <c r="O41" s="1">
        <v>1.856</v>
      </c>
    </row>
    <row r="42" spans="2:15" ht="12">
      <c r="B42" s="1" t="s">
        <v>127</v>
      </c>
      <c r="C42" s="17" t="s">
        <v>127</v>
      </c>
      <c r="D42" s="17">
        <v>1074.03</v>
      </c>
      <c r="E42" s="6">
        <f t="shared" si="0"/>
        <v>471.11489</v>
      </c>
      <c r="F42" s="8">
        <f t="shared" si="1"/>
        <v>1545.14489</v>
      </c>
      <c r="H42" s="3">
        <v>471.11489</v>
      </c>
      <c r="I42" s="4">
        <v>152.82944999999998</v>
      </c>
      <c r="J42" s="1">
        <f t="shared" si="2"/>
        <v>2.088</v>
      </c>
      <c r="K42" s="10">
        <f t="shared" si="3"/>
        <v>626.03234</v>
      </c>
      <c r="L42" s="6">
        <f t="shared" si="4"/>
        <v>45077.499848973006</v>
      </c>
      <c r="O42" s="1">
        <v>2.088</v>
      </c>
    </row>
    <row r="43" spans="2:16" ht="12">
      <c r="B43" s="1" t="s">
        <v>77</v>
      </c>
      <c r="C43" s="17" t="s">
        <v>173</v>
      </c>
      <c r="D43" s="17">
        <v>909.14</v>
      </c>
      <c r="E43" s="6">
        <f t="shared" si="0"/>
        <v>7736.782693632146</v>
      </c>
      <c r="F43" s="8">
        <f t="shared" si="1"/>
        <v>8645.922693632147</v>
      </c>
      <c r="G43" s="3">
        <v>6042.318</v>
      </c>
      <c r="H43" s="3">
        <v>1694.464693632146</v>
      </c>
      <c r="I43" s="4">
        <v>545.7396200000001</v>
      </c>
      <c r="J43" s="1">
        <f t="shared" si="2"/>
        <v>176.56</v>
      </c>
      <c r="K43" s="10">
        <f t="shared" si="3"/>
        <v>8459.082313632145</v>
      </c>
      <c r="L43" s="6">
        <f t="shared" si="4"/>
        <v>53536.58216260515</v>
      </c>
      <c r="O43" s="1">
        <v>155.525</v>
      </c>
      <c r="P43" s="1">
        <v>21.035</v>
      </c>
    </row>
    <row r="44" spans="2:15" ht="12">
      <c r="B44" s="2">
        <v>1459</v>
      </c>
      <c r="C44" s="17" t="s">
        <v>174</v>
      </c>
      <c r="D44" s="17">
        <v>282.75</v>
      </c>
      <c r="E44" s="6">
        <f t="shared" si="0"/>
        <v>427.6449940026223</v>
      </c>
      <c r="F44" s="8">
        <f t="shared" si="1"/>
        <v>710.3949940026223</v>
      </c>
      <c r="H44" s="3">
        <v>427.6449940026223</v>
      </c>
      <c r="I44" s="4">
        <v>91.87729999999999</v>
      </c>
      <c r="J44" s="1">
        <f t="shared" si="2"/>
        <v>21.147</v>
      </c>
      <c r="K44" s="10">
        <f t="shared" si="3"/>
        <v>540.6692940026223</v>
      </c>
      <c r="L44" s="6">
        <f t="shared" si="4"/>
        <v>54077.25145660777</v>
      </c>
      <c r="O44" s="1">
        <v>21.147</v>
      </c>
    </row>
    <row r="45" spans="2:12" ht="12">
      <c r="B45" s="1" t="s">
        <v>78</v>
      </c>
      <c r="C45" s="17"/>
      <c r="D45" s="17"/>
      <c r="E45" s="6">
        <f t="shared" si="0"/>
        <v>57.337</v>
      </c>
      <c r="F45" s="8">
        <f t="shared" si="1"/>
        <v>57.337</v>
      </c>
      <c r="G45" s="3">
        <v>57.337</v>
      </c>
      <c r="I45" s="4"/>
      <c r="J45" s="1">
        <f t="shared" si="2"/>
        <v>0</v>
      </c>
      <c r="K45" s="10">
        <f t="shared" si="3"/>
        <v>57.337</v>
      </c>
      <c r="L45" s="6">
        <f t="shared" si="4"/>
        <v>54134.58845660777</v>
      </c>
    </row>
    <row r="46" spans="1:15" ht="12">
      <c r="A46" s="6">
        <f>SUM(F46:F47)</f>
        <v>2077.5351054058865</v>
      </c>
      <c r="B46" s="1" t="s">
        <v>79</v>
      </c>
      <c r="C46" s="17" t="s">
        <v>175</v>
      </c>
      <c r="D46" s="17">
        <v>88.98</v>
      </c>
      <c r="E46" s="6">
        <f t="shared" si="0"/>
        <v>545.5041054058865</v>
      </c>
      <c r="F46" s="8">
        <f t="shared" si="1"/>
        <v>634.4841054058866</v>
      </c>
      <c r="G46" s="3">
        <v>335.94</v>
      </c>
      <c r="H46" s="3">
        <v>209.56410540588652</v>
      </c>
      <c r="I46" s="4">
        <v>65.24308</v>
      </c>
      <c r="J46" s="1">
        <f t="shared" si="2"/>
        <v>24.474</v>
      </c>
      <c r="K46" s="10">
        <f t="shared" si="3"/>
        <v>635.2211854058866</v>
      </c>
      <c r="L46" s="6">
        <f t="shared" si="4"/>
        <v>54769.80964201366</v>
      </c>
      <c r="O46" s="1">
        <v>24.474</v>
      </c>
    </row>
    <row r="47" spans="2:12" ht="12">
      <c r="B47" s="1" t="s">
        <v>80</v>
      </c>
      <c r="C47" s="17" t="s">
        <v>176</v>
      </c>
      <c r="D47" s="17">
        <v>1438.99</v>
      </c>
      <c r="E47" s="6">
        <f t="shared" si="0"/>
        <v>4.061</v>
      </c>
      <c r="F47" s="8">
        <f t="shared" si="1"/>
        <v>1443.051</v>
      </c>
      <c r="G47" s="3">
        <v>4.061</v>
      </c>
      <c r="H47" s="3">
        <v>0</v>
      </c>
      <c r="I47" s="4">
        <v>17.15142</v>
      </c>
      <c r="J47" s="1">
        <f t="shared" si="2"/>
        <v>0</v>
      </c>
      <c r="K47" s="10">
        <f t="shared" si="3"/>
        <v>21.21242</v>
      </c>
      <c r="L47" s="6">
        <f t="shared" si="4"/>
        <v>54791.02206201366</v>
      </c>
    </row>
    <row r="48" spans="2:16" ht="12">
      <c r="B48" s="1" t="s">
        <v>81</v>
      </c>
      <c r="C48" s="17" t="s">
        <v>177</v>
      </c>
      <c r="D48" s="17">
        <v>1084.66</v>
      </c>
      <c r="E48" s="6">
        <f t="shared" si="0"/>
        <v>2.614</v>
      </c>
      <c r="F48" s="8">
        <f>SUM(D48:E48)+1</f>
        <v>1088.2740000000001</v>
      </c>
      <c r="G48" s="3">
        <v>2.614</v>
      </c>
      <c r="H48" s="3">
        <v>0</v>
      </c>
      <c r="I48" s="4">
        <v>37.284</v>
      </c>
      <c r="J48" s="1">
        <f t="shared" si="2"/>
        <v>29.064</v>
      </c>
      <c r="K48" s="10">
        <f t="shared" si="3"/>
        <v>68.96199999999999</v>
      </c>
      <c r="L48" s="6">
        <f t="shared" si="4"/>
        <v>54859.98406201366</v>
      </c>
      <c r="P48" s="1">
        <v>29.064</v>
      </c>
    </row>
    <row r="49" spans="1:15" ht="12">
      <c r="A49" s="6">
        <f>SUM(F49:F52)</f>
        <v>1985.7952214014574</v>
      </c>
      <c r="B49" s="1" t="s">
        <v>136</v>
      </c>
      <c r="C49" s="17" t="s">
        <v>178</v>
      </c>
      <c r="D49" s="17">
        <v>577.63</v>
      </c>
      <c r="E49" s="6">
        <f t="shared" si="0"/>
        <v>436.3062214014575</v>
      </c>
      <c r="F49" s="8">
        <f t="shared" si="1"/>
        <v>1013.9362214014575</v>
      </c>
      <c r="G49" s="3">
        <v>431.07300000000004</v>
      </c>
      <c r="H49" s="3">
        <v>5.233221401457453</v>
      </c>
      <c r="I49" s="4">
        <v>38.33229</v>
      </c>
      <c r="J49" s="1">
        <f t="shared" si="2"/>
        <v>28.892</v>
      </c>
      <c r="K49" s="10">
        <f t="shared" si="3"/>
        <v>503.5305114014575</v>
      </c>
      <c r="L49" s="6">
        <f t="shared" si="4"/>
        <v>55363.514573415116</v>
      </c>
      <c r="O49" s="1">
        <v>28.892</v>
      </c>
    </row>
    <row r="50" spans="2:15" ht="12">
      <c r="B50" s="1" t="s">
        <v>137</v>
      </c>
      <c r="C50" s="17" t="s">
        <v>179</v>
      </c>
      <c r="D50" s="17">
        <v>139.34</v>
      </c>
      <c r="E50" s="6">
        <f t="shared" si="0"/>
        <v>52.979</v>
      </c>
      <c r="F50" s="8">
        <f t="shared" si="1"/>
        <v>192.31900000000002</v>
      </c>
      <c r="G50" s="3">
        <v>0</v>
      </c>
      <c r="H50" s="3">
        <v>52.979</v>
      </c>
      <c r="I50" s="4">
        <v>86.51162</v>
      </c>
      <c r="J50" s="1">
        <f t="shared" si="2"/>
        <v>26.542</v>
      </c>
      <c r="K50" s="10">
        <f t="shared" si="3"/>
        <v>166.03261999999998</v>
      </c>
      <c r="L50" s="6">
        <f t="shared" si="4"/>
        <v>55529.547193415114</v>
      </c>
      <c r="O50" s="1">
        <v>26.542</v>
      </c>
    </row>
    <row r="51" spans="2:12" ht="12">
      <c r="B51" s="1" t="s">
        <v>82</v>
      </c>
      <c r="C51" s="17" t="s">
        <v>180</v>
      </c>
      <c r="D51" s="17">
        <v>549.98</v>
      </c>
      <c r="E51" s="6">
        <f t="shared" si="0"/>
        <v>0</v>
      </c>
      <c r="F51" s="8">
        <f t="shared" si="1"/>
        <v>549.98</v>
      </c>
      <c r="H51" s="3">
        <v>0</v>
      </c>
      <c r="I51" s="4">
        <v>0</v>
      </c>
      <c r="J51" s="1">
        <f t="shared" si="2"/>
        <v>0</v>
      </c>
      <c r="K51" s="10">
        <f t="shared" si="3"/>
        <v>0</v>
      </c>
      <c r="L51" s="6">
        <f t="shared" si="4"/>
        <v>55529.547193415114</v>
      </c>
    </row>
    <row r="52" spans="2:12" ht="12">
      <c r="B52" s="1" t="s">
        <v>83</v>
      </c>
      <c r="C52" s="17" t="s">
        <v>181</v>
      </c>
      <c r="D52" s="17">
        <v>229.56</v>
      </c>
      <c r="E52" s="6">
        <f t="shared" si="0"/>
        <v>0</v>
      </c>
      <c r="F52" s="8">
        <f t="shared" si="1"/>
        <v>229.56</v>
      </c>
      <c r="G52" s="3">
        <v>0</v>
      </c>
      <c r="H52" s="3">
        <v>0</v>
      </c>
      <c r="I52" s="4">
        <v>0</v>
      </c>
      <c r="J52" s="1">
        <f t="shared" si="2"/>
        <v>0</v>
      </c>
      <c r="K52" s="10">
        <f t="shared" si="3"/>
        <v>0</v>
      </c>
      <c r="L52" s="6">
        <f t="shared" si="4"/>
        <v>55529.547193415114</v>
      </c>
    </row>
    <row r="53" spans="1:12" ht="12">
      <c r="A53" s="6">
        <f>SUM(F53:F59)</f>
        <v>19951.81365851464</v>
      </c>
      <c r="B53" s="1" t="s">
        <v>138</v>
      </c>
      <c r="C53" s="17"/>
      <c r="D53" s="17"/>
      <c r="E53" s="6">
        <f t="shared" si="0"/>
        <v>64.38</v>
      </c>
      <c r="F53" s="8">
        <f t="shared" si="1"/>
        <v>64.38</v>
      </c>
      <c r="G53" s="3">
        <v>64.38</v>
      </c>
      <c r="I53" s="4"/>
      <c r="J53" s="1">
        <f t="shared" si="2"/>
        <v>0</v>
      </c>
      <c r="K53" s="10">
        <f t="shared" si="3"/>
        <v>64.38</v>
      </c>
      <c r="L53" s="6">
        <f t="shared" si="4"/>
        <v>55593.92719341511</v>
      </c>
    </row>
    <row r="54" spans="2:16" ht="12">
      <c r="B54" s="1" t="s">
        <v>84</v>
      </c>
      <c r="C54" s="17" t="s">
        <v>182</v>
      </c>
      <c r="D54" s="17">
        <v>3825.83</v>
      </c>
      <c r="E54" s="6">
        <f t="shared" si="0"/>
        <v>1517.4036887352713</v>
      </c>
      <c r="F54" s="8">
        <f>SUM(D54:E54)-32</f>
        <v>5311.233688735271</v>
      </c>
      <c r="G54" s="3">
        <v>997.703</v>
      </c>
      <c r="H54" s="3">
        <v>519.7006887352712</v>
      </c>
      <c r="I54" s="4">
        <v>205.73600000000002</v>
      </c>
      <c r="J54" s="1">
        <f t="shared" si="2"/>
        <v>86.3</v>
      </c>
      <c r="K54" s="10">
        <f t="shared" si="3"/>
        <v>1809.4396887352714</v>
      </c>
      <c r="L54" s="6">
        <f t="shared" si="4"/>
        <v>57403.36688215038</v>
      </c>
      <c r="O54" s="1">
        <v>68.937</v>
      </c>
      <c r="P54" s="1">
        <v>17.363</v>
      </c>
    </row>
    <row r="55" spans="2:15" ht="12">
      <c r="B55" s="1" t="s">
        <v>128</v>
      </c>
      <c r="C55" s="17" t="s">
        <v>128</v>
      </c>
      <c r="D55" s="17">
        <v>993.97</v>
      </c>
      <c r="E55" s="6">
        <f t="shared" si="0"/>
        <v>1432.04187303558</v>
      </c>
      <c r="F55" s="8">
        <f t="shared" si="1"/>
        <v>2426.01187303558</v>
      </c>
      <c r="G55" s="3">
        <v>1149.138</v>
      </c>
      <c r="H55" s="3">
        <v>282.9038730355802</v>
      </c>
      <c r="I55" s="4">
        <v>206.75426</v>
      </c>
      <c r="J55" s="1">
        <f t="shared" si="2"/>
        <v>96.318</v>
      </c>
      <c r="K55" s="10">
        <f t="shared" si="3"/>
        <v>1735.11413303558</v>
      </c>
      <c r="L55" s="6">
        <f t="shared" si="4"/>
        <v>59138.481015185964</v>
      </c>
      <c r="O55" s="1">
        <f>65.216+31.102</f>
        <v>96.318</v>
      </c>
    </row>
    <row r="56" spans="2:12" ht="12">
      <c r="B56" s="1" t="s">
        <v>85</v>
      </c>
      <c r="C56" s="17"/>
      <c r="D56" s="17"/>
      <c r="E56" s="6">
        <f t="shared" si="0"/>
        <v>558.9370000000001</v>
      </c>
      <c r="F56" s="8">
        <f t="shared" si="1"/>
        <v>558.9370000000001</v>
      </c>
      <c r="G56" s="3">
        <v>558.9370000000001</v>
      </c>
      <c r="I56" s="4"/>
      <c r="J56" s="1">
        <f t="shared" si="2"/>
        <v>0</v>
      </c>
      <c r="K56" s="10">
        <f t="shared" si="3"/>
        <v>558.9370000000001</v>
      </c>
      <c r="L56" s="6">
        <f t="shared" si="4"/>
        <v>59697.41801518596</v>
      </c>
    </row>
    <row r="57" spans="2:12" ht="12">
      <c r="B57" s="1" t="s">
        <v>86</v>
      </c>
      <c r="C57" s="17" t="s">
        <v>183</v>
      </c>
      <c r="D57" s="17">
        <v>360.36</v>
      </c>
      <c r="E57" s="6">
        <f t="shared" si="0"/>
        <v>32.939</v>
      </c>
      <c r="F57" s="8">
        <f t="shared" si="1"/>
        <v>393.29900000000004</v>
      </c>
      <c r="G57" s="3">
        <v>26.517</v>
      </c>
      <c r="H57" s="3">
        <v>6.421999999999999</v>
      </c>
      <c r="I57" s="4">
        <v>33.541</v>
      </c>
      <c r="J57" s="1">
        <f t="shared" si="2"/>
        <v>0</v>
      </c>
      <c r="K57" s="10">
        <f t="shared" si="3"/>
        <v>66.47999999999999</v>
      </c>
      <c r="L57" s="6">
        <f t="shared" si="4"/>
        <v>59763.898015185965</v>
      </c>
    </row>
    <row r="58" spans="2:15" ht="12">
      <c r="B58" s="1" t="s">
        <v>87</v>
      </c>
      <c r="C58" s="17" t="s">
        <v>184</v>
      </c>
      <c r="D58" s="17">
        <v>7343.14</v>
      </c>
      <c r="E58" s="6">
        <f t="shared" si="0"/>
        <v>1966.5020967437824</v>
      </c>
      <c r="F58" s="8">
        <f t="shared" si="1"/>
        <v>9309.642096743783</v>
      </c>
      <c r="G58" s="3">
        <v>704.6320000000001</v>
      </c>
      <c r="H58" s="3">
        <v>1261.8700967437824</v>
      </c>
      <c r="I58" s="4">
        <v>705.4328499999999</v>
      </c>
      <c r="J58" s="1">
        <f t="shared" si="2"/>
        <v>457.543</v>
      </c>
      <c r="K58" s="10">
        <f t="shared" si="3"/>
        <v>3129.4779467437825</v>
      </c>
      <c r="L58" s="6">
        <f t="shared" si="4"/>
        <v>62893.37596192975</v>
      </c>
      <c r="O58" s="1">
        <v>457.543</v>
      </c>
    </row>
    <row r="59" spans="2:12" ht="12">
      <c r="B59" s="1" t="s">
        <v>129</v>
      </c>
      <c r="C59" s="17" t="s">
        <v>129</v>
      </c>
      <c r="D59" s="17">
        <v>1888.31</v>
      </c>
      <c r="E59" s="6">
        <f t="shared" si="0"/>
        <v>0</v>
      </c>
      <c r="F59" s="8">
        <f t="shared" si="1"/>
        <v>1888.31</v>
      </c>
      <c r="H59" s="3">
        <v>0</v>
      </c>
      <c r="I59" s="4">
        <v>0</v>
      </c>
      <c r="J59" s="1">
        <f t="shared" si="2"/>
        <v>0</v>
      </c>
      <c r="K59" s="10">
        <f t="shared" si="3"/>
        <v>0</v>
      </c>
      <c r="L59" s="6">
        <f t="shared" si="4"/>
        <v>62893.37596192975</v>
      </c>
    </row>
    <row r="60" spans="1:16" ht="12">
      <c r="A60" s="6">
        <f>SUM(F60)</f>
        <v>4572.445</v>
      </c>
      <c r="B60" s="1" t="s">
        <v>88</v>
      </c>
      <c r="C60" s="17" t="s">
        <v>185</v>
      </c>
      <c r="D60" s="17">
        <v>2255.15</v>
      </c>
      <c r="E60" s="6">
        <f t="shared" si="0"/>
        <v>2317.295</v>
      </c>
      <c r="F60" s="8">
        <f t="shared" si="1"/>
        <v>4572.445</v>
      </c>
      <c r="G60" s="3">
        <v>2128.3360000000002</v>
      </c>
      <c r="H60" s="3">
        <v>188.959</v>
      </c>
      <c r="I60" s="4">
        <v>127.46</v>
      </c>
      <c r="J60" s="1">
        <f t="shared" si="2"/>
        <v>63.325</v>
      </c>
      <c r="K60" s="10">
        <f t="shared" si="3"/>
        <v>2508.08</v>
      </c>
      <c r="L60" s="6">
        <f t="shared" si="4"/>
        <v>65401.45596192975</v>
      </c>
      <c r="P60" s="1">
        <v>63.325</v>
      </c>
    </row>
    <row r="61" spans="1:12" ht="12">
      <c r="A61" s="6">
        <f>SUM(F61:F64)</f>
        <v>1366.429</v>
      </c>
      <c r="B61" s="1" t="s">
        <v>89</v>
      </c>
      <c r="C61" s="17"/>
      <c r="D61" s="17"/>
      <c r="E61" s="6">
        <f t="shared" si="0"/>
        <v>62.89300000000001</v>
      </c>
      <c r="F61" s="8">
        <f t="shared" si="1"/>
        <v>62.89300000000001</v>
      </c>
      <c r="G61" s="3">
        <v>62.89300000000001</v>
      </c>
      <c r="I61" s="4"/>
      <c r="J61" s="1">
        <f t="shared" si="2"/>
        <v>0</v>
      </c>
      <c r="K61" s="10">
        <f t="shared" si="3"/>
        <v>62.89300000000001</v>
      </c>
      <c r="L61" s="6">
        <f t="shared" si="4"/>
        <v>65464.34896192975</v>
      </c>
    </row>
    <row r="62" spans="2:12" ht="12">
      <c r="B62" s="1" t="s">
        <v>139</v>
      </c>
      <c r="C62" s="17" t="s">
        <v>186</v>
      </c>
      <c r="D62" s="17">
        <v>338.23</v>
      </c>
      <c r="E62" s="6">
        <f t="shared" si="0"/>
        <v>0</v>
      </c>
      <c r="F62" s="8">
        <f t="shared" si="1"/>
        <v>338.23</v>
      </c>
      <c r="G62" s="3">
        <v>0</v>
      </c>
      <c r="H62" s="3">
        <v>0</v>
      </c>
      <c r="I62" s="4">
        <v>0</v>
      </c>
      <c r="J62" s="1">
        <f t="shared" si="2"/>
        <v>0</v>
      </c>
      <c r="K62" s="10">
        <f t="shared" si="3"/>
        <v>0</v>
      </c>
      <c r="L62" s="6">
        <f t="shared" si="4"/>
        <v>65464.34896192975</v>
      </c>
    </row>
    <row r="63" spans="2:12" ht="12">
      <c r="B63" s="1" t="s">
        <v>140</v>
      </c>
      <c r="C63" s="17" t="s">
        <v>187</v>
      </c>
      <c r="D63" s="17">
        <v>679.36</v>
      </c>
      <c r="E63" s="6">
        <f t="shared" si="0"/>
        <v>0</v>
      </c>
      <c r="F63" s="8">
        <f t="shared" si="1"/>
        <v>679.36</v>
      </c>
      <c r="G63" s="3">
        <v>0</v>
      </c>
      <c r="H63" s="3">
        <v>0</v>
      </c>
      <c r="I63" s="4">
        <v>0</v>
      </c>
      <c r="J63" s="1">
        <f t="shared" si="2"/>
        <v>0</v>
      </c>
      <c r="K63" s="10">
        <f t="shared" si="3"/>
        <v>0</v>
      </c>
      <c r="L63" s="6">
        <f t="shared" si="4"/>
        <v>65464.34896192975</v>
      </c>
    </row>
    <row r="64" spans="2:12" ht="12">
      <c r="B64" s="1" t="s">
        <v>90</v>
      </c>
      <c r="C64" s="17"/>
      <c r="D64" s="17"/>
      <c r="E64" s="6">
        <f t="shared" si="0"/>
        <v>284.946</v>
      </c>
      <c r="F64" s="8">
        <f>SUM(D64:E64)+1</f>
        <v>285.946</v>
      </c>
      <c r="G64" s="3">
        <v>284.946</v>
      </c>
      <c r="I64" s="4"/>
      <c r="J64" s="1">
        <f t="shared" si="2"/>
        <v>0</v>
      </c>
      <c r="K64" s="10">
        <f t="shared" si="3"/>
        <v>284.946</v>
      </c>
      <c r="L64" s="6">
        <f t="shared" si="4"/>
        <v>65749.29496192974</v>
      </c>
    </row>
    <row r="65" spans="1:15" ht="12">
      <c r="A65" s="6">
        <f>SUM(F65:F68)</f>
        <v>1941.953834343163</v>
      </c>
      <c r="B65" s="1" t="s">
        <v>91</v>
      </c>
      <c r="C65" s="17" t="s">
        <v>188</v>
      </c>
      <c r="D65" s="17">
        <v>411.26</v>
      </c>
      <c r="E65" s="6">
        <f t="shared" si="0"/>
        <v>756.0796203844125</v>
      </c>
      <c r="F65" s="8">
        <f>SUM(D65:E65)-2</f>
        <v>1165.3396203844125</v>
      </c>
      <c r="G65" s="3">
        <v>614.023</v>
      </c>
      <c r="H65" s="3">
        <v>142.05662038441244</v>
      </c>
      <c r="I65" s="4">
        <v>50.481300000000005</v>
      </c>
      <c r="J65" s="1">
        <f t="shared" si="2"/>
        <v>44.581</v>
      </c>
      <c r="K65" s="10">
        <f t="shared" si="3"/>
        <v>851.1419203844125</v>
      </c>
      <c r="L65" s="6">
        <f t="shared" si="4"/>
        <v>66600.43688231416</v>
      </c>
      <c r="O65" s="1">
        <v>44.581</v>
      </c>
    </row>
    <row r="66" spans="2:12" ht="12">
      <c r="B66" s="1" t="s">
        <v>141</v>
      </c>
      <c r="C66" s="17" t="s">
        <v>189</v>
      </c>
      <c r="D66" s="17">
        <v>30.12</v>
      </c>
      <c r="E66" s="6">
        <f t="shared" si="0"/>
        <v>0</v>
      </c>
      <c r="F66" s="8">
        <f t="shared" si="1"/>
        <v>30.12</v>
      </c>
      <c r="G66" s="3">
        <v>0</v>
      </c>
      <c r="H66" s="3">
        <v>0</v>
      </c>
      <c r="I66" s="4">
        <v>0</v>
      </c>
      <c r="J66" s="1">
        <f t="shared" si="2"/>
        <v>0</v>
      </c>
      <c r="K66" s="10">
        <f t="shared" si="3"/>
        <v>0</v>
      </c>
      <c r="L66" s="6">
        <f t="shared" si="4"/>
        <v>66600.43688231416</v>
      </c>
    </row>
    <row r="67" spans="2:12" ht="12">
      <c r="B67" s="1" t="s">
        <v>142</v>
      </c>
      <c r="C67" s="17" t="s">
        <v>190</v>
      </c>
      <c r="D67" s="17">
        <v>258.06</v>
      </c>
      <c r="E67" s="6">
        <f t="shared" si="0"/>
        <v>0</v>
      </c>
      <c r="F67" s="8">
        <f t="shared" si="1"/>
        <v>258.06</v>
      </c>
      <c r="G67" s="3">
        <v>0</v>
      </c>
      <c r="H67" s="3">
        <v>0</v>
      </c>
      <c r="I67" s="4">
        <v>0</v>
      </c>
      <c r="J67" s="1">
        <f t="shared" si="2"/>
        <v>0</v>
      </c>
      <c r="K67" s="10">
        <f t="shared" si="3"/>
        <v>0</v>
      </c>
      <c r="L67" s="6">
        <f t="shared" si="4"/>
        <v>66600.43688231416</v>
      </c>
    </row>
    <row r="68" spans="2:15" ht="12">
      <c r="B68" s="1" t="s">
        <v>92</v>
      </c>
      <c r="C68" s="17" t="s">
        <v>191</v>
      </c>
      <c r="D68" s="17">
        <v>111.52</v>
      </c>
      <c r="E68" s="6">
        <f t="shared" si="0"/>
        <v>376.9142139587507</v>
      </c>
      <c r="F68" s="8">
        <f t="shared" si="1"/>
        <v>488.43421395875066</v>
      </c>
      <c r="G68" s="3">
        <v>342.50600000000003</v>
      </c>
      <c r="H68" s="3">
        <v>34.40821395875064</v>
      </c>
      <c r="I68" s="4">
        <v>30.25342</v>
      </c>
      <c r="J68" s="1">
        <f t="shared" si="2"/>
        <v>4.214</v>
      </c>
      <c r="K68" s="10">
        <f t="shared" si="3"/>
        <v>411.3816339587507</v>
      </c>
      <c r="L68" s="6">
        <f t="shared" si="4"/>
        <v>67011.8185162729</v>
      </c>
      <c r="O68" s="1">
        <v>4.214</v>
      </c>
    </row>
    <row r="69" spans="1:12" ht="12">
      <c r="A69" s="6">
        <f>SUM(F69:F73)</f>
        <v>3333.6615011199538</v>
      </c>
      <c r="B69" s="1" t="s">
        <v>93</v>
      </c>
      <c r="C69" s="19" t="s">
        <v>192</v>
      </c>
      <c r="D69" s="19">
        <v>154.3</v>
      </c>
      <c r="E69" s="6">
        <f t="shared" si="0"/>
        <v>3.2483100000000036</v>
      </c>
      <c r="F69" s="8">
        <f t="shared" si="1"/>
        <v>157.54831000000001</v>
      </c>
      <c r="G69" s="3">
        <v>107.351</v>
      </c>
      <c r="H69" s="3">
        <v>-104.10269</v>
      </c>
      <c r="I69" s="4">
        <v>0</v>
      </c>
      <c r="J69" s="1">
        <f t="shared" si="2"/>
        <v>0</v>
      </c>
      <c r="K69" s="10">
        <f t="shared" si="3"/>
        <v>3.2483100000000036</v>
      </c>
      <c r="L69" s="6">
        <f t="shared" si="4"/>
        <v>67015.0668262729</v>
      </c>
    </row>
    <row r="70" spans="2:15" ht="12">
      <c r="B70" s="1" t="s">
        <v>94</v>
      </c>
      <c r="C70" s="17" t="s">
        <v>193</v>
      </c>
      <c r="D70" s="17">
        <v>579.14</v>
      </c>
      <c r="E70" s="6">
        <f aca="true" t="shared" si="5" ref="E70:E106">SUM(G70:H70)</f>
        <v>369.762</v>
      </c>
      <c r="F70" s="8">
        <f aca="true" t="shared" si="6" ref="F70:F106">SUM(D70:E70)</f>
        <v>948.902</v>
      </c>
      <c r="G70" s="3">
        <v>369.762</v>
      </c>
      <c r="H70" s="3">
        <v>0</v>
      </c>
      <c r="I70" s="4">
        <v>20.50365</v>
      </c>
      <c r="J70" s="1">
        <f t="shared" si="2"/>
        <v>2.755</v>
      </c>
      <c r="K70" s="10">
        <f t="shared" si="3"/>
        <v>393.02065</v>
      </c>
      <c r="L70" s="6">
        <f t="shared" si="4"/>
        <v>67408.0874762729</v>
      </c>
      <c r="O70" s="1">
        <v>2.755</v>
      </c>
    </row>
    <row r="71" spans="2:15" ht="12">
      <c r="B71" s="1" t="s">
        <v>95</v>
      </c>
      <c r="C71" s="17" t="s">
        <v>194</v>
      </c>
      <c r="D71" s="17">
        <v>1079.99</v>
      </c>
      <c r="E71" s="6">
        <f t="shared" si="5"/>
        <v>80.521</v>
      </c>
      <c r="F71" s="8">
        <f t="shared" si="6"/>
        <v>1160.511</v>
      </c>
      <c r="G71" s="3">
        <v>80.521</v>
      </c>
      <c r="H71" s="3">
        <v>0</v>
      </c>
      <c r="I71" s="4">
        <v>5.510490000000001</v>
      </c>
      <c r="J71" s="1">
        <f aca="true" t="shared" si="7" ref="J71:J105">SUM(O71:P71)</f>
        <v>2.066</v>
      </c>
      <c r="K71" s="10">
        <f aca="true" t="shared" si="8" ref="K71:K108">SUM(G71:J71)</f>
        <v>88.09749000000001</v>
      </c>
      <c r="L71" s="6">
        <f t="shared" si="4"/>
        <v>67496.18496627291</v>
      </c>
      <c r="O71" s="1">
        <v>2.066</v>
      </c>
    </row>
    <row r="72" spans="2:12" ht="12">
      <c r="B72" s="1" t="s">
        <v>96</v>
      </c>
      <c r="C72" s="17" t="s">
        <v>195</v>
      </c>
      <c r="D72" s="17">
        <v>904.9</v>
      </c>
      <c r="E72" s="6">
        <f t="shared" si="5"/>
        <v>160.50019111995337</v>
      </c>
      <c r="F72" s="8">
        <f t="shared" si="6"/>
        <v>1065.4001911199534</v>
      </c>
      <c r="G72" s="3">
        <v>161.05599999999998</v>
      </c>
      <c r="H72" s="3">
        <v>-0.5558088800466068</v>
      </c>
      <c r="I72" s="4">
        <v>0</v>
      </c>
      <c r="J72" s="1">
        <f t="shared" si="7"/>
        <v>0</v>
      </c>
      <c r="K72" s="10">
        <f t="shared" si="8"/>
        <v>160.50019111995337</v>
      </c>
      <c r="L72" s="6">
        <f aca="true" t="shared" si="9" ref="L72:L106">+K72+L71</f>
        <v>67656.68515739286</v>
      </c>
    </row>
    <row r="73" spans="2:12" ht="12">
      <c r="B73" s="1" t="s">
        <v>97</v>
      </c>
      <c r="C73" s="17"/>
      <c r="D73" s="17"/>
      <c r="E73" s="6">
        <f t="shared" si="5"/>
        <v>1.3</v>
      </c>
      <c r="F73" s="8">
        <f t="shared" si="6"/>
        <v>1.3</v>
      </c>
      <c r="G73" s="3">
        <v>1.3</v>
      </c>
      <c r="I73" s="4"/>
      <c r="J73" s="1">
        <f t="shared" si="7"/>
        <v>0</v>
      </c>
      <c r="K73" s="10">
        <f t="shared" si="8"/>
        <v>1.3</v>
      </c>
      <c r="L73" s="6">
        <f t="shared" si="9"/>
        <v>67657.98515739286</v>
      </c>
    </row>
    <row r="74" spans="1:12" ht="12">
      <c r="A74" s="6">
        <f>SUM(F74:F80)</f>
        <v>2131.5220000000004</v>
      </c>
      <c r="B74" s="1" t="s">
        <v>143</v>
      </c>
      <c r="C74" s="17" t="s">
        <v>196</v>
      </c>
      <c r="D74" s="17">
        <v>221.35</v>
      </c>
      <c r="E74" s="6">
        <f t="shared" si="5"/>
        <v>0</v>
      </c>
      <c r="F74" s="8">
        <f t="shared" si="6"/>
        <v>221.35</v>
      </c>
      <c r="G74" s="3">
        <v>0</v>
      </c>
      <c r="H74" s="3">
        <v>0</v>
      </c>
      <c r="I74" s="4">
        <v>0</v>
      </c>
      <c r="J74" s="1">
        <f t="shared" si="7"/>
        <v>0</v>
      </c>
      <c r="K74" s="10">
        <f t="shared" si="8"/>
        <v>0</v>
      </c>
      <c r="L74" s="6">
        <f t="shared" si="9"/>
        <v>67657.98515739286</v>
      </c>
    </row>
    <row r="75" spans="2:12" ht="12">
      <c r="B75" s="1" t="s">
        <v>144</v>
      </c>
      <c r="C75" s="17" t="s">
        <v>197</v>
      </c>
      <c r="D75" s="17">
        <v>411.62</v>
      </c>
      <c r="E75" s="6">
        <f t="shared" si="5"/>
        <v>0</v>
      </c>
      <c r="F75" s="8">
        <f t="shared" si="6"/>
        <v>411.62</v>
      </c>
      <c r="G75" s="3">
        <v>0</v>
      </c>
      <c r="H75" s="3">
        <v>0</v>
      </c>
      <c r="I75" s="4">
        <v>0</v>
      </c>
      <c r="J75" s="1">
        <f t="shared" si="7"/>
        <v>0</v>
      </c>
      <c r="K75" s="10">
        <f t="shared" si="8"/>
        <v>0</v>
      </c>
      <c r="L75" s="6">
        <f t="shared" si="9"/>
        <v>67657.98515739286</v>
      </c>
    </row>
    <row r="76" spans="2:12" ht="12">
      <c r="B76" s="1" t="s">
        <v>145</v>
      </c>
      <c r="C76" s="17" t="s">
        <v>198</v>
      </c>
      <c r="D76" s="17">
        <v>166.41</v>
      </c>
      <c r="E76" s="6">
        <f t="shared" si="5"/>
        <v>0</v>
      </c>
      <c r="F76" s="8">
        <f t="shared" si="6"/>
        <v>166.41</v>
      </c>
      <c r="G76" s="3">
        <v>0</v>
      </c>
      <c r="H76" s="3">
        <v>0</v>
      </c>
      <c r="I76" s="4">
        <v>0</v>
      </c>
      <c r="J76" s="1">
        <f t="shared" si="7"/>
        <v>0</v>
      </c>
      <c r="K76" s="10">
        <f t="shared" si="8"/>
        <v>0</v>
      </c>
      <c r="L76" s="6">
        <f t="shared" si="9"/>
        <v>67657.98515739286</v>
      </c>
    </row>
    <row r="77" spans="2:12" ht="12">
      <c r="B77" s="1" t="s">
        <v>146</v>
      </c>
      <c r="C77" s="17" t="s">
        <v>199</v>
      </c>
      <c r="D77" s="17">
        <v>358.31</v>
      </c>
      <c r="E77" s="6">
        <f t="shared" si="5"/>
        <v>0</v>
      </c>
      <c r="F77" s="8">
        <f t="shared" si="6"/>
        <v>358.31</v>
      </c>
      <c r="G77" s="3">
        <v>0</v>
      </c>
      <c r="H77" s="3">
        <v>0</v>
      </c>
      <c r="I77" s="4">
        <v>0</v>
      </c>
      <c r="J77" s="1">
        <f t="shared" si="7"/>
        <v>0</v>
      </c>
      <c r="K77" s="10">
        <f t="shared" si="8"/>
        <v>0</v>
      </c>
      <c r="L77" s="6">
        <f t="shared" si="9"/>
        <v>67657.98515739286</v>
      </c>
    </row>
    <row r="78" spans="2:12" ht="12">
      <c r="B78" s="1" t="s">
        <v>147</v>
      </c>
      <c r="C78" s="17" t="s">
        <v>200</v>
      </c>
      <c r="D78" s="17">
        <v>501.86</v>
      </c>
      <c r="E78" s="6">
        <f t="shared" si="5"/>
        <v>0</v>
      </c>
      <c r="F78" s="8">
        <f t="shared" si="6"/>
        <v>501.86</v>
      </c>
      <c r="G78" s="3">
        <v>0</v>
      </c>
      <c r="H78" s="3">
        <v>0</v>
      </c>
      <c r="I78" s="4">
        <v>0</v>
      </c>
      <c r="J78" s="1">
        <f t="shared" si="7"/>
        <v>0</v>
      </c>
      <c r="K78" s="10">
        <f t="shared" si="8"/>
        <v>0</v>
      </c>
      <c r="L78" s="6">
        <f t="shared" si="9"/>
        <v>67657.98515739286</v>
      </c>
    </row>
    <row r="79" spans="2:12" ht="12">
      <c r="B79" s="1" t="s">
        <v>148</v>
      </c>
      <c r="C79" s="17" t="s">
        <v>201</v>
      </c>
      <c r="D79" s="17">
        <v>372.41</v>
      </c>
      <c r="E79" s="6">
        <f t="shared" si="5"/>
        <v>0</v>
      </c>
      <c r="F79" s="8">
        <f t="shared" si="6"/>
        <v>372.41</v>
      </c>
      <c r="G79" s="3">
        <v>0</v>
      </c>
      <c r="H79" s="3">
        <v>0</v>
      </c>
      <c r="I79" s="4">
        <v>0</v>
      </c>
      <c r="J79" s="1">
        <f t="shared" si="7"/>
        <v>0</v>
      </c>
      <c r="K79" s="10">
        <f t="shared" si="8"/>
        <v>0</v>
      </c>
      <c r="L79" s="6">
        <f t="shared" si="9"/>
        <v>67657.98515739286</v>
      </c>
    </row>
    <row r="80" spans="2:15" ht="12">
      <c r="B80" s="1" t="s">
        <v>98</v>
      </c>
      <c r="C80" s="17" t="s">
        <v>202</v>
      </c>
      <c r="D80" s="17">
        <v>66.54</v>
      </c>
      <c r="E80" s="6">
        <f t="shared" si="5"/>
        <v>33.022</v>
      </c>
      <c r="F80" s="8">
        <f t="shared" si="6"/>
        <v>99.56200000000001</v>
      </c>
      <c r="G80" s="3">
        <v>33.022</v>
      </c>
      <c r="H80" s="3">
        <v>0</v>
      </c>
      <c r="I80" s="4">
        <v>11.21964</v>
      </c>
      <c r="J80" s="1">
        <f t="shared" si="7"/>
        <v>3.926</v>
      </c>
      <c r="K80" s="10">
        <f t="shared" si="8"/>
        <v>48.16764</v>
      </c>
      <c r="L80" s="6">
        <f t="shared" si="9"/>
        <v>67706.15279739286</v>
      </c>
      <c r="O80" s="1">
        <v>3.926</v>
      </c>
    </row>
    <row r="81" spans="1:12" ht="12">
      <c r="A81" s="6">
        <f>SUM(F81:F85)</f>
        <v>2447.433</v>
      </c>
      <c r="B81" s="1" t="s">
        <v>149</v>
      </c>
      <c r="C81" s="17" t="s">
        <v>203</v>
      </c>
      <c r="D81" s="17">
        <v>112.25</v>
      </c>
      <c r="E81" s="6">
        <f t="shared" si="5"/>
        <v>14.873</v>
      </c>
      <c r="F81" s="8">
        <f t="shared" si="6"/>
        <v>127.123</v>
      </c>
      <c r="G81" s="3">
        <v>14.873</v>
      </c>
      <c r="H81" s="3">
        <v>0</v>
      </c>
      <c r="I81" s="4">
        <v>0</v>
      </c>
      <c r="J81" s="1">
        <f t="shared" si="7"/>
        <v>0</v>
      </c>
      <c r="K81" s="10">
        <f t="shared" si="8"/>
        <v>14.873</v>
      </c>
      <c r="L81" s="6">
        <f t="shared" si="9"/>
        <v>67721.02579739287</v>
      </c>
    </row>
    <row r="82" spans="2:12" ht="12">
      <c r="B82" s="1" t="s">
        <v>150</v>
      </c>
      <c r="C82" s="17" t="s">
        <v>204</v>
      </c>
      <c r="D82" s="17">
        <v>1567.72</v>
      </c>
      <c r="E82" s="6">
        <f t="shared" si="5"/>
        <v>0</v>
      </c>
      <c r="F82" s="8">
        <f t="shared" si="6"/>
        <v>1567.72</v>
      </c>
      <c r="G82" s="3">
        <v>0</v>
      </c>
      <c r="H82" s="3">
        <v>0</v>
      </c>
      <c r="I82" s="4">
        <v>0</v>
      </c>
      <c r="J82" s="1">
        <f t="shared" si="7"/>
        <v>0</v>
      </c>
      <c r="K82" s="10">
        <f t="shared" si="8"/>
        <v>0</v>
      </c>
      <c r="L82" s="6">
        <f t="shared" si="9"/>
        <v>67721.02579739287</v>
      </c>
    </row>
    <row r="83" spans="2:12" ht="12">
      <c r="B83" s="1" t="s">
        <v>151</v>
      </c>
      <c r="C83" s="17" t="s">
        <v>205</v>
      </c>
      <c r="D83" s="17">
        <v>109.44</v>
      </c>
      <c r="E83" s="6">
        <f t="shared" si="5"/>
        <v>0</v>
      </c>
      <c r="F83" s="8">
        <f t="shared" si="6"/>
        <v>109.44</v>
      </c>
      <c r="G83" s="3">
        <v>0</v>
      </c>
      <c r="H83" s="3">
        <v>0</v>
      </c>
      <c r="I83" s="4">
        <v>0</v>
      </c>
      <c r="J83" s="1">
        <f t="shared" si="7"/>
        <v>0</v>
      </c>
      <c r="K83" s="10">
        <f t="shared" si="8"/>
        <v>0</v>
      </c>
      <c r="L83" s="6">
        <f t="shared" si="9"/>
        <v>67721.02579739287</v>
      </c>
    </row>
    <row r="84" spans="2:12" ht="12">
      <c r="B84" s="1" t="s">
        <v>130</v>
      </c>
      <c r="C84" s="17" t="s">
        <v>206</v>
      </c>
      <c r="D84" s="17">
        <v>633.78</v>
      </c>
      <c r="E84" s="6">
        <f t="shared" si="5"/>
        <v>0</v>
      </c>
      <c r="F84" s="8">
        <f t="shared" si="6"/>
        <v>633.78</v>
      </c>
      <c r="H84" s="3">
        <v>0</v>
      </c>
      <c r="I84" s="4">
        <v>0</v>
      </c>
      <c r="J84" s="1">
        <f t="shared" si="7"/>
        <v>0</v>
      </c>
      <c r="K84" s="10">
        <f t="shared" si="8"/>
        <v>0</v>
      </c>
      <c r="L84" s="6">
        <f t="shared" si="9"/>
        <v>67721.02579739287</v>
      </c>
    </row>
    <row r="85" spans="2:12" ht="12">
      <c r="B85" s="1" t="s">
        <v>99</v>
      </c>
      <c r="C85" s="17"/>
      <c r="D85" s="17"/>
      <c r="E85" s="6">
        <f t="shared" si="5"/>
        <v>9.37</v>
      </c>
      <c r="F85" s="8">
        <f t="shared" si="6"/>
        <v>9.37</v>
      </c>
      <c r="G85" s="3">
        <v>9.37</v>
      </c>
      <c r="I85" s="4"/>
      <c r="J85" s="1">
        <f t="shared" si="7"/>
        <v>0</v>
      </c>
      <c r="K85" s="10">
        <f t="shared" si="8"/>
        <v>9.37</v>
      </c>
      <c r="L85" s="6">
        <f t="shared" si="9"/>
        <v>67730.39579739286</v>
      </c>
    </row>
    <row r="86" spans="1:12" ht="12">
      <c r="A86" s="6">
        <f>SUM(F86:F93)</f>
        <v>9284.849745702235</v>
      </c>
      <c r="B86" s="1" t="s">
        <v>100</v>
      </c>
      <c r="C86" s="17"/>
      <c r="D86" s="17"/>
      <c r="E86" s="6">
        <f t="shared" si="5"/>
        <v>32.605</v>
      </c>
      <c r="F86" s="8">
        <f t="shared" si="6"/>
        <v>32.605</v>
      </c>
      <c r="G86" s="3">
        <v>32.605</v>
      </c>
      <c r="I86" s="4"/>
      <c r="J86" s="1">
        <f t="shared" si="7"/>
        <v>0</v>
      </c>
      <c r="K86" s="10">
        <f t="shared" si="8"/>
        <v>32.605</v>
      </c>
      <c r="L86" s="6">
        <f t="shared" si="9"/>
        <v>67763.00079739286</v>
      </c>
    </row>
    <row r="87" spans="2:12" ht="12">
      <c r="B87" s="1" t="s">
        <v>101</v>
      </c>
      <c r="C87" s="17"/>
      <c r="D87" s="17"/>
      <c r="E87" s="6">
        <f t="shared" si="5"/>
        <v>0</v>
      </c>
      <c r="F87" s="8">
        <f t="shared" si="6"/>
        <v>0</v>
      </c>
      <c r="G87" s="3">
        <v>0</v>
      </c>
      <c r="I87" s="4"/>
      <c r="J87" s="1">
        <f t="shared" si="7"/>
        <v>0</v>
      </c>
      <c r="K87" s="10">
        <f t="shared" si="8"/>
        <v>0</v>
      </c>
      <c r="L87" s="6">
        <f t="shared" si="9"/>
        <v>67763.00079739286</v>
      </c>
    </row>
    <row r="88" spans="2:15" ht="12">
      <c r="B88" s="1" t="s">
        <v>102</v>
      </c>
      <c r="C88" s="17" t="s">
        <v>207</v>
      </c>
      <c r="D88" s="17">
        <v>212.67</v>
      </c>
      <c r="E88" s="6">
        <f t="shared" si="5"/>
        <v>75.836</v>
      </c>
      <c r="F88" s="8">
        <f t="shared" si="6"/>
        <v>288.506</v>
      </c>
      <c r="G88" s="3">
        <v>75.836</v>
      </c>
      <c r="H88" s="3">
        <v>0</v>
      </c>
      <c r="I88" s="4">
        <v>0</v>
      </c>
      <c r="J88" s="1">
        <f t="shared" si="7"/>
        <v>10.65</v>
      </c>
      <c r="K88" s="10">
        <f t="shared" si="8"/>
        <v>86.486</v>
      </c>
      <c r="L88" s="6">
        <f t="shared" si="9"/>
        <v>67849.48679739286</v>
      </c>
      <c r="O88" s="1">
        <v>10.65</v>
      </c>
    </row>
    <row r="89" spans="2:12" ht="12">
      <c r="B89" s="1" t="s">
        <v>103</v>
      </c>
      <c r="C89" s="17" t="s">
        <v>208</v>
      </c>
      <c r="D89" s="17">
        <v>2322.89</v>
      </c>
      <c r="E89" s="6">
        <f t="shared" si="5"/>
        <v>599.5187457022345</v>
      </c>
      <c r="F89" s="8">
        <f t="shared" si="6"/>
        <v>2922.4087457022342</v>
      </c>
      <c r="G89" s="3">
        <v>854.594</v>
      </c>
      <c r="H89" s="3">
        <v>-255.0752542977656</v>
      </c>
      <c r="I89" s="4">
        <v>55.95412</v>
      </c>
      <c r="J89" s="1">
        <f t="shared" si="7"/>
        <v>0</v>
      </c>
      <c r="K89" s="10">
        <f t="shared" si="8"/>
        <v>655.4728657022345</v>
      </c>
      <c r="L89" s="6">
        <f t="shared" si="9"/>
        <v>68504.9596630951</v>
      </c>
    </row>
    <row r="90" spans="2:12" ht="12">
      <c r="B90" s="1" t="s">
        <v>104</v>
      </c>
      <c r="C90" s="17" t="s">
        <v>209</v>
      </c>
      <c r="D90" s="17">
        <v>1325.21</v>
      </c>
      <c r="E90" s="6">
        <f t="shared" si="5"/>
        <v>0</v>
      </c>
      <c r="F90" s="8">
        <f t="shared" si="6"/>
        <v>1325.21</v>
      </c>
      <c r="G90" s="3">
        <v>0</v>
      </c>
      <c r="H90" s="3">
        <v>0</v>
      </c>
      <c r="I90" s="4">
        <v>0</v>
      </c>
      <c r="J90" s="1">
        <f t="shared" si="7"/>
        <v>0</v>
      </c>
      <c r="K90" s="10">
        <f t="shared" si="8"/>
        <v>0</v>
      </c>
      <c r="L90" s="6">
        <f t="shared" si="9"/>
        <v>68504.9596630951</v>
      </c>
    </row>
    <row r="91" spans="2:12" ht="12">
      <c r="B91" s="1" t="s">
        <v>105</v>
      </c>
      <c r="C91" s="17" t="s">
        <v>210</v>
      </c>
      <c r="D91" s="17">
        <v>4317.43</v>
      </c>
      <c r="E91" s="6">
        <f t="shared" si="5"/>
        <v>0</v>
      </c>
      <c r="F91" s="8">
        <f t="shared" si="6"/>
        <v>4317.43</v>
      </c>
      <c r="G91" s="3">
        <v>0</v>
      </c>
      <c r="I91" s="4"/>
      <c r="J91" s="1">
        <f t="shared" si="7"/>
        <v>0</v>
      </c>
      <c r="K91" s="10">
        <f t="shared" si="8"/>
        <v>0</v>
      </c>
      <c r="L91" s="6">
        <f t="shared" si="9"/>
        <v>68504.9596630951</v>
      </c>
    </row>
    <row r="92" spans="2:12" ht="12">
      <c r="B92" s="1" t="s">
        <v>106</v>
      </c>
      <c r="C92" s="17"/>
      <c r="D92" s="17"/>
      <c r="E92" s="6">
        <f t="shared" si="5"/>
        <v>0</v>
      </c>
      <c r="F92" s="8">
        <f t="shared" si="6"/>
        <v>0</v>
      </c>
      <c r="G92" s="3">
        <v>0</v>
      </c>
      <c r="H92" s="3">
        <v>0</v>
      </c>
      <c r="I92" s="4">
        <v>0</v>
      </c>
      <c r="J92" s="1">
        <f t="shared" si="7"/>
        <v>0</v>
      </c>
      <c r="K92" s="10">
        <f t="shared" si="8"/>
        <v>0</v>
      </c>
      <c r="L92" s="6">
        <f t="shared" si="9"/>
        <v>68504.9596630951</v>
      </c>
    </row>
    <row r="93" spans="2:12" ht="12">
      <c r="B93" s="1" t="s">
        <v>107</v>
      </c>
      <c r="C93" s="17" t="s">
        <v>211</v>
      </c>
      <c r="D93" s="17">
        <v>398.69</v>
      </c>
      <c r="E93" s="6">
        <f t="shared" si="5"/>
        <v>0</v>
      </c>
      <c r="F93" s="8">
        <f t="shared" si="6"/>
        <v>398.69</v>
      </c>
      <c r="G93" s="3">
        <v>0</v>
      </c>
      <c r="H93" s="3">
        <v>0</v>
      </c>
      <c r="I93" s="4">
        <v>0</v>
      </c>
      <c r="J93" s="1">
        <f t="shared" si="7"/>
        <v>0</v>
      </c>
      <c r="K93" s="10">
        <f t="shared" si="8"/>
        <v>0</v>
      </c>
      <c r="L93" s="6">
        <f t="shared" si="9"/>
        <v>68504.9596630951</v>
      </c>
    </row>
    <row r="94" spans="1:15" ht="12">
      <c r="A94" s="6">
        <f>SUM(F94:F95)</f>
        <v>8837.80181020884</v>
      </c>
      <c r="B94" s="1" t="s">
        <v>108</v>
      </c>
      <c r="C94" s="17" t="s">
        <v>212</v>
      </c>
      <c r="D94" s="17">
        <v>4159.8</v>
      </c>
      <c r="E94" s="6">
        <f t="shared" si="5"/>
        <v>3316.0858102088414</v>
      </c>
      <c r="F94" s="8">
        <f>SUM(D94:E94)-13</f>
        <v>7462.885810208842</v>
      </c>
      <c r="G94" s="3">
        <v>2829.849</v>
      </c>
      <c r="H94" s="3">
        <v>486.23681020884146</v>
      </c>
      <c r="I94" s="4">
        <f>414.63551+16</f>
        <v>430.63551</v>
      </c>
      <c r="J94" s="1">
        <f t="shared" si="7"/>
        <v>-59.619</v>
      </c>
      <c r="K94" s="10">
        <f t="shared" si="8"/>
        <v>3687.1023202088413</v>
      </c>
      <c r="L94" s="6">
        <f t="shared" si="9"/>
        <v>72192.06198330394</v>
      </c>
      <c r="O94" s="1">
        <v>-59.619</v>
      </c>
    </row>
    <row r="95" spans="2:16" ht="12">
      <c r="B95" s="1" t="s">
        <v>109</v>
      </c>
      <c r="C95" s="17" t="s">
        <v>213</v>
      </c>
      <c r="D95" s="17">
        <v>654.21</v>
      </c>
      <c r="E95" s="6">
        <f t="shared" si="5"/>
        <v>720.7059999999999</v>
      </c>
      <c r="F95" s="8">
        <f t="shared" si="6"/>
        <v>1374.916</v>
      </c>
      <c r="G95" s="3">
        <v>553.747</v>
      </c>
      <c r="H95" s="3">
        <v>166.95899999999997</v>
      </c>
      <c r="I95" s="4">
        <v>66.9</v>
      </c>
      <c r="J95" s="1">
        <f t="shared" si="7"/>
        <v>12.665</v>
      </c>
      <c r="K95" s="10">
        <f t="shared" si="8"/>
        <v>800.2709999999998</v>
      </c>
      <c r="L95" s="6">
        <f t="shared" si="9"/>
        <v>72992.33298330393</v>
      </c>
      <c r="P95" s="1">
        <f>3.162+9.503</f>
        <v>12.665</v>
      </c>
    </row>
    <row r="96" spans="1:15" ht="12">
      <c r="A96" s="6">
        <f>SUM(F96:F101)</f>
        <v>14107.083010571461</v>
      </c>
      <c r="B96" s="1" t="s">
        <v>111</v>
      </c>
      <c r="C96" s="17" t="s">
        <v>214</v>
      </c>
      <c r="D96" s="17">
        <v>3253.64</v>
      </c>
      <c r="E96" s="6">
        <f t="shared" si="5"/>
        <v>3190.719090908579</v>
      </c>
      <c r="F96" s="8">
        <f>SUM(D96:E96)-15</f>
        <v>6429.359090908579</v>
      </c>
      <c r="G96" s="3">
        <v>2653.2609999999995</v>
      </c>
      <c r="H96" s="3">
        <v>537.4580909085794</v>
      </c>
      <c r="I96" s="4">
        <v>185.00846</v>
      </c>
      <c r="J96" s="1">
        <f t="shared" si="7"/>
        <v>83.566</v>
      </c>
      <c r="K96" s="10">
        <f t="shared" si="8"/>
        <v>3459.2935509085787</v>
      </c>
      <c r="L96" s="6">
        <f t="shared" si="9"/>
        <v>76451.62653421251</v>
      </c>
      <c r="O96" s="1">
        <f>72.04+11.526</f>
        <v>83.566</v>
      </c>
    </row>
    <row r="97" spans="2:15" ht="12">
      <c r="B97" s="1" t="s">
        <v>112</v>
      </c>
      <c r="C97" s="17" t="s">
        <v>215</v>
      </c>
      <c r="D97" s="17">
        <v>2580.51</v>
      </c>
      <c r="E97" s="6">
        <f t="shared" si="5"/>
        <v>1102.6479994870206</v>
      </c>
      <c r="F97" s="8">
        <f t="shared" si="6"/>
        <v>3683.157999487021</v>
      </c>
      <c r="G97" s="3">
        <v>988.5110000000001</v>
      </c>
      <c r="H97" s="3">
        <v>114.13699948702046</v>
      </c>
      <c r="I97" s="4">
        <v>59.41503</v>
      </c>
      <c r="J97" s="1">
        <f t="shared" si="7"/>
        <v>32.385</v>
      </c>
      <c r="K97" s="10">
        <f t="shared" si="8"/>
        <v>1194.4480294870207</v>
      </c>
      <c r="L97" s="6">
        <f t="shared" si="9"/>
        <v>77646.07456369953</v>
      </c>
      <c r="O97" s="1">
        <v>32.385</v>
      </c>
    </row>
    <row r="98" spans="2:15" ht="12">
      <c r="B98" s="1" t="s">
        <v>113</v>
      </c>
      <c r="C98" s="17" t="s">
        <v>216</v>
      </c>
      <c r="D98" s="17">
        <v>1031.97</v>
      </c>
      <c r="E98" s="6">
        <f t="shared" si="5"/>
        <v>1692.739298250104</v>
      </c>
      <c r="F98" s="8">
        <f t="shared" si="6"/>
        <v>2724.709298250104</v>
      </c>
      <c r="G98" s="3">
        <v>1283.906</v>
      </c>
      <c r="H98" s="3">
        <v>408.833298250104</v>
      </c>
      <c r="I98" s="4">
        <v>205.55689999999998</v>
      </c>
      <c r="J98" s="1">
        <f t="shared" si="7"/>
        <v>67.24</v>
      </c>
      <c r="K98" s="10">
        <f t="shared" si="8"/>
        <v>1965.536198250104</v>
      </c>
      <c r="L98" s="6">
        <f t="shared" si="9"/>
        <v>79611.61076194963</v>
      </c>
      <c r="O98" s="1">
        <v>67.24</v>
      </c>
    </row>
    <row r="99" spans="2:15" ht="12">
      <c r="B99" s="1" t="s">
        <v>114</v>
      </c>
      <c r="C99" s="17" t="s">
        <v>217</v>
      </c>
      <c r="D99" s="17">
        <v>541.78</v>
      </c>
      <c r="E99" s="6">
        <f t="shared" si="5"/>
        <v>435.11410772351456</v>
      </c>
      <c r="F99" s="8">
        <f t="shared" si="6"/>
        <v>976.8941077235145</v>
      </c>
      <c r="G99" s="3">
        <v>301.334</v>
      </c>
      <c r="H99" s="3">
        <v>133.78010772351456</v>
      </c>
      <c r="I99" s="4">
        <v>30.26885</v>
      </c>
      <c r="J99" s="1">
        <f t="shared" si="7"/>
        <v>9.611</v>
      </c>
      <c r="K99" s="10">
        <f t="shared" si="8"/>
        <v>474.99395772351454</v>
      </c>
      <c r="L99" s="6">
        <f t="shared" si="9"/>
        <v>80086.60471967315</v>
      </c>
      <c r="O99" s="1">
        <v>9.611</v>
      </c>
    </row>
    <row r="100" spans="2:15" ht="12">
      <c r="B100" s="1" t="s">
        <v>115</v>
      </c>
      <c r="C100" s="17"/>
      <c r="D100" s="17"/>
      <c r="E100" s="6">
        <f t="shared" si="5"/>
        <v>93.09251420224432</v>
      </c>
      <c r="F100" s="8">
        <f t="shared" si="6"/>
        <v>93.09251420224432</v>
      </c>
      <c r="G100" s="3">
        <v>37.646</v>
      </c>
      <c r="H100" s="3">
        <v>55.446514202244316</v>
      </c>
      <c r="I100" s="4">
        <v>12.67203</v>
      </c>
      <c r="J100" s="1">
        <f t="shared" si="7"/>
        <v>0.332</v>
      </c>
      <c r="K100" s="10">
        <f t="shared" si="8"/>
        <v>106.0965442022443</v>
      </c>
      <c r="L100" s="6">
        <f t="shared" si="9"/>
        <v>80192.7012638754</v>
      </c>
      <c r="O100" s="1">
        <v>0.332</v>
      </c>
    </row>
    <row r="101" spans="2:12" ht="12">
      <c r="B101" s="1" t="s">
        <v>131</v>
      </c>
      <c r="C101" s="17" t="s">
        <v>131</v>
      </c>
      <c r="D101" s="17">
        <v>199.87</v>
      </c>
      <c r="E101" s="6">
        <f t="shared" si="5"/>
        <v>0</v>
      </c>
      <c r="F101" s="8">
        <f t="shared" si="6"/>
        <v>199.87</v>
      </c>
      <c r="H101" s="3">
        <v>0</v>
      </c>
      <c r="I101" s="4">
        <v>6.062430000000001</v>
      </c>
      <c r="J101" s="1">
        <f t="shared" si="7"/>
        <v>0</v>
      </c>
      <c r="K101" s="10">
        <f t="shared" si="8"/>
        <v>6.062430000000001</v>
      </c>
      <c r="L101" s="6">
        <f t="shared" si="9"/>
        <v>80198.7636938754</v>
      </c>
    </row>
    <row r="102" spans="1:12" ht="12">
      <c r="A102" s="6">
        <f>SUM(F102:F103)</f>
        <v>470.016</v>
      </c>
      <c r="B102" s="1" t="s">
        <v>116</v>
      </c>
      <c r="C102" s="17"/>
      <c r="D102" s="17"/>
      <c r="E102" s="6">
        <f t="shared" si="5"/>
        <v>323.54900000000004</v>
      </c>
      <c r="F102" s="8">
        <f t="shared" si="6"/>
        <v>323.54900000000004</v>
      </c>
      <c r="G102" s="3">
        <v>323.54900000000004</v>
      </c>
      <c r="I102" s="1"/>
      <c r="J102" s="1">
        <f t="shared" si="7"/>
        <v>0</v>
      </c>
      <c r="K102" s="10">
        <f t="shared" si="8"/>
        <v>323.54900000000004</v>
      </c>
      <c r="L102" s="6">
        <f t="shared" si="9"/>
        <v>80522.3126938754</v>
      </c>
    </row>
    <row r="103" spans="2:12" ht="12">
      <c r="B103" s="1" t="s">
        <v>117</v>
      </c>
      <c r="C103" s="17"/>
      <c r="D103" s="17"/>
      <c r="E103" s="6">
        <f t="shared" si="5"/>
        <v>146.46699999999998</v>
      </c>
      <c r="F103" s="8">
        <f t="shared" si="6"/>
        <v>146.46699999999998</v>
      </c>
      <c r="G103" s="3">
        <v>146.46699999999998</v>
      </c>
      <c r="I103" s="1"/>
      <c r="J103" s="1">
        <f t="shared" si="7"/>
        <v>0</v>
      </c>
      <c r="K103" s="10">
        <f t="shared" si="8"/>
        <v>146.46699999999998</v>
      </c>
      <c r="L103" s="6">
        <f t="shared" si="9"/>
        <v>80668.7796938754</v>
      </c>
    </row>
    <row r="104" spans="2:15" ht="12">
      <c r="B104" s="1" t="s">
        <v>152</v>
      </c>
      <c r="C104" s="17" t="s">
        <v>218</v>
      </c>
      <c r="D104" s="17">
        <v>794.61</v>
      </c>
      <c r="E104" s="6">
        <f t="shared" si="5"/>
        <v>0</v>
      </c>
      <c r="F104" s="8">
        <f t="shared" si="6"/>
        <v>794.61</v>
      </c>
      <c r="G104" s="3">
        <v>0</v>
      </c>
      <c r="H104" s="3">
        <v>0</v>
      </c>
      <c r="I104" s="4">
        <v>0</v>
      </c>
      <c r="J104" s="1">
        <f t="shared" si="7"/>
        <v>3.328</v>
      </c>
      <c r="K104" s="10">
        <f t="shared" si="8"/>
        <v>3.328</v>
      </c>
      <c r="L104" s="6">
        <f t="shared" si="9"/>
        <v>80672.1076938754</v>
      </c>
      <c r="O104" s="1">
        <v>3.328</v>
      </c>
    </row>
    <row r="105" spans="2:15" ht="12">
      <c r="B105" s="1" t="s">
        <v>110</v>
      </c>
      <c r="C105" s="17" t="s">
        <v>219</v>
      </c>
      <c r="D105" s="17">
        <v>1927.89</v>
      </c>
      <c r="E105" s="6">
        <f t="shared" si="5"/>
        <v>1791.964778659706</v>
      </c>
      <c r="F105" s="8">
        <f t="shared" si="6"/>
        <v>3719.8547786597064</v>
      </c>
      <c r="G105" s="3">
        <v>1419.933</v>
      </c>
      <c r="H105" s="3">
        <v>372.03177865970605</v>
      </c>
      <c r="I105" s="4">
        <v>126.18865</v>
      </c>
      <c r="J105" s="1">
        <f t="shared" si="7"/>
        <v>20.942</v>
      </c>
      <c r="K105" s="10">
        <f t="shared" si="8"/>
        <v>1939.0954286597062</v>
      </c>
      <c r="L105" s="6">
        <f t="shared" si="9"/>
        <v>82611.20312253511</v>
      </c>
      <c r="O105" s="1">
        <f>12.665+8.277</f>
        <v>20.942</v>
      </c>
    </row>
    <row r="106" spans="2:12" ht="12">
      <c r="B106" s="1" t="s">
        <v>156</v>
      </c>
      <c r="C106" s="17"/>
      <c r="D106" s="17"/>
      <c r="E106" s="6">
        <f t="shared" si="5"/>
        <v>75</v>
      </c>
      <c r="F106" s="8">
        <f t="shared" si="6"/>
        <v>75</v>
      </c>
      <c r="G106" s="3">
        <v>75</v>
      </c>
      <c r="J106" s="1"/>
      <c r="K106" s="10">
        <f t="shared" si="8"/>
        <v>75</v>
      </c>
      <c r="L106" s="6">
        <f t="shared" si="9"/>
        <v>82686.20312253511</v>
      </c>
    </row>
    <row r="107" spans="3:11" ht="12">
      <c r="C107" s="17" t="s">
        <v>220</v>
      </c>
      <c r="D107" s="17">
        <f>SUM(D9:D105)</f>
        <v>61813.900000000016</v>
      </c>
      <c r="J107" s="1"/>
      <c r="K107" s="10">
        <f t="shared" si="8"/>
        <v>0</v>
      </c>
    </row>
    <row r="108" spans="5:16" ht="12">
      <c r="E108" s="6">
        <f>SUM(E5:E107)</f>
        <v>76493.07056253511</v>
      </c>
      <c r="F108" s="8">
        <f>SUM(F5:F105)</f>
        <v>138103.97056253508</v>
      </c>
      <c r="G108" s="3">
        <f>SUM(G5:G107)</f>
        <v>67306.36300000003</v>
      </c>
      <c r="H108" s="3">
        <f>SUM(H5:H107)</f>
        <v>9186.707562535115</v>
      </c>
      <c r="I108" s="3">
        <f>SUM(I5:I107)</f>
        <v>4652.82256</v>
      </c>
      <c r="J108" s="3">
        <f>SUM(J5:J107)</f>
        <v>1540.3100000000002</v>
      </c>
      <c r="K108" s="10">
        <f t="shared" si="8"/>
        <v>82686.20312253514</v>
      </c>
      <c r="O108" s="1">
        <f>SUM(O5:O105)</f>
        <v>1352.5670000000002</v>
      </c>
      <c r="P108" s="1">
        <f>SUM(P5:P105)</f>
        <v>187.74300000000002</v>
      </c>
    </row>
    <row r="109" ht="12">
      <c r="J109" s="1"/>
    </row>
    <row r="110" spans="8:10" ht="12">
      <c r="H110" s="3">
        <f>SUM(G108:H108)</f>
        <v>76493.07056253514</v>
      </c>
      <c r="J110" s="1"/>
    </row>
    <row r="111" ht="12">
      <c r="I111" s="3">
        <f>SUM(G108:J108)</f>
        <v>82686.20312253514</v>
      </c>
    </row>
  </sheetData>
  <printOptions gridLines="1"/>
  <pageMargins left="0.17" right="0.17" top="0.24" bottom="0.42" header="0.19" footer="0.5"/>
  <pageSetup fitToHeight="2" fitToWidth="1"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35"/>
  <sheetViews>
    <sheetView workbookViewId="0" topLeftCell="A3">
      <selection activeCell="G17" sqref="G17"/>
    </sheetView>
  </sheetViews>
  <sheetFormatPr defaultColWidth="9.140625" defaultRowHeight="12.75"/>
  <cols>
    <col min="2" max="2" width="9.140625" style="69" customWidth="1"/>
    <col min="3" max="3" width="11.00390625" style="0" customWidth="1"/>
    <col min="4" max="4" width="17.00390625" style="69" customWidth="1"/>
  </cols>
  <sheetData>
    <row r="2" ht="12.75">
      <c r="B2" s="69" t="s">
        <v>267</v>
      </c>
    </row>
    <row r="3" spans="2:16" ht="12.75">
      <c r="B3" s="69" t="s">
        <v>281</v>
      </c>
      <c r="C3" t="s">
        <v>282</v>
      </c>
      <c r="D3" s="69" t="s">
        <v>309</v>
      </c>
      <c r="E3" t="s">
        <v>283</v>
      </c>
      <c r="F3" t="s">
        <v>284</v>
      </c>
      <c r="G3" t="s">
        <v>285</v>
      </c>
      <c r="H3" t="s">
        <v>286</v>
      </c>
      <c r="I3" t="s">
        <v>287</v>
      </c>
      <c r="J3" t="s">
        <v>288</v>
      </c>
      <c r="K3" t="s">
        <v>289</v>
      </c>
      <c r="L3" t="s">
        <v>290</v>
      </c>
      <c r="M3" t="s">
        <v>291</v>
      </c>
      <c r="N3" t="s">
        <v>292</v>
      </c>
      <c r="O3" t="s">
        <v>293</v>
      </c>
      <c r="P3" t="s">
        <v>294</v>
      </c>
    </row>
    <row r="4" spans="2:7" ht="12.75">
      <c r="B4" s="69">
        <v>1302</v>
      </c>
      <c r="C4" t="s">
        <v>166</v>
      </c>
      <c r="D4" s="69">
        <f>SUM(F4:H4)</f>
        <v>0</v>
      </c>
      <c r="E4">
        <v>0</v>
      </c>
      <c r="F4">
        <f>SUM(E4)</f>
        <v>0</v>
      </c>
      <c r="G4">
        <f>SUM(F4)</f>
        <v>0</v>
      </c>
    </row>
    <row r="5" spans="2:7" ht="12.75">
      <c r="B5" s="69">
        <v>1352</v>
      </c>
      <c r="C5" t="s">
        <v>167</v>
      </c>
      <c r="D5" s="69">
        <f aca="true" t="shared" si="0" ref="D5:D32">SUM(F5:H5)</f>
        <v>93.1</v>
      </c>
      <c r="E5">
        <v>93.1</v>
      </c>
      <c r="F5">
        <v>57.5</v>
      </c>
      <c r="G5">
        <v>35.6</v>
      </c>
    </row>
    <row r="6" spans="2:6" ht="12.75">
      <c r="B6" s="69">
        <v>1354</v>
      </c>
      <c r="C6" t="s">
        <v>123</v>
      </c>
      <c r="D6" s="69">
        <f t="shared" si="0"/>
        <v>23.8</v>
      </c>
      <c r="E6">
        <v>23.8</v>
      </c>
      <c r="F6">
        <v>23.8</v>
      </c>
    </row>
    <row r="7" spans="2:9" ht="12.75">
      <c r="B7" s="69">
        <v>1361</v>
      </c>
      <c r="C7" t="s">
        <v>125</v>
      </c>
      <c r="D7" s="69">
        <f t="shared" si="0"/>
        <v>144.2</v>
      </c>
      <c r="E7">
        <v>245</v>
      </c>
      <c r="F7">
        <v>28.8</v>
      </c>
      <c r="G7">
        <v>57.9</v>
      </c>
      <c r="H7">
        <v>57.5</v>
      </c>
      <c r="I7">
        <v>100.8</v>
      </c>
    </row>
    <row r="8" spans="2:7" ht="12.75">
      <c r="B8" s="69">
        <v>1408</v>
      </c>
      <c r="C8" t="s">
        <v>170</v>
      </c>
      <c r="D8" s="69">
        <f t="shared" si="0"/>
        <v>20.5</v>
      </c>
      <c r="E8">
        <v>20.5</v>
      </c>
      <c r="F8">
        <v>10</v>
      </c>
      <c r="G8">
        <v>10.5</v>
      </c>
    </row>
    <row r="9" spans="2:6" ht="12.75">
      <c r="B9" s="69">
        <v>1416</v>
      </c>
      <c r="C9" t="s">
        <v>273</v>
      </c>
      <c r="D9" s="69">
        <f t="shared" si="0"/>
        <v>37.4</v>
      </c>
      <c r="E9">
        <v>37.4</v>
      </c>
      <c r="F9">
        <v>37.4</v>
      </c>
    </row>
    <row r="10" spans="2:7" ht="12.75">
      <c r="B10" s="69">
        <v>1421</v>
      </c>
      <c r="C10" t="s">
        <v>274</v>
      </c>
      <c r="D10" s="69">
        <f t="shared" si="0"/>
        <v>49.800000000000004</v>
      </c>
      <c r="E10">
        <v>49.8</v>
      </c>
      <c r="F10">
        <v>37.7</v>
      </c>
      <c r="G10">
        <v>12.1</v>
      </c>
    </row>
    <row r="11" spans="2:6" ht="12.75">
      <c r="B11" s="69">
        <v>1431</v>
      </c>
      <c r="C11" t="s">
        <v>127</v>
      </c>
      <c r="D11" s="69">
        <f t="shared" si="0"/>
        <v>97</v>
      </c>
      <c r="E11">
        <v>97</v>
      </c>
      <c r="F11">
        <v>97</v>
      </c>
    </row>
    <row r="12" spans="2:9" ht="12.75">
      <c r="B12" s="69">
        <v>1451</v>
      </c>
      <c r="C12" t="s">
        <v>173</v>
      </c>
      <c r="D12" s="69">
        <f t="shared" si="0"/>
        <v>269.5</v>
      </c>
      <c r="E12">
        <v>279.9</v>
      </c>
      <c r="F12">
        <v>93.1</v>
      </c>
      <c r="G12">
        <v>117.2</v>
      </c>
      <c r="H12">
        <v>59.2</v>
      </c>
      <c r="I12">
        <v>10.4</v>
      </c>
    </row>
    <row r="13" spans="2:8" ht="12.75">
      <c r="B13" s="69">
        <v>1459</v>
      </c>
      <c r="C13" t="s">
        <v>174</v>
      </c>
      <c r="D13" s="69">
        <f t="shared" si="0"/>
        <v>67.6</v>
      </c>
      <c r="E13">
        <v>67.6</v>
      </c>
      <c r="F13">
        <v>22.2</v>
      </c>
      <c r="G13">
        <v>23.2</v>
      </c>
      <c r="H13">
        <v>22.2</v>
      </c>
    </row>
    <row r="14" spans="2:6" ht="12.75">
      <c r="B14" s="69">
        <v>1501</v>
      </c>
      <c r="C14" t="s">
        <v>175</v>
      </c>
      <c r="D14" s="69">
        <f t="shared" si="0"/>
        <v>73.6</v>
      </c>
      <c r="E14">
        <v>73.6</v>
      </c>
      <c r="F14">
        <v>73.6</v>
      </c>
    </row>
    <row r="15" spans="2:6" ht="12.75">
      <c r="B15" s="69">
        <v>1601</v>
      </c>
      <c r="C15" t="s">
        <v>177</v>
      </c>
      <c r="D15" s="69">
        <f t="shared" si="0"/>
        <v>30.2</v>
      </c>
      <c r="E15">
        <v>30.2</v>
      </c>
      <c r="F15">
        <v>30.2</v>
      </c>
    </row>
    <row r="16" spans="2:6" ht="12.75">
      <c r="B16" s="69">
        <v>1702</v>
      </c>
      <c r="C16" t="s">
        <v>179</v>
      </c>
      <c r="D16" s="69">
        <f t="shared" si="0"/>
        <v>11.7</v>
      </c>
      <c r="E16">
        <v>11.7</v>
      </c>
      <c r="F16">
        <v>11.7</v>
      </c>
    </row>
    <row r="17" spans="2:12" ht="12.75">
      <c r="B17" s="69">
        <v>1802</v>
      </c>
      <c r="C17" t="s">
        <v>182</v>
      </c>
      <c r="D17" s="69">
        <f t="shared" si="0"/>
        <v>240.8</v>
      </c>
      <c r="E17">
        <v>355.3</v>
      </c>
      <c r="F17">
        <v>80.7</v>
      </c>
      <c r="G17">
        <v>81.9</v>
      </c>
      <c r="H17">
        <v>78.2</v>
      </c>
      <c r="I17">
        <v>78.2</v>
      </c>
      <c r="J17">
        <v>14.4</v>
      </c>
      <c r="K17">
        <v>11.3</v>
      </c>
      <c r="L17">
        <v>10.6</v>
      </c>
    </row>
    <row r="18" spans="2:9" ht="12.75">
      <c r="B18" s="69">
        <v>1803</v>
      </c>
      <c r="C18" t="s">
        <v>275</v>
      </c>
      <c r="D18" s="69">
        <f t="shared" si="0"/>
        <v>108.9</v>
      </c>
      <c r="E18">
        <v>113.9</v>
      </c>
      <c r="F18">
        <v>96.8</v>
      </c>
      <c r="G18">
        <v>2.2</v>
      </c>
      <c r="H18">
        <v>9.9</v>
      </c>
      <c r="I18">
        <v>5</v>
      </c>
    </row>
    <row r="19" spans="2:6" ht="12.75">
      <c r="B19" s="69">
        <v>1806</v>
      </c>
      <c r="C19" t="s">
        <v>183</v>
      </c>
      <c r="D19" s="69">
        <f t="shared" si="0"/>
        <v>6</v>
      </c>
      <c r="E19">
        <v>6</v>
      </c>
      <c r="F19">
        <v>6</v>
      </c>
    </row>
    <row r="20" spans="2:10" ht="12.75">
      <c r="B20" s="69">
        <v>1810</v>
      </c>
      <c r="C20" t="s">
        <v>184</v>
      </c>
      <c r="D20" s="69">
        <f t="shared" si="0"/>
        <v>637.7</v>
      </c>
      <c r="E20">
        <v>812.6</v>
      </c>
      <c r="F20">
        <v>254.7</v>
      </c>
      <c r="G20">
        <v>218.3</v>
      </c>
      <c r="H20">
        <v>164.7</v>
      </c>
      <c r="I20">
        <v>151.8</v>
      </c>
      <c r="J20">
        <v>23.1</v>
      </c>
    </row>
    <row r="21" spans="2:9" ht="12.75">
      <c r="B21" s="69">
        <v>1901</v>
      </c>
      <c r="C21" t="s">
        <v>185</v>
      </c>
      <c r="D21" s="69">
        <f t="shared" si="0"/>
        <v>98.9</v>
      </c>
      <c r="E21">
        <v>127.4</v>
      </c>
      <c r="F21">
        <v>32.6</v>
      </c>
      <c r="G21">
        <v>34.1</v>
      </c>
      <c r="H21">
        <v>32.2</v>
      </c>
      <c r="I21">
        <v>28.5</v>
      </c>
    </row>
    <row r="22" spans="2:6" ht="12.75">
      <c r="B22" s="69">
        <v>3101</v>
      </c>
      <c r="C22" t="s">
        <v>188</v>
      </c>
      <c r="D22" s="69">
        <f t="shared" si="0"/>
        <v>28.2</v>
      </c>
      <c r="E22">
        <v>28.2</v>
      </c>
      <c r="F22">
        <v>28.2</v>
      </c>
    </row>
    <row r="23" spans="2:15" ht="12.75">
      <c r="B23" s="69">
        <v>8101</v>
      </c>
      <c r="C23" t="s">
        <v>276</v>
      </c>
      <c r="D23" s="69">
        <f t="shared" si="0"/>
        <v>257.5</v>
      </c>
      <c r="E23">
        <v>633</v>
      </c>
      <c r="F23">
        <v>84.5</v>
      </c>
      <c r="G23">
        <v>88.5</v>
      </c>
      <c r="H23">
        <v>84.5</v>
      </c>
      <c r="I23">
        <v>84.5</v>
      </c>
      <c r="J23">
        <v>55.3</v>
      </c>
      <c r="K23">
        <v>43.3</v>
      </c>
      <c r="L23">
        <v>40.9</v>
      </c>
      <c r="M23">
        <v>50.5</v>
      </c>
      <c r="N23">
        <v>48.1</v>
      </c>
      <c r="O23">
        <v>52.9</v>
      </c>
    </row>
    <row r="24" spans="2:15" ht="12.75">
      <c r="B24" s="69">
        <v>8102</v>
      </c>
      <c r="C24" t="s">
        <v>277</v>
      </c>
      <c r="D24" s="69">
        <f t="shared" si="0"/>
        <v>76.8</v>
      </c>
      <c r="E24">
        <v>136.5</v>
      </c>
      <c r="F24">
        <v>25.2</v>
      </c>
      <c r="G24">
        <v>26.4</v>
      </c>
      <c r="H24">
        <v>25.2</v>
      </c>
      <c r="I24">
        <v>24</v>
      </c>
      <c r="J24">
        <v>6.8</v>
      </c>
      <c r="K24">
        <v>5.3</v>
      </c>
      <c r="L24">
        <v>5</v>
      </c>
      <c r="M24">
        <v>6.2</v>
      </c>
      <c r="N24">
        <v>5.9</v>
      </c>
      <c r="O24">
        <v>6.5</v>
      </c>
    </row>
    <row r="25" spans="2:15" ht="12.75">
      <c r="B25" s="69">
        <v>8202</v>
      </c>
      <c r="C25" t="s">
        <v>214</v>
      </c>
      <c r="D25" s="69">
        <f t="shared" si="0"/>
        <v>143.9</v>
      </c>
      <c r="E25">
        <v>362.9</v>
      </c>
      <c r="F25">
        <v>47.2</v>
      </c>
      <c r="G25">
        <v>49.5</v>
      </c>
      <c r="H25">
        <v>47.2</v>
      </c>
      <c r="I25">
        <v>47.2</v>
      </c>
      <c r="J25">
        <v>32.7</v>
      </c>
      <c r="K25">
        <v>25.6</v>
      </c>
      <c r="L25">
        <v>24.1</v>
      </c>
      <c r="M25">
        <v>29.8</v>
      </c>
      <c r="N25">
        <v>28.4</v>
      </c>
      <c r="O25">
        <v>31.2</v>
      </c>
    </row>
    <row r="26" spans="2:9" ht="12.75">
      <c r="B26" s="69">
        <v>8203</v>
      </c>
      <c r="C26" t="s">
        <v>215</v>
      </c>
      <c r="D26" s="69">
        <f t="shared" si="0"/>
        <v>10.6</v>
      </c>
      <c r="E26">
        <v>14.1</v>
      </c>
      <c r="F26">
        <v>3.5</v>
      </c>
      <c r="G26">
        <v>3.6</v>
      </c>
      <c r="H26">
        <v>3.5</v>
      </c>
      <c r="I26">
        <v>3.5</v>
      </c>
    </row>
    <row r="27" spans="2:9" ht="12.75">
      <c r="B27" s="69">
        <v>8204</v>
      </c>
      <c r="C27" t="s">
        <v>216</v>
      </c>
      <c r="D27" s="69">
        <f t="shared" si="0"/>
        <v>31.700000000000003</v>
      </c>
      <c r="E27">
        <v>42.1</v>
      </c>
      <c r="F27">
        <v>10.4</v>
      </c>
      <c r="G27">
        <v>10.9</v>
      </c>
      <c r="H27">
        <v>10.4</v>
      </c>
      <c r="I27">
        <v>10.4</v>
      </c>
    </row>
    <row r="28" spans="2:9" ht="12.75">
      <c r="B28" s="69">
        <v>8205</v>
      </c>
      <c r="C28" t="s">
        <v>217</v>
      </c>
      <c r="D28" s="69">
        <f t="shared" si="0"/>
        <v>29.700000000000003</v>
      </c>
      <c r="E28">
        <v>33.7</v>
      </c>
      <c r="F28">
        <v>8.4</v>
      </c>
      <c r="G28">
        <v>10.9</v>
      </c>
      <c r="H28">
        <v>10.4</v>
      </c>
      <c r="I28">
        <v>4</v>
      </c>
    </row>
    <row r="29" spans="2:12" ht="12.75">
      <c r="B29" s="69">
        <v>8220</v>
      </c>
      <c r="C29" t="s">
        <v>278</v>
      </c>
      <c r="D29" s="69">
        <f t="shared" si="0"/>
        <v>176.5</v>
      </c>
      <c r="E29">
        <v>529.6</v>
      </c>
      <c r="F29">
        <v>8.8</v>
      </c>
      <c r="G29">
        <v>80.3</v>
      </c>
      <c r="H29">
        <v>87.4</v>
      </c>
      <c r="I29">
        <v>120.6</v>
      </c>
      <c r="J29">
        <v>107.7</v>
      </c>
      <c r="K29">
        <v>64.2</v>
      </c>
      <c r="L29">
        <v>60.6</v>
      </c>
    </row>
    <row r="30" spans="2:15" ht="12.75">
      <c r="B30" s="69">
        <v>8221</v>
      </c>
      <c r="C30" t="s">
        <v>279</v>
      </c>
      <c r="D30" s="69">
        <f t="shared" si="0"/>
        <v>550</v>
      </c>
      <c r="E30">
        <v>1133.6</v>
      </c>
      <c r="F30">
        <v>52</v>
      </c>
      <c r="G30">
        <v>254.8</v>
      </c>
      <c r="H30">
        <v>243.2</v>
      </c>
      <c r="I30">
        <v>241.3</v>
      </c>
      <c r="J30">
        <v>222.2</v>
      </c>
      <c r="K30">
        <v>44.3</v>
      </c>
      <c r="L30">
        <v>41.9</v>
      </c>
      <c r="M30">
        <v>11.7</v>
      </c>
      <c r="N30">
        <v>11.1</v>
      </c>
      <c r="O30">
        <v>11.1</v>
      </c>
    </row>
    <row r="31" spans="2:15" ht="12.75">
      <c r="B31" s="69">
        <v>8222</v>
      </c>
      <c r="C31" t="s">
        <v>280</v>
      </c>
      <c r="D31" s="69">
        <f t="shared" si="0"/>
        <v>0</v>
      </c>
      <c r="E31">
        <v>299.6</v>
      </c>
      <c r="I31">
        <v>44.3</v>
      </c>
      <c r="J31">
        <v>48.5</v>
      </c>
      <c r="K31">
        <v>38</v>
      </c>
      <c r="L31">
        <v>35.9</v>
      </c>
      <c r="M31">
        <v>44.3</v>
      </c>
      <c r="N31">
        <v>42.2</v>
      </c>
      <c r="O31">
        <v>46.4</v>
      </c>
    </row>
    <row r="32" spans="2:15" ht="12.75">
      <c r="B32" s="69">
        <v>8998</v>
      </c>
      <c r="C32" t="s">
        <v>219</v>
      </c>
      <c r="D32" s="69">
        <f t="shared" si="0"/>
        <v>108.5</v>
      </c>
      <c r="E32">
        <v>201.8</v>
      </c>
      <c r="F32">
        <v>35.6</v>
      </c>
      <c r="G32">
        <v>37.3</v>
      </c>
      <c r="H32">
        <v>35.6</v>
      </c>
      <c r="I32">
        <v>33.9</v>
      </c>
      <c r="J32">
        <v>11.3</v>
      </c>
      <c r="K32">
        <v>8.8</v>
      </c>
      <c r="L32">
        <v>8.4</v>
      </c>
      <c r="M32">
        <v>10.3</v>
      </c>
      <c r="N32">
        <v>9.8</v>
      </c>
      <c r="O32">
        <v>10.8</v>
      </c>
    </row>
    <row r="33" spans="2:15" ht="12.75">
      <c r="B33" s="69" t="s">
        <v>295</v>
      </c>
      <c r="C33" t="s">
        <v>296</v>
      </c>
      <c r="E33">
        <v>1172.2</v>
      </c>
      <c r="F33">
        <v>119.5</v>
      </c>
      <c r="G33">
        <v>125.2</v>
      </c>
      <c r="H33">
        <v>119.5</v>
      </c>
      <c r="I33">
        <v>119.5</v>
      </c>
      <c r="J33">
        <v>130.9</v>
      </c>
      <c r="K33">
        <v>102.4</v>
      </c>
      <c r="L33">
        <v>96.7</v>
      </c>
      <c r="M33">
        <v>119.5</v>
      </c>
      <c r="N33">
        <v>113.8</v>
      </c>
      <c r="O33">
        <v>125.2</v>
      </c>
    </row>
    <row r="35" spans="4:5" ht="12.75">
      <c r="D35" s="69">
        <f>SUM(D4:D32)</f>
        <v>3424.1000000000004</v>
      </c>
      <c r="E35">
        <v>7032.1</v>
      </c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A1">
      <selection activeCell="K20" sqref="K20"/>
    </sheetView>
  </sheetViews>
  <sheetFormatPr defaultColWidth="9.140625" defaultRowHeight="12.75"/>
  <cols>
    <col min="4" max="16" width="15.57421875" style="0" customWidth="1"/>
  </cols>
  <sheetData>
    <row r="1" spans="1:18" ht="13.5" thickBot="1">
      <c r="A1" t="s">
        <v>310</v>
      </c>
      <c r="B1" t="s">
        <v>311</v>
      </c>
      <c r="C1" t="s">
        <v>281</v>
      </c>
      <c r="D1" t="s">
        <v>282</v>
      </c>
      <c r="E1" t="s">
        <v>283</v>
      </c>
      <c r="F1" t="s">
        <v>287</v>
      </c>
      <c r="G1" t="s">
        <v>288</v>
      </c>
      <c r="H1" t="s">
        <v>289</v>
      </c>
      <c r="I1" t="s">
        <v>290</v>
      </c>
      <c r="J1" t="s">
        <v>291</v>
      </c>
      <c r="K1" t="s">
        <v>292</v>
      </c>
      <c r="L1" t="s">
        <v>293</v>
      </c>
      <c r="M1" t="s">
        <v>294</v>
      </c>
      <c r="N1" t="s">
        <v>312</v>
      </c>
      <c r="O1" t="s">
        <v>313</v>
      </c>
      <c r="P1" t="s">
        <v>314</v>
      </c>
      <c r="Q1" t="s">
        <v>315</v>
      </c>
      <c r="R1" t="s">
        <v>316</v>
      </c>
    </row>
    <row r="2" spans="2:16" ht="12.75">
      <c r="B2" t="s">
        <v>317</v>
      </c>
      <c r="C2" s="77">
        <v>1361</v>
      </c>
      <c r="D2" t="s">
        <v>125</v>
      </c>
      <c r="E2">
        <v>106.6</v>
      </c>
      <c r="F2">
        <v>106.6</v>
      </c>
      <c r="G2" s="33"/>
      <c r="H2" s="34"/>
      <c r="I2" s="33"/>
      <c r="J2" s="37"/>
      <c r="K2" s="37"/>
      <c r="L2" s="37"/>
      <c r="M2" s="37"/>
      <c r="N2" s="37"/>
      <c r="O2" s="37"/>
      <c r="P2" s="34"/>
    </row>
    <row r="3" spans="2:16" ht="12.75">
      <c r="B3" t="s">
        <v>318</v>
      </c>
      <c r="C3" s="77">
        <v>1302</v>
      </c>
      <c r="D3" t="s">
        <v>166</v>
      </c>
      <c r="E3">
        <v>0</v>
      </c>
      <c r="G3" s="35"/>
      <c r="H3" s="36"/>
      <c r="I3" s="35"/>
      <c r="J3" s="38"/>
      <c r="K3" s="38"/>
      <c r="L3" s="38"/>
      <c r="M3" s="38"/>
      <c r="N3" s="38"/>
      <c r="O3" s="38"/>
      <c r="P3" s="36"/>
    </row>
    <row r="4" spans="2:16" ht="12.75">
      <c r="B4" t="s">
        <v>319</v>
      </c>
      <c r="C4" s="77">
        <v>1352</v>
      </c>
      <c r="D4" t="s">
        <v>167</v>
      </c>
      <c r="E4">
        <v>0</v>
      </c>
      <c r="G4" s="35"/>
      <c r="H4" s="36"/>
      <c r="I4" s="35"/>
      <c r="J4" s="38"/>
      <c r="K4" s="38"/>
      <c r="L4" s="38"/>
      <c r="M4" s="38"/>
      <c r="N4" s="38"/>
      <c r="O4" s="38"/>
      <c r="P4" s="36"/>
    </row>
    <row r="5" spans="2:16" ht="12.75">
      <c r="B5" t="s">
        <v>320</v>
      </c>
      <c r="C5" s="77">
        <v>1354</v>
      </c>
      <c r="D5" t="s">
        <v>123</v>
      </c>
      <c r="E5">
        <v>1.8</v>
      </c>
      <c r="F5">
        <v>1.8</v>
      </c>
      <c r="G5" s="35"/>
      <c r="H5" s="36"/>
      <c r="I5" s="35"/>
      <c r="J5" s="38"/>
      <c r="K5" s="38"/>
      <c r="L5" s="38"/>
      <c r="M5" s="38"/>
      <c r="N5" s="38"/>
      <c r="O5" s="38"/>
      <c r="P5" s="36"/>
    </row>
    <row r="6" spans="2:16" ht="12.75">
      <c r="B6" t="s">
        <v>321</v>
      </c>
      <c r="C6" s="77">
        <v>1416</v>
      </c>
      <c r="D6" t="s">
        <v>273</v>
      </c>
      <c r="E6">
        <v>0</v>
      </c>
      <c r="G6" s="35"/>
      <c r="H6" s="36"/>
      <c r="I6" s="35"/>
      <c r="J6" s="38"/>
      <c r="K6" s="38"/>
      <c r="L6" s="38"/>
      <c r="M6" s="38"/>
      <c r="N6" s="38"/>
      <c r="O6" s="38"/>
      <c r="P6" s="36"/>
    </row>
    <row r="7" spans="2:16" ht="12.75">
      <c r="B7" t="s">
        <v>322</v>
      </c>
      <c r="C7" s="77">
        <v>1408</v>
      </c>
      <c r="D7" t="s">
        <v>170</v>
      </c>
      <c r="E7">
        <v>2</v>
      </c>
      <c r="F7">
        <v>2</v>
      </c>
      <c r="G7" s="35"/>
      <c r="H7" s="36"/>
      <c r="I7" s="35"/>
      <c r="J7" s="38"/>
      <c r="K7" s="38"/>
      <c r="L7" s="38"/>
      <c r="M7" s="38"/>
      <c r="N7" s="38"/>
      <c r="O7" s="38"/>
      <c r="P7" s="36"/>
    </row>
    <row r="8" spans="2:16" ht="12.75">
      <c r="B8" t="s">
        <v>323</v>
      </c>
      <c r="C8" s="77">
        <v>1451</v>
      </c>
      <c r="D8" t="s">
        <v>173</v>
      </c>
      <c r="E8">
        <v>40</v>
      </c>
      <c r="F8">
        <v>40</v>
      </c>
      <c r="G8" s="35"/>
      <c r="H8" s="36"/>
      <c r="I8" s="35"/>
      <c r="J8" s="38"/>
      <c r="K8" s="38"/>
      <c r="L8" s="38"/>
      <c r="M8" s="38"/>
      <c r="N8" s="38"/>
      <c r="O8" s="38"/>
      <c r="P8" s="36"/>
    </row>
    <row r="9" spans="2:16" ht="12.75">
      <c r="B9" t="s">
        <v>324</v>
      </c>
      <c r="C9" s="77">
        <v>1459</v>
      </c>
      <c r="D9" t="s">
        <v>174</v>
      </c>
      <c r="E9">
        <v>24.6</v>
      </c>
      <c r="F9">
        <v>18</v>
      </c>
      <c r="G9" s="35">
        <v>3.7</v>
      </c>
      <c r="H9" s="36">
        <v>2.9</v>
      </c>
      <c r="I9" s="35"/>
      <c r="J9" s="38"/>
      <c r="K9" s="38"/>
      <c r="L9" s="38"/>
      <c r="M9" s="38"/>
      <c r="N9" s="38"/>
      <c r="O9" s="38"/>
      <c r="P9" s="36"/>
    </row>
    <row r="10" spans="2:16" ht="12.75">
      <c r="B10" t="s">
        <v>325</v>
      </c>
      <c r="C10" s="77">
        <v>1421</v>
      </c>
      <c r="D10" t="s">
        <v>274</v>
      </c>
      <c r="E10">
        <v>0</v>
      </c>
      <c r="G10" s="35"/>
      <c r="H10" s="36"/>
      <c r="I10" s="35"/>
      <c r="J10" s="38"/>
      <c r="K10" s="38"/>
      <c r="L10" s="38"/>
      <c r="M10" s="38"/>
      <c r="N10" s="38"/>
      <c r="O10" s="38"/>
      <c r="P10" s="36"/>
    </row>
    <row r="11" spans="2:16" ht="12.75">
      <c r="B11" t="s">
        <v>326</v>
      </c>
      <c r="C11" s="77">
        <v>1431</v>
      </c>
      <c r="D11" t="s">
        <v>127</v>
      </c>
      <c r="E11">
        <v>0</v>
      </c>
      <c r="G11" s="35"/>
      <c r="H11" s="36"/>
      <c r="I11" s="35"/>
      <c r="J11" s="38"/>
      <c r="K11" s="38"/>
      <c r="L11" s="38"/>
      <c r="M11" s="38"/>
      <c r="N11" s="38"/>
      <c r="O11" s="38"/>
      <c r="P11" s="36"/>
    </row>
    <row r="12" spans="2:16" ht="12.75">
      <c r="B12" t="s">
        <v>327</v>
      </c>
      <c r="C12" s="77">
        <v>1601</v>
      </c>
      <c r="D12" t="s">
        <v>177</v>
      </c>
      <c r="E12">
        <v>0</v>
      </c>
      <c r="G12" s="35"/>
      <c r="H12" s="36"/>
      <c r="I12" s="35"/>
      <c r="J12" s="38"/>
      <c r="K12" s="38"/>
      <c r="L12" s="38"/>
      <c r="M12" s="38"/>
      <c r="N12" s="38"/>
      <c r="O12" s="38"/>
      <c r="P12" s="36"/>
    </row>
    <row r="13" spans="2:16" ht="12.75">
      <c r="B13" t="s">
        <v>328</v>
      </c>
      <c r="C13" s="77">
        <v>1702</v>
      </c>
      <c r="D13" t="s">
        <v>179</v>
      </c>
      <c r="E13">
        <v>0</v>
      </c>
      <c r="G13" s="35"/>
      <c r="H13" s="36"/>
      <c r="I13" s="35"/>
      <c r="J13" s="38"/>
      <c r="K13" s="38"/>
      <c r="L13" s="38"/>
      <c r="M13" s="38"/>
      <c r="N13" s="38"/>
      <c r="O13" s="38"/>
      <c r="P13" s="36"/>
    </row>
    <row r="14" spans="2:16" ht="12.75">
      <c r="B14" t="s">
        <v>329</v>
      </c>
      <c r="C14" s="77">
        <v>1901</v>
      </c>
      <c r="D14" t="s">
        <v>185</v>
      </c>
      <c r="E14">
        <v>50</v>
      </c>
      <c r="F14">
        <v>50</v>
      </c>
      <c r="G14" s="35"/>
      <c r="H14" s="36"/>
      <c r="I14" s="35"/>
      <c r="J14" s="38"/>
      <c r="K14" s="38"/>
      <c r="L14" s="38"/>
      <c r="M14" s="38"/>
      <c r="N14" s="38"/>
      <c r="O14" s="38"/>
      <c r="P14" s="36"/>
    </row>
    <row r="15" spans="2:16" ht="12.75">
      <c r="B15" t="s">
        <v>330</v>
      </c>
      <c r="C15" s="77">
        <v>1803</v>
      </c>
      <c r="D15" t="s">
        <v>275</v>
      </c>
      <c r="E15">
        <v>0</v>
      </c>
      <c r="G15" s="35"/>
      <c r="H15" s="36"/>
      <c r="I15" s="35"/>
      <c r="J15" s="38"/>
      <c r="K15" s="38"/>
      <c r="L15" s="38"/>
      <c r="M15" s="38"/>
      <c r="N15" s="38"/>
      <c r="O15" s="38"/>
      <c r="P15" s="36"/>
    </row>
    <row r="16" spans="2:16" ht="12.75">
      <c r="B16" t="s">
        <v>331</v>
      </c>
      <c r="C16" s="77">
        <v>1806</v>
      </c>
      <c r="D16" t="s">
        <v>183</v>
      </c>
      <c r="E16">
        <v>0</v>
      </c>
      <c r="G16" s="35"/>
      <c r="H16" s="36"/>
      <c r="I16" s="35"/>
      <c r="J16" s="38"/>
      <c r="K16" s="38"/>
      <c r="L16" s="38"/>
      <c r="M16" s="38"/>
      <c r="N16" s="38"/>
      <c r="O16" s="38"/>
      <c r="P16" s="36"/>
    </row>
    <row r="17" spans="2:16" ht="12.75">
      <c r="B17" t="s">
        <v>332</v>
      </c>
      <c r="C17" s="77">
        <v>8205</v>
      </c>
      <c r="D17" t="s">
        <v>217</v>
      </c>
      <c r="E17">
        <v>3.7</v>
      </c>
      <c r="F17">
        <v>3.7</v>
      </c>
      <c r="G17" s="35"/>
      <c r="H17" s="36"/>
      <c r="I17" s="35"/>
      <c r="J17" s="38"/>
      <c r="K17" s="38"/>
      <c r="L17" s="38"/>
      <c r="M17" s="38"/>
      <c r="N17" s="38"/>
      <c r="O17" s="38"/>
      <c r="P17" s="36"/>
    </row>
    <row r="18" spans="2:16" ht="12.75">
      <c r="B18" t="s">
        <v>333</v>
      </c>
      <c r="C18" s="77">
        <v>1802</v>
      </c>
      <c r="D18" t="s">
        <v>182</v>
      </c>
      <c r="E18">
        <v>89.6</v>
      </c>
      <c r="F18">
        <v>53.3</v>
      </c>
      <c r="G18" s="35">
        <v>14.4</v>
      </c>
      <c r="H18" s="36">
        <v>11.3</v>
      </c>
      <c r="I18" s="35">
        <v>10.6</v>
      </c>
      <c r="J18" s="38"/>
      <c r="K18" s="38"/>
      <c r="L18" s="38"/>
      <c r="M18" s="38"/>
      <c r="N18" s="38"/>
      <c r="O18" s="38"/>
      <c r="P18" s="36"/>
    </row>
    <row r="19" spans="2:16" ht="12.75">
      <c r="B19" t="s">
        <v>334</v>
      </c>
      <c r="C19" s="77">
        <v>1810</v>
      </c>
      <c r="D19" t="s">
        <v>184</v>
      </c>
      <c r="E19">
        <v>176.8</v>
      </c>
      <c r="F19">
        <v>176.8</v>
      </c>
      <c r="G19" s="35"/>
      <c r="H19" s="36"/>
      <c r="I19" s="35"/>
      <c r="J19" s="38"/>
      <c r="K19" s="38"/>
      <c r="L19" s="38"/>
      <c r="M19" s="38"/>
      <c r="N19" s="38"/>
      <c r="O19" s="38"/>
      <c r="P19" s="36"/>
    </row>
    <row r="20" spans="2:16" ht="12.75">
      <c r="B20" t="s">
        <v>335</v>
      </c>
      <c r="C20" s="77">
        <v>1501</v>
      </c>
      <c r="D20" t="s">
        <v>175</v>
      </c>
      <c r="E20">
        <v>0</v>
      </c>
      <c r="G20" s="35"/>
      <c r="H20" s="36"/>
      <c r="I20" s="35"/>
      <c r="J20" s="38"/>
      <c r="K20" s="38"/>
      <c r="L20" s="38"/>
      <c r="M20" s="38"/>
      <c r="N20" s="38"/>
      <c r="O20" s="38"/>
      <c r="P20" s="36"/>
    </row>
    <row r="21" spans="2:16" ht="12.75">
      <c r="B21" t="s">
        <v>336</v>
      </c>
      <c r="C21" s="77">
        <v>3101</v>
      </c>
      <c r="D21" t="s">
        <v>188</v>
      </c>
      <c r="E21">
        <v>0</v>
      </c>
      <c r="G21" s="35"/>
      <c r="H21" s="36"/>
      <c r="I21" s="35"/>
      <c r="J21" s="38"/>
      <c r="K21" s="38"/>
      <c r="L21" s="38"/>
      <c r="M21" s="38"/>
      <c r="N21" s="38"/>
      <c r="O21" s="38"/>
      <c r="P21" s="36"/>
    </row>
    <row r="22" spans="2:16" ht="12.75">
      <c r="B22" t="s">
        <v>337</v>
      </c>
      <c r="C22" s="77">
        <v>8101</v>
      </c>
      <c r="D22" t="s">
        <v>276</v>
      </c>
      <c r="E22">
        <v>372.3</v>
      </c>
      <c r="F22">
        <v>81.3</v>
      </c>
      <c r="G22" s="35">
        <v>55.3</v>
      </c>
      <c r="H22" s="36">
        <v>43.3</v>
      </c>
      <c r="I22" s="35">
        <v>40.9</v>
      </c>
      <c r="J22" s="38">
        <v>50.5</v>
      </c>
      <c r="K22" s="38">
        <v>48.1</v>
      </c>
      <c r="L22" s="38">
        <v>52.9</v>
      </c>
      <c r="M22" s="38"/>
      <c r="N22" s="38"/>
      <c r="O22" s="38"/>
      <c r="P22" s="36"/>
    </row>
    <row r="23" spans="2:16" ht="12.75">
      <c r="B23" t="s">
        <v>338</v>
      </c>
      <c r="C23" s="77">
        <v>8102</v>
      </c>
      <c r="D23" t="s">
        <v>277</v>
      </c>
      <c r="E23">
        <v>107.3</v>
      </c>
      <c r="F23">
        <v>71.6</v>
      </c>
      <c r="G23" s="35">
        <v>6.8</v>
      </c>
      <c r="H23" s="36">
        <v>5.3</v>
      </c>
      <c r="I23" s="35">
        <v>5</v>
      </c>
      <c r="J23" s="38">
        <v>6.2</v>
      </c>
      <c r="K23" s="38">
        <v>5.9</v>
      </c>
      <c r="L23" s="38">
        <v>6.5</v>
      </c>
      <c r="M23" s="38"/>
      <c r="N23" s="38"/>
      <c r="O23" s="38"/>
      <c r="P23" s="36"/>
    </row>
    <row r="24" spans="2:16" ht="12.75">
      <c r="B24" t="s">
        <v>339</v>
      </c>
      <c r="C24" s="77">
        <v>8202</v>
      </c>
      <c r="D24" t="s">
        <v>214</v>
      </c>
      <c r="E24">
        <v>191.9</v>
      </c>
      <c r="F24">
        <v>43.5</v>
      </c>
      <c r="G24" s="35">
        <v>28.2</v>
      </c>
      <c r="H24" s="36">
        <v>22.1</v>
      </c>
      <c r="I24" s="35">
        <v>20.8</v>
      </c>
      <c r="J24" s="38">
        <v>25.8</v>
      </c>
      <c r="K24" s="38">
        <v>24.5</v>
      </c>
      <c r="L24" s="38">
        <v>27</v>
      </c>
      <c r="M24" s="38"/>
      <c r="N24" s="38"/>
      <c r="O24" s="38"/>
      <c r="P24" s="36"/>
    </row>
    <row r="25" spans="2:16" ht="12.75">
      <c r="B25" t="s">
        <v>340</v>
      </c>
      <c r="C25" s="77">
        <v>8203</v>
      </c>
      <c r="D25" t="s">
        <v>215</v>
      </c>
      <c r="E25">
        <v>0</v>
      </c>
      <c r="G25" s="35"/>
      <c r="H25" s="36"/>
      <c r="I25" s="35"/>
      <c r="J25" s="38"/>
      <c r="K25" s="38"/>
      <c r="L25" s="38"/>
      <c r="M25" s="38"/>
      <c r="N25" s="38"/>
      <c r="O25" s="38"/>
      <c r="P25" s="36"/>
    </row>
    <row r="26" spans="2:16" ht="12.75">
      <c r="B26" t="s">
        <v>341</v>
      </c>
      <c r="C26" s="77">
        <v>8204</v>
      </c>
      <c r="D26" t="s">
        <v>216</v>
      </c>
      <c r="E26">
        <v>4.7</v>
      </c>
      <c r="F26">
        <v>4.7</v>
      </c>
      <c r="G26" s="35"/>
      <c r="H26" s="36"/>
      <c r="I26" s="35"/>
      <c r="J26" s="38"/>
      <c r="K26" s="38"/>
      <c r="L26" s="38"/>
      <c r="M26" s="38"/>
      <c r="N26" s="38"/>
      <c r="O26" s="38"/>
      <c r="P26" s="36"/>
    </row>
    <row r="27" spans="2:16" ht="12.75">
      <c r="B27" t="s">
        <v>342</v>
      </c>
      <c r="C27" s="77">
        <v>8220</v>
      </c>
      <c r="D27" t="s">
        <v>278</v>
      </c>
      <c r="E27">
        <v>347.9</v>
      </c>
      <c r="F27">
        <v>81</v>
      </c>
      <c r="G27" s="35">
        <v>48.5</v>
      </c>
      <c r="H27" s="36">
        <v>41</v>
      </c>
      <c r="I27" s="35">
        <v>67.7</v>
      </c>
      <c r="J27" s="38">
        <v>56.2</v>
      </c>
      <c r="K27" s="38">
        <v>53.5</v>
      </c>
      <c r="L27" s="38"/>
      <c r="M27" s="38"/>
      <c r="N27" s="38"/>
      <c r="O27" s="38"/>
      <c r="P27" s="36"/>
    </row>
    <row r="28" spans="2:16" ht="12.75">
      <c r="B28" t="s">
        <v>343</v>
      </c>
      <c r="C28" s="77">
        <v>8221</v>
      </c>
      <c r="D28" t="s">
        <v>279</v>
      </c>
      <c r="E28">
        <v>941.8</v>
      </c>
      <c r="F28">
        <v>226.8</v>
      </c>
      <c r="G28" s="35">
        <v>244.8</v>
      </c>
      <c r="H28" s="36">
        <v>191.6</v>
      </c>
      <c r="I28" s="35">
        <v>149.1</v>
      </c>
      <c r="J28" s="38">
        <v>50.9</v>
      </c>
      <c r="K28" s="38">
        <v>48.5</v>
      </c>
      <c r="L28" s="38">
        <v>30.1</v>
      </c>
      <c r="M28" s="38"/>
      <c r="N28" s="38"/>
      <c r="O28" s="38"/>
      <c r="P28" s="36"/>
    </row>
    <row r="29" spans="2:16" ht="12.75">
      <c r="B29" t="s">
        <v>344</v>
      </c>
      <c r="C29" s="77">
        <v>8222</v>
      </c>
      <c r="D29" t="s">
        <v>280</v>
      </c>
      <c r="E29">
        <v>293.4</v>
      </c>
      <c r="F29">
        <v>43.4</v>
      </c>
      <c r="G29" s="35">
        <v>47.5</v>
      </c>
      <c r="H29" s="36">
        <v>37.2</v>
      </c>
      <c r="I29" s="35">
        <v>35.1</v>
      </c>
      <c r="J29" s="38">
        <v>43.4</v>
      </c>
      <c r="K29" s="38">
        <v>41.3</v>
      </c>
      <c r="L29" s="38">
        <v>45.5</v>
      </c>
      <c r="M29" s="38"/>
      <c r="N29" s="38"/>
      <c r="O29" s="38"/>
      <c r="P29" s="36"/>
    </row>
    <row r="30" spans="2:16" ht="12.75">
      <c r="B30" t="s">
        <v>345</v>
      </c>
      <c r="C30" s="77">
        <v>8998</v>
      </c>
      <c r="D30" t="s">
        <v>219</v>
      </c>
      <c r="E30">
        <v>93.2</v>
      </c>
      <c r="F30">
        <v>33.8</v>
      </c>
      <c r="G30" s="35">
        <v>11.3</v>
      </c>
      <c r="H30" s="36">
        <v>8.8</v>
      </c>
      <c r="I30" s="35">
        <v>8.4</v>
      </c>
      <c r="J30" s="38">
        <v>10.3</v>
      </c>
      <c r="K30" s="38">
        <v>9.8</v>
      </c>
      <c r="L30" s="38">
        <v>10.8</v>
      </c>
      <c r="M30" s="38"/>
      <c r="N30" s="38"/>
      <c r="O30" s="38"/>
      <c r="P30" s="36"/>
    </row>
    <row r="31" spans="3:16" ht="12.75">
      <c r="C31" s="77"/>
      <c r="G31" s="35"/>
      <c r="H31" s="36"/>
      <c r="I31" s="35"/>
      <c r="J31" s="38"/>
      <c r="K31" s="38"/>
      <c r="L31" s="38"/>
      <c r="M31" s="38"/>
      <c r="N31" s="38"/>
      <c r="O31" s="38"/>
      <c r="P31" s="36"/>
    </row>
    <row r="32" spans="3:16" ht="12.75">
      <c r="C32" s="77"/>
      <c r="E32">
        <v>2847.6</v>
      </c>
      <c r="G32" s="35"/>
      <c r="H32" s="36"/>
      <c r="I32" s="35"/>
      <c r="J32" s="38"/>
      <c r="K32" s="38"/>
      <c r="L32" s="38"/>
      <c r="M32" s="38"/>
      <c r="N32" s="38"/>
      <c r="O32" s="38"/>
      <c r="P32" s="36"/>
    </row>
  </sheetData>
  <printOptions gridLines="1"/>
  <pageMargins left="0.75" right="0.75" top="1" bottom="1" header="0.5" footer="0.5"/>
  <pageSetup horizontalDpi="600" verticalDpi="600" orientation="portrait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drej</dc:creator>
  <cp:keywords/>
  <dc:description/>
  <cp:lastModifiedBy>bsimmons</cp:lastModifiedBy>
  <cp:lastPrinted>2008-09-10T19:32:44Z</cp:lastPrinted>
  <dcterms:created xsi:type="dcterms:W3CDTF">2008-06-03T11:51:24Z</dcterms:created>
  <dcterms:modified xsi:type="dcterms:W3CDTF">2008-09-10T19:35:36Z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