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50" activeTab="0"/>
  </bookViews>
  <sheets>
    <sheet name="P3" sheetId="1" r:id="rId1"/>
  </sheets>
  <definedNames>
    <definedName name="ACT">'P3'!#REF!</definedName>
    <definedName name="BABO">'P3'!#REF!</definedName>
    <definedName name="CCCC">'P3'!#REF!</definedName>
    <definedName name="CCXX">'P3'!#REF!</definedName>
    <definedName name="DSNR">'P3'!#REF!</definedName>
    <definedName name="EF">'P3'!#REF!</definedName>
    <definedName name="EFA">'P3'!#REF!</definedName>
    <definedName name="ES">'P3'!#REF!</definedName>
    <definedName name="ESA">'P3'!#REF!</definedName>
    <definedName name="FWP">'P3'!#REF!</definedName>
    <definedName name="JJJJ">'P3'!#REF!</definedName>
    <definedName name="JOBX">'P3'!#REF!</definedName>
    <definedName name="LF">'P3'!#REF!</definedName>
    <definedName name="LFA">'P3'!#REF!</definedName>
    <definedName name="LOG10">'P3'!#REF!</definedName>
    <definedName name="LOG11">'P3'!#REF!</definedName>
    <definedName name="MCAP">'P3'!#REF!</definedName>
    <definedName name="ORDR">'P3'!#REF!</definedName>
    <definedName name="PCTC">'P3'!#REF!</definedName>
    <definedName name="PHAS">'P3'!#REF!</definedName>
    <definedName name="_xlnm.Print_Titles" localSheetId="0">'P3'!$2:$2</definedName>
    <definedName name="RESP">'P3'!#REF!</definedName>
    <definedName name="ROLL">'P3'!#REF!</definedName>
    <definedName name="SJOB">'P3'!#REF!</definedName>
    <definedName name="TF">'P3'!#REF!</definedName>
    <definedName name="TITLE">'P3'!#REF!</definedName>
    <definedName name="WAF">'P3'!#REF!</definedName>
    <definedName name="WBS1">'P3'!#REF!</definedName>
    <definedName name="WBS2">'P3'!#REF!</definedName>
    <definedName name="WBS3">'P3'!#REF!</definedName>
    <definedName name="WBS4">'P3'!#REF!</definedName>
    <definedName name="WWWW">'P3'!#REF!</definedName>
  </definedNames>
  <calcPr fullCalcOnLoad="1"/>
</workbook>
</file>

<file path=xl/sharedStrings.xml><?xml version="1.0" encoding="utf-8"?>
<sst xmlns="http://schemas.openxmlformats.org/spreadsheetml/2006/main" count="817" uniqueCount="395">
  <si>
    <t xml:space="preserve">   ACT     </t>
  </si>
  <si>
    <t xml:space="preserve">                     TITLE                       </t>
  </si>
  <si>
    <t xml:space="preserve">    ES      </t>
  </si>
  <si>
    <t xml:space="preserve">            </t>
  </si>
  <si>
    <t xml:space="preserve">    EF      </t>
  </si>
  <si>
    <t xml:space="preserve">    LF      </t>
  </si>
  <si>
    <t xml:space="preserve"> TF   </t>
  </si>
  <si>
    <t xml:space="preserve">WBS2  </t>
  </si>
  <si>
    <t xml:space="preserve">JJJJ  </t>
  </si>
  <si>
    <t xml:space="preserve">WBS4  </t>
  </si>
  <si>
    <t xml:space="preserve">ORDR  </t>
  </si>
  <si>
    <t xml:space="preserve">                     LOG10                       </t>
  </si>
  <si>
    <t xml:space="preserve">                     LOG11                       </t>
  </si>
  <si>
    <t xml:space="preserve">           </t>
  </si>
  <si>
    <t xml:space="preserve">                                                 </t>
  </si>
  <si>
    <t xml:space="preserve">      </t>
  </si>
  <si>
    <t xml:space="preserve">1301-175.7 </t>
  </si>
  <si>
    <t xml:space="preserve">Complete PDR Drawings                            </t>
  </si>
  <si>
    <t xml:space="preserve">13 </t>
  </si>
  <si>
    <t xml:space="preserve">     </t>
  </si>
  <si>
    <t xml:space="preserve">1301 </t>
  </si>
  <si>
    <t xml:space="preserve">23 </t>
  </si>
  <si>
    <t xml:space="preserve">   </t>
  </si>
  <si>
    <t xml:space="preserve">rushinski=80                                     </t>
  </si>
  <si>
    <t xml:space="preserve">1301R-34   </t>
  </si>
  <si>
    <t xml:space="preserve">Final Design Coil Windings                       </t>
  </si>
  <si>
    <t xml:space="preserve">80 </t>
  </si>
  <si>
    <t xml:space="preserve">rushinski=120                                    </t>
  </si>
  <si>
    <t xml:space="preserve">1301R-36   </t>
  </si>
  <si>
    <t xml:space="preserve">Final Design Leads                               </t>
  </si>
  <si>
    <t xml:space="preserve">1301-80    </t>
  </si>
  <si>
    <t xml:space="preserve">Engr &amp; Design revisions for two piece design     </t>
  </si>
  <si>
    <t xml:space="preserve">91 </t>
  </si>
  <si>
    <t xml:space="preserve">rushinski=240                                    </t>
  </si>
  <si>
    <t xml:space="preserve">1302-PF    </t>
  </si>
  <si>
    <t xml:space="preserve">PF Design                                        </t>
  </si>
  <si>
    <t xml:space="preserve">1302 </t>
  </si>
  <si>
    <t xml:space="preserve">08 </t>
  </si>
  <si>
    <t xml:space="preserve">kal;ish=220;rushinski=232;dahlgren=220           </t>
  </si>
  <si>
    <t xml:space="preserve">1302-CSS   </t>
  </si>
  <si>
    <t xml:space="preserve">Center Stack Support Design                      </t>
  </si>
  <si>
    <t xml:space="preserve">51 </t>
  </si>
  <si>
    <t xml:space="preserve">kalish=220;rushinski=368;dahlgren=88             </t>
  </si>
  <si>
    <t xml:space="preserve">1303-TRIM  </t>
  </si>
  <si>
    <t xml:space="preserve">Trim Coil Design                                 </t>
  </si>
  <si>
    <t xml:space="preserve">1303 </t>
  </si>
  <si>
    <t xml:space="preserve">kalish=220;rushinski=180;dahlgren=180            </t>
  </si>
  <si>
    <t xml:space="preserve">131-031    </t>
  </si>
  <si>
    <t xml:space="preserve">Title III engr                                   </t>
  </si>
  <si>
    <t xml:space="preserve">1351 </t>
  </si>
  <si>
    <t xml:space="preserve">13T  </t>
  </si>
  <si>
    <t xml:space="preserve">99 </t>
  </si>
  <si>
    <t xml:space="preserve">Kalish=666hr; ornlem=62;Rushinski=96             </t>
  </si>
  <si>
    <t xml:space="preserve">141-031    </t>
  </si>
  <si>
    <t xml:space="preserve">Title III engr WBS 132                           </t>
  </si>
  <si>
    <t xml:space="preserve">1352 </t>
  </si>
  <si>
    <t xml:space="preserve">13P  </t>
  </si>
  <si>
    <t xml:space="preserve">50 </t>
  </si>
  <si>
    <t xml:space="preserve">Kalish=704;ea//dm=96;ornlem=62                   </t>
  </si>
  <si>
    <t xml:space="preserve">163-015    </t>
  </si>
  <si>
    <t xml:space="preserve">Title III design  CS sprt struc                  </t>
  </si>
  <si>
    <t xml:space="preserve">1353 </t>
  </si>
  <si>
    <t xml:space="preserve">132A </t>
  </si>
  <si>
    <t xml:space="preserve">24 </t>
  </si>
  <si>
    <t xml:space="preserve">ORNLEM =31;Kalish=250;Rushinski=83               </t>
  </si>
  <si>
    <t xml:space="preserve">184-015    </t>
  </si>
  <si>
    <t xml:space="preserve">Title III  WBS 133 Rxt Trim Coils                </t>
  </si>
  <si>
    <t xml:space="preserve">1354 </t>
  </si>
  <si>
    <t xml:space="preserve">133  </t>
  </si>
  <si>
    <t xml:space="preserve">16 </t>
  </si>
  <si>
    <t xml:space="preserve">Rushinski=64;Kalish=232;ornlem=30;35=$4k         </t>
  </si>
  <si>
    <t xml:space="preserve">133-015    </t>
  </si>
  <si>
    <t xml:space="preserve">Title III  WBS 134 Conv Coil I&amp;C                 </t>
  </si>
  <si>
    <t xml:space="preserve">1355 </t>
  </si>
  <si>
    <t xml:space="preserve">134  </t>
  </si>
  <si>
    <t xml:space="preserve">ORNLEM=18;Kalish=2;Rushinski=6                   </t>
  </si>
  <si>
    <t xml:space="preserve">1501-FY05  </t>
  </si>
  <si>
    <t xml:space="preserve">Prelim &amp; Final Design Structures                 </t>
  </si>
  <si>
    <t xml:space="preserve">15 </t>
  </si>
  <si>
    <t xml:space="preserve">1501 </t>
  </si>
  <si>
    <t xml:space="preserve">01 </t>
  </si>
  <si>
    <t xml:space="preserve">kalish=375;rushinski=376;dahlgren=266            </t>
  </si>
  <si>
    <t xml:space="preserve">162-031    </t>
  </si>
  <si>
    <t xml:space="preserve">Title III engr WBS 151                           </t>
  </si>
  <si>
    <t xml:space="preserve">1550 </t>
  </si>
  <si>
    <t xml:space="preserve">Heitzenroeder=720;ea//dm=218;ornlem=62           </t>
  </si>
  <si>
    <t xml:space="preserve">151-001    </t>
  </si>
  <si>
    <t xml:space="preserve">Title I design WBS 171 cryostat shell &amp; struct   </t>
  </si>
  <si>
    <t xml:space="preserve">17 </t>
  </si>
  <si>
    <t xml:space="preserve">1701 </t>
  </si>
  <si>
    <t xml:space="preserve">12 </t>
  </si>
  <si>
    <t xml:space="preserve">gettelfinger   =488hr   ; Rushinski  =297hr   ;  </t>
  </si>
  <si>
    <t xml:space="preserve">161-001    </t>
  </si>
  <si>
    <t xml:space="preserve">Title I design WBS 172 base support struct       </t>
  </si>
  <si>
    <t xml:space="preserve">Paul   =170hr   ;gettelfinger  =202hr            </t>
  </si>
  <si>
    <t xml:space="preserve">161-011    </t>
  </si>
  <si>
    <t xml:space="preserve">Final Design Base Support Structure WBS 172      </t>
  </si>
  <si>
    <t xml:space="preserve">Rushinski =170hr;Gettelfinger =202hr;ornlem=20-0 </t>
  </si>
  <si>
    <t xml:space="preserve">151-011    </t>
  </si>
  <si>
    <t xml:space="preserve">Final Design Cryostat      WBS 171               </t>
  </si>
  <si>
    <t xml:space="preserve">Gettelfinger   =976hr   ; Paul   =593hr   ;      </t>
  </si>
  <si>
    <t xml:space="preserve">151-031    </t>
  </si>
  <si>
    <t xml:space="preserve">1751 </t>
  </si>
  <si>
    <t xml:space="preserve">171  </t>
  </si>
  <si>
    <t xml:space="preserve">19 </t>
  </si>
  <si>
    <t xml:space="preserve">Gettelfinger   =34hr   ; ea//dm=220              </t>
  </si>
  <si>
    <t xml:space="preserve">1803-1.01  </t>
  </si>
  <si>
    <t xml:space="preserve">Concept definition and requirements              </t>
  </si>
  <si>
    <t xml:space="preserve">18 </t>
  </si>
  <si>
    <t xml:space="preserve">1803 </t>
  </si>
  <si>
    <t xml:space="preserve">1.00 </t>
  </si>
  <si>
    <t xml:space="preserve">10 </t>
  </si>
  <si>
    <t xml:space="preserve">BROWN        =60hr   ; PAUL         =60     ;    </t>
  </si>
  <si>
    <t xml:space="preserve">1803-1.02  </t>
  </si>
  <si>
    <t xml:space="preserve">VV Support Fixture - model design&amp; drawing detai </t>
  </si>
  <si>
    <t xml:space="preserve">BROWN        =08hr   ; PAUL    =120     ;        </t>
  </si>
  <si>
    <t xml:space="preserve">1803-1.04  </t>
  </si>
  <si>
    <t xml:space="preserve">Metrology -sightline layout   metrology support  </t>
  </si>
  <si>
    <t xml:space="preserve">25 </t>
  </si>
  <si>
    <t xml:space="preserve">BROWN        =80hr   ; PAUL         =120     ;   </t>
  </si>
  <si>
    <t xml:space="preserve">1803-1.07  </t>
  </si>
  <si>
    <t xml:space="preserve">Design check and sign-off                        </t>
  </si>
  <si>
    <t xml:space="preserve">55 </t>
  </si>
  <si>
    <t xml:space="preserve">BROWN        =16hr   ; PAUL         =08     ;    </t>
  </si>
  <si>
    <t xml:space="preserve">1803-1.10  </t>
  </si>
  <si>
    <t xml:space="preserve">Fab / Design Review - follow-up activities       </t>
  </si>
  <si>
    <t xml:space="preserve">60 </t>
  </si>
  <si>
    <t xml:space="preserve">BROWN        =16hr   ; PAUL         =40     ;    </t>
  </si>
  <si>
    <t xml:space="preserve">1803-2.01  </t>
  </si>
  <si>
    <t xml:space="preserve">2.00 </t>
  </si>
  <si>
    <t xml:space="preserve">BROWN        =60hr   ; PAUL         =60    ;     </t>
  </si>
  <si>
    <t xml:space="preserve">1803-2.02  </t>
  </si>
  <si>
    <t xml:space="preserve">MC Holding Fixture 1 - model design and drawing  </t>
  </si>
  <si>
    <t xml:space="preserve">11 </t>
  </si>
  <si>
    <t xml:space="preserve">BROWN        =08hr   ; PAUL         =60     ;    </t>
  </si>
  <si>
    <t xml:space="preserve">1803-2.03  </t>
  </si>
  <si>
    <t xml:space="preserve">MC Assembly Fixture 2- design &amp; drawing details  </t>
  </si>
  <si>
    <t xml:space="preserve">BROWN        =12hr   ; PAUL         =120     ;   </t>
  </si>
  <si>
    <t xml:space="preserve">1803-2.04  </t>
  </si>
  <si>
    <t xml:space="preserve">Metrology - sightline layout design details metr </t>
  </si>
  <si>
    <t xml:space="preserve">BROWN        =60hr   ; PAUL         =80     ;    </t>
  </si>
  <si>
    <t xml:space="preserve">1803-2.10  </t>
  </si>
  <si>
    <t xml:space="preserve">35 </t>
  </si>
  <si>
    <t xml:space="preserve">1803-2.07  </t>
  </si>
  <si>
    <t xml:space="preserve">40 </t>
  </si>
  <si>
    <t xml:space="preserve">1803-3.01  </t>
  </si>
  <si>
    <t xml:space="preserve">3.00 </t>
  </si>
  <si>
    <t xml:space="preserve">BROWN        =40hr   ; MORRIS       =40     ;    </t>
  </si>
  <si>
    <t xml:space="preserve">1803-3.02  </t>
  </si>
  <si>
    <t xml:space="preserve">MC Turning Fixture and base - model design and d </t>
  </si>
  <si>
    <t xml:space="preserve">BROWN        =12hr   ; MORRIS       =120     ;   </t>
  </si>
  <si>
    <t xml:space="preserve">1803-3.03  </t>
  </si>
  <si>
    <t xml:space="preserve">MC Gantry Crane - model design and drawing detai </t>
  </si>
  <si>
    <t xml:space="preserve">20 </t>
  </si>
  <si>
    <t xml:space="preserve">1803-3.04  </t>
  </si>
  <si>
    <t xml:space="preserve">VV support stand - model design and drawing deta </t>
  </si>
  <si>
    <t xml:space="preserve">BROWN        =04hr   ; MORRIS       =80     ;    </t>
  </si>
  <si>
    <t xml:space="preserve">1803-3.05  </t>
  </si>
  <si>
    <t xml:space="preserve">Platform - design and drawing details            </t>
  </si>
  <si>
    <t xml:space="preserve">30 </t>
  </si>
  <si>
    <t xml:space="preserve">BROWN        =06hr   ; MORRIS       =80     ;    </t>
  </si>
  <si>
    <t xml:space="preserve">1803-3.06  </t>
  </si>
  <si>
    <t xml:space="preserve">BROWN        =40hr   ; MORRIS       =80     ;    </t>
  </si>
  <si>
    <t xml:space="preserve">1803-3.09  </t>
  </si>
  <si>
    <t xml:space="preserve">70 </t>
  </si>
  <si>
    <t xml:space="preserve">BROWN        =16hr   ; MORRIS       =08    ;     </t>
  </si>
  <si>
    <t xml:space="preserve">1803-3.13  </t>
  </si>
  <si>
    <t xml:space="preserve">Fabrication - follow-up activities               </t>
  </si>
  <si>
    <t xml:space="preserve">1803-4.01  </t>
  </si>
  <si>
    <t xml:space="preserve">4.00 </t>
  </si>
  <si>
    <t xml:space="preserve">BROWN        =47hr   ; MORRIS       =40    ;     </t>
  </si>
  <si>
    <t xml:space="preserve">1803-4.02  </t>
  </si>
  <si>
    <t xml:space="preserve">MC Support Stand - model design and drawing deta </t>
  </si>
  <si>
    <t xml:space="preserve">1803-4.03  </t>
  </si>
  <si>
    <t xml:space="preserve">TF HP support  turning fixture - model design  d </t>
  </si>
  <si>
    <t xml:space="preserve">1803-4.04  </t>
  </si>
  <si>
    <t xml:space="preserve">FP Assembly platform - model design  drawing det </t>
  </si>
  <si>
    <t xml:space="preserve">1803-4.05  </t>
  </si>
  <si>
    <t xml:space="preserve">VV Port Alignment/Weldment Fixture - design and  </t>
  </si>
  <si>
    <t xml:space="preserve">1803-4.06  </t>
  </si>
  <si>
    <t xml:space="preserve">BROWN        =08hr   ; MORRIS       =80     ;    </t>
  </si>
  <si>
    <t xml:space="preserve">1803-4.09  </t>
  </si>
  <si>
    <t xml:space="preserve">BROWN        =16hr   ; MORRIS       =08     ;    </t>
  </si>
  <si>
    <t xml:space="preserve">1803-4.12  </t>
  </si>
  <si>
    <t xml:space="preserve">BROWN        =16hr   ; MORRIS       =40     ;    </t>
  </si>
  <si>
    <t xml:space="preserve">1803-5.01  </t>
  </si>
  <si>
    <t xml:space="preserve">Finalize TFTR test cell FPA assembly layout draw </t>
  </si>
  <si>
    <t xml:space="preserve">5.00 </t>
  </si>
  <si>
    <t xml:space="preserve">BROWN        =40hr   ; PAUL         =24     ;    </t>
  </si>
  <si>
    <t xml:space="preserve">1803-5.03  </t>
  </si>
  <si>
    <t xml:space="preserve">Develop test components as needed to qualify ass </t>
  </si>
  <si>
    <t xml:space="preserve">BROWN        =40hr   ; ANALYST      =80hr   ;    </t>
  </si>
  <si>
    <t xml:space="preserve">PAUL         =120     ;41=15                     </t>
  </si>
  <si>
    <t xml:space="preserve">1803-7.01  </t>
  </si>
  <si>
    <t xml:space="preserve">Meetings Prep and Reporting                      </t>
  </si>
  <si>
    <t xml:space="preserve">7.00 </t>
  </si>
  <si>
    <t xml:space="preserve">BROWN        =341hr   ; MORRIS       =238     ;  </t>
  </si>
  <si>
    <t xml:space="preserve">PAUL         =190    ;Fan=84                     </t>
  </si>
  <si>
    <t xml:space="preserve">713A.060   </t>
  </si>
  <si>
    <t xml:space="preserve">Instl He gas piping from NSTX to D-site tc       </t>
  </si>
  <si>
    <t xml:space="preserve">TOOL </t>
  </si>
  <si>
    <t xml:space="preserve">14 </t>
  </si>
  <si>
    <t xml:space="preserve">ETC=+ Kalish=40; em//sm=40; em//tb=240           </t>
  </si>
  <si>
    <t xml:space="preserve">ETC=+ ea//dm=80; 41=$ 5.6 k                      </t>
  </si>
  <si>
    <t xml:space="preserve">21-25      </t>
  </si>
  <si>
    <t xml:space="preserve">Electrical Drafting for pumping system           </t>
  </si>
  <si>
    <t xml:space="preserve">21 </t>
  </si>
  <si>
    <t xml:space="preserve">EC16 </t>
  </si>
  <si>
    <t xml:space="preserve">EA//DM   =120hr   ;                              </t>
  </si>
  <si>
    <t xml:space="preserve">21-30      </t>
  </si>
  <si>
    <t xml:space="preserve">Drafting                                         </t>
  </si>
  <si>
    <t xml:space="preserve">EA//DM   =80hr   ;                               </t>
  </si>
  <si>
    <t xml:space="preserve">22-35      </t>
  </si>
  <si>
    <t xml:space="preserve">22 </t>
  </si>
  <si>
    <t xml:space="preserve">EA//DM   =210hr   ;                              </t>
  </si>
  <si>
    <t xml:space="preserve">22-40      </t>
  </si>
  <si>
    <t xml:space="preserve">EA//DM   =160hr   ;                              </t>
  </si>
  <si>
    <t xml:space="preserve">310-020    </t>
  </si>
  <si>
    <t xml:space="preserve">Design other ex-vessel sensors                   </t>
  </si>
  <si>
    <t xml:space="preserve">31 </t>
  </si>
  <si>
    <t xml:space="preserve">3101 </t>
  </si>
  <si>
    <t xml:space="preserve">R///RM2  =20hr   ; EE//EM   =580hr   ;           </t>
  </si>
  <si>
    <t xml:space="preserve">Mech Design ea//sm tbd=   =560hr   ;             </t>
  </si>
  <si>
    <t xml:space="preserve">380-010    </t>
  </si>
  <si>
    <t xml:space="preserve">Designe-Beam Probe,Fluor. Screen                 </t>
  </si>
  <si>
    <t xml:space="preserve">38 </t>
  </si>
  <si>
    <t xml:space="preserve">R///RM2  =70hr   ; EM//EM   =120hr   ;           </t>
  </si>
  <si>
    <t xml:space="preserve">EA//DM   =100hr   ;                              </t>
  </si>
  <si>
    <t xml:space="preserve">390-020    </t>
  </si>
  <si>
    <t xml:space="preserve">LOE Support FY06                                 </t>
  </si>
  <si>
    <t xml:space="preserve">39 </t>
  </si>
  <si>
    <t xml:space="preserve">R///RM2  =177hr   ; EM//EM   =0                  </t>
  </si>
  <si>
    <t xml:space="preserve">EA//DM   =0  ;r///rm3=177                        </t>
  </si>
  <si>
    <t xml:space="preserve">390-015    </t>
  </si>
  <si>
    <t xml:space="preserve">LOE Support FY05  **reduced scope                </t>
  </si>
  <si>
    <t xml:space="preserve">3901 </t>
  </si>
  <si>
    <t xml:space="preserve">4101-100.1 </t>
  </si>
  <si>
    <t xml:space="preserve">Prepare Preliminary One line diagram             </t>
  </si>
  <si>
    <t xml:space="preserve">41 </t>
  </si>
  <si>
    <t xml:space="preserve">4101 </t>
  </si>
  <si>
    <t xml:space="preserve">411  </t>
  </si>
  <si>
    <t xml:space="preserve">vankirk   =16hr   ; raki   =24hr   ;             </t>
  </si>
  <si>
    <t xml:space="preserve">ee//sm=16; ee//tb=32                             </t>
  </si>
  <si>
    <t xml:space="preserve">411-1-100  </t>
  </si>
  <si>
    <t xml:space="preserve">Ex-Test cell AC pwr-Reactivate&amp; new instl        </t>
  </si>
  <si>
    <t xml:space="preserve">vankirk=26;raki=62;ee//sm=62                     </t>
  </si>
  <si>
    <t xml:space="preserve">ee//tb=104;M&amp;S=6;Powers=$16k                     </t>
  </si>
  <si>
    <t xml:space="preserve">411-2-2    </t>
  </si>
  <si>
    <t xml:space="preserve">Grounding-Dsn                                    </t>
  </si>
  <si>
    <t xml:space="preserve">VANKIRK   =160hr   ; Raki    =72hr   ;           </t>
  </si>
  <si>
    <t xml:space="preserve">411-3-2    </t>
  </si>
  <si>
    <t xml:space="preserve">Test Cell AC Power Distr-Dsn                     </t>
  </si>
  <si>
    <t xml:space="preserve">VANKIRK   =20hr   ; Raki    =8hr   ;             </t>
  </si>
  <si>
    <t xml:space="preserve">412-1-2    </t>
  </si>
  <si>
    <t xml:space="preserve">D-site Pulsed AC Power Distr-Dsn                 </t>
  </si>
  <si>
    <t xml:space="preserve">412  </t>
  </si>
  <si>
    <t xml:space="preserve">VANKIRK   =40hr   ;Raki    =40hr   ;             </t>
  </si>
  <si>
    <t xml:space="preserve">431-210    </t>
  </si>
  <si>
    <t xml:space="preserve">Organize &amp; verify documentation                  </t>
  </si>
  <si>
    <t xml:space="preserve">43 </t>
  </si>
  <si>
    <t xml:space="preserve">4301 </t>
  </si>
  <si>
    <t xml:space="preserve">431  </t>
  </si>
  <si>
    <t xml:space="preserve">raki=104;mcbride=64;nelson=200                   </t>
  </si>
  <si>
    <t xml:space="preserve">431-250    </t>
  </si>
  <si>
    <t xml:space="preserve">c-site dc sys DGS dsn documentation              </t>
  </si>
  <si>
    <t xml:space="preserve">raki=16;jones=40                                 </t>
  </si>
  <si>
    <t xml:space="preserve">431-260    </t>
  </si>
  <si>
    <t xml:space="preserve">Power loop design                                </t>
  </si>
  <si>
    <t xml:space="preserve">raki=224;vankirk=360;jones=360                   </t>
  </si>
  <si>
    <t xml:space="preserve">441-095    </t>
  </si>
  <si>
    <t xml:space="preserve">Design Interlock sys                             </t>
  </si>
  <si>
    <t xml:space="preserve">44 </t>
  </si>
  <si>
    <t xml:space="preserve">4401 </t>
  </si>
  <si>
    <t xml:space="preserve">441  </t>
  </si>
  <si>
    <t xml:space="preserve">raki=80;vankirk=160                              </t>
  </si>
  <si>
    <t xml:space="preserve">441-135    </t>
  </si>
  <si>
    <t xml:space="preserve">Install I/O Cabling                              </t>
  </si>
  <si>
    <t xml:space="preserve">raki=120;ee//sm=80;Powers=30 k                   </t>
  </si>
  <si>
    <t xml:space="preserve">ea//sm=160;ee//tb=160;41=$8k                     </t>
  </si>
  <si>
    <t xml:space="preserve">442-1-2    </t>
  </si>
  <si>
    <t xml:space="preserve">Kirk Keys-Dsn                                    </t>
  </si>
  <si>
    <t xml:space="preserve">442  </t>
  </si>
  <si>
    <t xml:space="preserve">EA//DM   =80hr   ; EE//EM   =40hr   ;            </t>
  </si>
  <si>
    <t xml:space="preserve">444-2-2    </t>
  </si>
  <si>
    <t xml:space="preserve">DC Potential Transducers (DCPTs)-Dsn             </t>
  </si>
  <si>
    <t xml:space="preserve">444  </t>
  </si>
  <si>
    <t xml:space="preserve">EA//DM   =60hr   ; EE//EM   =24hr   ;            </t>
  </si>
  <si>
    <t xml:space="preserve">444-3-2    </t>
  </si>
  <si>
    <t xml:space="preserve">DC Shunts-Dsn                                    </t>
  </si>
  <si>
    <t xml:space="preserve">VANKIRK   =80hr   ; Raki    =40hr   ;            </t>
  </si>
  <si>
    <t xml:space="preserve">444-4-2    </t>
  </si>
  <si>
    <t xml:space="preserve">Signal Conditioning &amp;  Cabling-Dsn               </t>
  </si>
  <si>
    <t xml:space="preserve">EA//DM   =80hr   ; EE//EM   =200hr   ;           </t>
  </si>
  <si>
    <t xml:space="preserve">445-1-2    </t>
  </si>
  <si>
    <t xml:space="preserve">Ground Fault Protection-Dsn                      </t>
  </si>
  <si>
    <t xml:space="preserve">445  </t>
  </si>
  <si>
    <t xml:space="preserve">VANKIRK   =120hr   ; Raki    =120hr   ;          </t>
  </si>
  <si>
    <t xml:space="preserve">445-2-110  </t>
  </si>
  <si>
    <t xml:space="preserve">Overload Protect-Design                          </t>
  </si>
  <si>
    <t xml:space="preserve">lawson=320;elect dsn=80,ee//sm=80                </t>
  </si>
  <si>
    <t xml:space="preserve">445-2-135  </t>
  </si>
  <si>
    <t xml:space="preserve">Overload Protect-Documentation                   </t>
  </si>
  <si>
    <t xml:space="preserve">raki=40;elect dsn=160                            </t>
  </si>
  <si>
    <t xml:space="preserve">445-2-140  </t>
  </si>
  <si>
    <t xml:space="preserve">Overload Protection&amp;cabling design,procure instl </t>
  </si>
  <si>
    <t xml:space="preserve">raki=248;elect dsn=200;ee//sm=112;ee//tb=240     </t>
  </si>
  <si>
    <t xml:space="preserve">41=6;powers=25k                                  </t>
  </si>
  <si>
    <t xml:space="preserve">451-3-2    </t>
  </si>
  <si>
    <t xml:space="preserve">Dwgs,asbuilts -Elect Dsn                         </t>
  </si>
  <si>
    <t xml:space="preserve">45 </t>
  </si>
  <si>
    <t xml:space="preserve">4501 </t>
  </si>
  <si>
    <t xml:space="preserve">451  </t>
  </si>
  <si>
    <t xml:space="preserve">VANKIRK  1040hr   ; Raki    =240hr   ;           </t>
  </si>
  <si>
    <t xml:space="preserve">451-2-1    </t>
  </si>
  <si>
    <t xml:space="preserve">CDR  Power system -Dsn                           </t>
  </si>
  <si>
    <t xml:space="preserve">vankirk=160; raki=160                            </t>
  </si>
  <si>
    <t xml:space="preserve">451-2-2    </t>
  </si>
  <si>
    <t xml:space="preserve">PDR  Power system -Dsn                           </t>
  </si>
  <si>
    <t xml:space="preserve">vankirk=160;raki=160                             </t>
  </si>
  <si>
    <t xml:space="preserve">451-2-2.1  </t>
  </si>
  <si>
    <t xml:space="preserve">FDR C-Site                                       </t>
  </si>
  <si>
    <t xml:space="preserve">451-6-2    </t>
  </si>
  <si>
    <t xml:space="preserve">FDR C-Site -Cabling                              </t>
  </si>
  <si>
    <t xml:space="preserve">451-4-2    </t>
  </si>
  <si>
    <t xml:space="preserve">FDR AC auxiliaries &amp; grounding-Dsn               </t>
  </si>
  <si>
    <t xml:space="preserve">VANKIRK   =40hr   ; Raki    =40hr   ;            </t>
  </si>
  <si>
    <t xml:space="preserve">451-1-2    </t>
  </si>
  <si>
    <t xml:space="preserve">Calculations-Dsn                                 </t>
  </si>
  <si>
    <t xml:space="preserve">Raki    =320hr   ;design=8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</si>
  <si>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</si>
  <si>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</si>
  <si>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</si>
  <si>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EA//DM   =640hr   ; Raki   =80hr   ;             </t>
  </si>
  <si>
    <t xml:space="preserve">452-2-2    </t>
  </si>
  <si>
    <t xml:space="preserve">Diagnostics sensor cabling-Dsn                   </t>
  </si>
  <si>
    <t xml:space="preserve">EA//DM   =160hr   ; Raki    =40hr   ;            </t>
  </si>
  <si>
    <t xml:space="preserve">453-1-2    </t>
  </si>
  <si>
    <t xml:space="preserve">New Procedures                                   </t>
  </si>
  <si>
    <t xml:space="preserve">453  </t>
  </si>
  <si>
    <t xml:space="preserve">EA//DM   =240hr   ; EE//EM   =240hr   ;          </t>
  </si>
  <si>
    <t xml:space="preserve">51-30      </t>
  </si>
  <si>
    <t xml:space="preserve">Installation, Testing, Documentation (Title III) </t>
  </si>
  <si>
    <t xml:space="preserve">EA//DM   =160hr   ; EC//EM   =220hr   ;          </t>
  </si>
  <si>
    <t xml:space="preserve">EE//SM   =740hr   ; 41=82$k   ;                  </t>
  </si>
  <si>
    <t xml:space="preserve">623.011    </t>
  </si>
  <si>
    <t xml:space="preserve">Design WBS 612                                   </t>
  </si>
  <si>
    <t xml:space="preserve">61 </t>
  </si>
  <si>
    <t xml:space="preserve">613  </t>
  </si>
  <si>
    <t xml:space="preserve">em//em=80; ea//dm=80                             </t>
  </si>
  <si>
    <t xml:space="preserve">631-010    </t>
  </si>
  <si>
    <t xml:space="preserve">Final Design**reduced scope                      </t>
  </si>
  <si>
    <t xml:space="preserve">62 </t>
  </si>
  <si>
    <t xml:space="preserve">621  </t>
  </si>
  <si>
    <t xml:space="preserve">EM//EM   =89hr   ; EA//DM   =176-160=16hr   ;    </t>
  </si>
  <si>
    <t xml:space="preserve">632-010    </t>
  </si>
  <si>
    <t xml:space="preserve">Final Design**deleted scope                      </t>
  </si>
  <si>
    <t xml:space="preserve">622  </t>
  </si>
  <si>
    <t xml:space="preserve">633-010    </t>
  </si>
  <si>
    <t xml:space="preserve">Final Design                                     </t>
  </si>
  <si>
    <t xml:space="preserve">623  </t>
  </si>
  <si>
    <t xml:space="preserve">EM//EM   =89hr   ; EA//DM   =80hr   ;            </t>
  </si>
  <si>
    <t xml:space="preserve">640.011    </t>
  </si>
  <si>
    <t xml:space="preserve">Design GN2, Air &amp; Vent Systems                   </t>
  </si>
  <si>
    <t xml:space="preserve">63 </t>
  </si>
  <si>
    <t xml:space="preserve">em//em=80; ea//dm=160                            </t>
  </si>
  <si>
    <t xml:space="preserve">712.010    </t>
  </si>
  <si>
    <t xml:space="preserve">73 </t>
  </si>
  <si>
    <t xml:space="preserve">7301 </t>
  </si>
  <si>
    <t xml:space="preserve">26 </t>
  </si>
  <si>
    <t xml:space="preserve">PERRY=140;messineo=300                           </t>
  </si>
  <si>
    <t xml:space="preserve">8203FY05   </t>
  </si>
  <si>
    <t xml:space="preserve">Design Integration FY05 LOE                      </t>
  </si>
  <si>
    <t xml:space="preserve">82 </t>
  </si>
  <si>
    <t xml:space="preserve">8203 </t>
  </si>
  <si>
    <t xml:space="preserve">messineo=1035   60%                              </t>
  </si>
  <si>
    <t xml:space="preserve">brown=285    17%                                 </t>
  </si>
  <si>
    <t xml:space="preserve">8203FY06   </t>
  </si>
  <si>
    <t xml:space="preserve">Design Integration FY06                          </t>
  </si>
  <si>
    <t xml:space="preserve">ea//sm=863                                       </t>
  </si>
  <si>
    <t xml:space="preserve">brown=863;                                       </t>
  </si>
  <si>
    <t xml:space="preserve">8203FY07   </t>
  </si>
  <si>
    <t xml:space="preserve">Design Integration FY07                          </t>
  </si>
  <si>
    <t xml:space="preserve">ea//sm=345                                       </t>
  </si>
  <si>
    <t xml:space="preserve">brown=518;                                       </t>
  </si>
  <si>
    <t xml:space="preserve">99.105     </t>
  </si>
  <si>
    <t xml:space="preserve">Contingency                                      </t>
  </si>
  <si>
    <t xml:space="preserve">CC </t>
  </si>
  <si>
    <t xml:space="preserve">CCCP </t>
  </si>
  <si>
    <t xml:space="preserve">ea engr tbd=760;mech design tbd=435;ornl=$100k   </t>
  </si>
  <si>
    <t xml:space="preserve">MCWF = $450k; VVSA =$350k                        </t>
  </si>
  <si>
    <t xml:space="preserve">99.106     </t>
  </si>
  <si>
    <t xml:space="preserve">02 </t>
  </si>
  <si>
    <t xml:space="preserve">99.107     </t>
  </si>
  <si>
    <t xml:space="preserve">03 </t>
  </si>
  <si>
    <t>Priority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</si>
</sst>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 textRotation="90"/>
    </xf>
    <xf numFmtId="0" fontId="0" fillId="0" borderId="1" xfId="0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 horizontal="center"/>
      <protection/>
    </xf>
    <xf numFmtId="0" fontId="2" fillId="0" borderId="2" xfId="0" applyFont="1" applyBorder="1" applyAlignment="1">
      <alignment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5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01"/>
  <sheetViews>
    <sheetView showGridLines="0" tabSelected="1" workbookViewId="0" topLeftCell="A10">
      <selection activeCell="M15" sqref="M15"/>
    </sheetView>
  </sheetViews>
  <sheetFormatPr defaultColWidth="9.00390625" defaultRowHeight="12.75"/>
  <cols>
    <col min="1" max="1" width="3.875" style="3" customWidth="1"/>
    <col min="2" max="2" width="11.625" style="0" customWidth="1"/>
    <col min="3" max="3" width="49.625" style="0" customWidth="1"/>
    <col min="4" max="4" width="11.875" style="0" customWidth="1"/>
    <col min="5" max="5" width="11.25390625" style="0" customWidth="1"/>
    <col min="6" max="6" width="12.375" style="3" customWidth="1"/>
    <col min="7" max="7" width="5.75390625" style="13" customWidth="1"/>
    <col min="8" max="8" width="5.625" style="13" customWidth="1"/>
    <col min="9" max="9" width="6.625" style="13" customWidth="1"/>
    <col min="10" max="10" width="5.75390625" style="13" customWidth="1"/>
    <col min="11" max="11" width="6.625" style="0" customWidth="1"/>
    <col min="12" max="13" width="49.625" style="0" customWidth="1"/>
  </cols>
  <sheetData>
    <row r="1" spans="2:13" ht="12">
      <c r="B1" s="1" t="s">
        <v>13</v>
      </c>
      <c r="C1" s="1" t="s">
        <v>14</v>
      </c>
      <c r="D1" s="1" t="s">
        <v>3</v>
      </c>
      <c r="E1" s="1" t="s">
        <v>3</v>
      </c>
      <c r="F1" s="4" t="s">
        <v>3</v>
      </c>
      <c r="G1" s="10" t="s">
        <v>15</v>
      </c>
      <c r="H1" s="10" t="s">
        <v>15</v>
      </c>
      <c r="I1" s="10" t="s">
        <v>15</v>
      </c>
      <c r="J1" s="10" t="s">
        <v>15</v>
      </c>
      <c r="K1" s="1" t="s">
        <v>15</v>
      </c>
      <c r="L1" s="1" t="s">
        <v>14</v>
      </c>
      <c r="M1" s="1" t="s">
        <v>14</v>
      </c>
    </row>
    <row r="2" spans="1:13" s="9" customFormat="1" ht="63">
      <c r="A2" s="6" t="s">
        <v>394</v>
      </c>
      <c r="B2" s="7" t="s">
        <v>0</v>
      </c>
      <c r="C2" s="7" t="s">
        <v>1</v>
      </c>
      <c r="D2" s="7" t="s">
        <v>2</v>
      </c>
      <c r="E2" s="7" t="s">
        <v>4</v>
      </c>
      <c r="F2" s="8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7" t="s">
        <v>10</v>
      </c>
      <c r="L2" s="7" t="s">
        <v>11</v>
      </c>
      <c r="M2" s="7" t="s">
        <v>12</v>
      </c>
    </row>
    <row r="3" spans="1:13" ht="12">
      <c r="A3" s="3">
        <v>1</v>
      </c>
      <c r="B3" s="1" t="s">
        <v>16</v>
      </c>
      <c r="C3" s="1" t="s">
        <v>17</v>
      </c>
      <c r="D3" s="2">
        <f>DATE(104,9,1)</f>
        <v>38231</v>
      </c>
      <c r="E3" s="2">
        <f>DATE(104,11,15)</f>
        <v>38306</v>
      </c>
      <c r="F3" s="5">
        <f>DATE(105,9,19)</f>
        <v>38614</v>
      </c>
      <c r="G3" s="12">
        <v>209</v>
      </c>
      <c r="H3" s="10" t="s">
        <v>18</v>
      </c>
      <c r="I3" s="10" t="s">
        <v>20</v>
      </c>
      <c r="J3" s="10" t="s">
        <v>19</v>
      </c>
      <c r="K3" s="1" t="s">
        <v>21</v>
      </c>
      <c r="L3" s="1" t="s">
        <v>23</v>
      </c>
      <c r="M3" s="1" t="s">
        <v>14</v>
      </c>
    </row>
    <row r="4" spans="1:13" ht="12">
      <c r="A4" s="3">
        <v>2</v>
      </c>
      <c r="B4" s="1" t="s">
        <v>30</v>
      </c>
      <c r="C4" s="1" t="s">
        <v>31</v>
      </c>
      <c r="D4" s="2">
        <f>DATE(104,10,1)</f>
        <v>38261</v>
      </c>
      <c r="E4" s="2">
        <f>DATE(104,11,29)</f>
        <v>38320</v>
      </c>
      <c r="F4" s="5">
        <f>DATE(105,9,19)</f>
        <v>38614</v>
      </c>
      <c r="G4" s="12">
        <v>201</v>
      </c>
      <c r="H4" s="10" t="s">
        <v>18</v>
      </c>
      <c r="I4" s="10" t="s">
        <v>20</v>
      </c>
      <c r="J4" s="10" t="s">
        <v>19</v>
      </c>
      <c r="K4" s="1" t="s">
        <v>32</v>
      </c>
      <c r="L4" s="1" t="s">
        <v>33</v>
      </c>
      <c r="M4" s="1" t="s">
        <v>14</v>
      </c>
    </row>
    <row r="5" spans="1:13" ht="12">
      <c r="A5" s="3">
        <v>7</v>
      </c>
      <c r="B5" s="1" t="s">
        <v>24</v>
      </c>
      <c r="C5" s="1" t="s">
        <v>25</v>
      </c>
      <c r="D5" s="2">
        <f>DATE(105,1,14)</f>
        <v>38366</v>
      </c>
      <c r="E5" s="2">
        <f>DATE(105,2,9)</f>
        <v>38392</v>
      </c>
      <c r="F5" s="5">
        <f>DATE(105,11,4)</f>
        <v>38660</v>
      </c>
      <c r="G5" s="12">
        <v>189</v>
      </c>
      <c r="H5" s="10" t="s">
        <v>18</v>
      </c>
      <c r="I5" s="10" t="s">
        <v>20</v>
      </c>
      <c r="J5" s="10" t="s">
        <v>19</v>
      </c>
      <c r="K5" s="1" t="s">
        <v>26</v>
      </c>
      <c r="L5" s="1" t="s">
        <v>27</v>
      </c>
      <c r="M5" s="1" t="s">
        <v>14</v>
      </c>
    </row>
    <row r="6" spans="1:13" s="9" customFormat="1" ht="12">
      <c r="A6" s="14">
        <v>8</v>
      </c>
      <c r="B6" s="7" t="s">
        <v>28</v>
      </c>
      <c r="C6" s="7" t="s">
        <v>29</v>
      </c>
      <c r="D6" s="15">
        <f>DATE(105,1,4)</f>
        <v>38356</v>
      </c>
      <c r="E6" s="15">
        <f>DATE(105,1,28)</f>
        <v>38380</v>
      </c>
      <c r="F6" s="16">
        <f>DATE(105,11,4)</f>
        <v>38660</v>
      </c>
      <c r="G6" s="17">
        <v>197</v>
      </c>
      <c r="H6" s="11" t="s">
        <v>18</v>
      </c>
      <c r="I6" s="11" t="s">
        <v>20</v>
      </c>
      <c r="J6" s="11" t="s">
        <v>19</v>
      </c>
      <c r="K6" s="7" t="s">
        <v>26</v>
      </c>
      <c r="L6" s="7" t="s">
        <v>23</v>
      </c>
      <c r="M6" s="7" t="s">
        <v>14</v>
      </c>
    </row>
    <row r="7" spans="1:13" ht="12">
      <c r="A7" s="3">
        <v>34</v>
      </c>
      <c r="B7" s="1" t="s">
        <v>39</v>
      </c>
      <c r="C7" s="1" t="s">
        <v>40</v>
      </c>
      <c r="D7" s="2">
        <f>DATE(105,6,1)</f>
        <v>38504</v>
      </c>
      <c r="E7" s="2">
        <f>DATE(105,12,19)</f>
        <v>38705</v>
      </c>
      <c r="F7" s="5">
        <f>DATE(106,10,9)</f>
        <v>38999</v>
      </c>
      <c r="G7" s="12">
        <v>200</v>
      </c>
      <c r="H7" s="10" t="s">
        <v>18</v>
      </c>
      <c r="I7" s="10" t="s">
        <v>36</v>
      </c>
      <c r="J7" s="10" t="s">
        <v>19</v>
      </c>
      <c r="K7" s="1" t="s">
        <v>41</v>
      </c>
      <c r="L7" s="1" t="s">
        <v>42</v>
      </c>
      <c r="M7" s="1" t="s">
        <v>14</v>
      </c>
    </row>
    <row r="8" spans="1:13" s="9" customFormat="1" ht="12">
      <c r="A8" s="14">
        <v>40</v>
      </c>
      <c r="B8" s="7" t="s">
        <v>34</v>
      </c>
      <c r="C8" s="7" t="s">
        <v>35</v>
      </c>
      <c r="D8" s="15">
        <f>DATE(105,6,1)</f>
        <v>38504</v>
      </c>
      <c r="E8" s="15">
        <f>DATE(105,12,19)</f>
        <v>38705</v>
      </c>
      <c r="F8" s="16">
        <f>DATE(106,12,19)</f>
        <v>39070</v>
      </c>
      <c r="G8" s="17">
        <v>249</v>
      </c>
      <c r="H8" s="11" t="s">
        <v>18</v>
      </c>
      <c r="I8" s="11" t="s">
        <v>36</v>
      </c>
      <c r="J8" s="11" t="s">
        <v>19</v>
      </c>
      <c r="K8" s="7" t="s">
        <v>37</v>
      </c>
      <c r="L8" s="7" t="s">
        <v>38</v>
      </c>
      <c r="M8" s="7" t="s">
        <v>14</v>
      </c>
    </row>
    <row r="9" spans="1:13" s="24" customFormat="1" ht="12">
      <c r="A9" s="18">
        <v>41</v>
      </c>
      <c r="B9" s="19" t="s">
        <v>43</v>
      </c>
      <c r="C9" s="19" t="s">
        <v>44</v>
      </c>
      <c r="D9" s="20">
        <f>DATE(105,10,3)</f>
        <v>38628</v>
      </c>
      <c r="E9" s="20">
        <f>DATE(106,3,28)</f>
        <v>38804</v>
      </c>
      <c r="F9" s="21">
        <f>DATE(107,1,29)</f>
        <v>39111</v>
      </c>
      <c r="G9" s="22">
        <v>207</v>
      </c>
      <c r="H9" s="23" t="s">
        <v>18</v>
      </c>
      <c r="I9" s="23" t="s">
        <v>45</v>
      </c>
      <c r="J9" s="23" t="s">
        <v>19</v>
      </c>
      <c r="K9" s="19" t="s">
        <v>41</v>
      </c>
      <c r="L9" s="19" t="s">
        <v>46</v>
      </c>
      <c r="M9" s="19" t="s">
        <v>14</v>
      </c>
    </row>
    <row r="10" spans="1:13" ht="12">
      <c r="A10" s="3">
        <v>69</v>
      </c>
      <c r="B10" s="1" t="s">
        <v>47</v>
      </c>
      <c r="C10" s="1" t="s">
        <v>48</v>
      </c>
      <c r="D10" s="2">
        <f>DATE(105,6,2)</f>
        <v>38505</v>
      </c>
      <c r="E10" s="2">
        <f>DATE(106,11,8)</f>
        <v>39029</v>
      </c>
      <c r="F10" s="5">
        <f>DATE(109,9,30)</f>
        <v>40086</v>
      </c>
      <c r="G10" s="12">
        <v>732</v>
      </c>
      <c r="H10" s="10" t="s">
        <v>18</v>
      </c>
      <c r="I10" s="10" t="s">
        <v>49</v>
      </c>
      <c r="J10" s="10" t="s">
        <v>50</v>
      </c>
      <c r="K10" s="1" t="s">
        <v>51</v>
      </c>
      <c r="L10" s="1" t="s">
        <v>52</v>
      </c>
      <c r="M10" s="1" t="s">
        <v>14</v>
      </c>
    </row>
    <row r="11" spans="1:13" s="9" customFormat="1" ht="12">
      <c r="A11" s="14">
        <v>73</v>
      </c>
      <c r="B11" s="7" t="s">
        <v>71</v>
      </c>
      <c r="C11" s="7" t="s">
        <v>72</v>
      </c>
      <c r="D11" s="15">
        <f>DATE(106,10,9)</f>
        <v>38999</v>
      </c>
      <c r="E11" s="15">
        <f>DATE(107,4,18)</f>
        <v>39190</v>
      </c>
      <c r="F11" s="16">
        <f>DATE(109,9,30)</f>
        <v>40086</v>
      </c>
      <c r="G11" s="17">
        <v>625</v>
      </c>
      <c r="H11" s="11" t="s">
        <v>18</v>
      </c>
      <c r="I11" s="11" t="s">
        <v>73</v>
      </c>
      <c r="J11" s="11" t="s">
        <v>74</v>
      </c>
      <c r="K11" s="7" t="s">
        <v>22</v>
      </c>
      <c r="L11" s="7" t="s">
        <v>75</v>
      </c>
      <c r="M11" s="7" t="s">
        <v>14</v>
      </c>
    </row>
    <row r="12" spans="1:13" s="24" customFormat="1" ht="12">
      <c r="A12" s="18">
        <v>70</v>
      </c>
      <c r="B12" s="19" t="s">
        <v>53</v>
      </c>
      <c r="C12" s="19" t="s">
        <v>54</v>
      </c>
      <c r="D12" s="20">
        <f>DATE(106,7,17)</f>
        <v>38915</v>
      </c>
      <c r="E12" s="20">
        <f>DATE(107,8,9)</f>
        <v>39303</v>
      </c>
      <c r="F12" s="21">
        <f>DATE(109,9,30)</f>
        <v>40086</v>
      </c>
      <c r="G12" s="22">
        <v>546</v>
      </c>
      <c r="H12" s="23" t="s">
        <v>18</v>
      </c>
      <c r="I12" s="23" t="s">
        <v>55</v>
      </c>
      <c r="J12" s="23" t="s">
        <v>56</v>
      </c>
      <c r="K12" s="19" t="s">
        <v>57</v>
      </c>
      <c r="L12" s="19" t="s">
        <v>58</v>
      </c>
      <c r="M12" s="19" t="s">
        <v>14</v>
      </c>
    </row>
    <row r="13" spans="1:13" s="24" customFormat="1" ht="12">
      <c r="A13" s="18">
        <v>15</v>
      </c>
      <c r="B13" s="19" t="s">
        <v>76</v>
      </c>
      <c r="C13" s="19" t="s">
        <v>77</v>
      </c>
      <c r="D13" s="20">
        <f>DATE(105,3,1)</f>
        <v>38412</v>
      </c>
      <c r="E13" s="20">
        <f>DATE(105,7,18)</f>
        <v>38551</v>
      </c>
      <c r="F13" s="21">
        <f>DATE(106,4,14)</f>
        <v>38821</v>
      </c>
      <c r="G13" s="22">
        <v>185</v>
      </c>
      <c r="H13" s="23" t="s">
        <v>78</v>
      </c>
      <c r="I13" s="23" t="s">
        <v>79</v>
      </c>
      <c r="J13" s="23" t="s">
        <v>19</v>
      </c>
      <c r="K13" s="19" t="s">
        <v>80</v>
      </c>
      <c r="L13" s="19" t="s">
        <v>81</v>
      </c>
      <c r="M13" s="19" t="s">
        <v>14</v>
      </c>
    </row>
    <row r="14" spans="1:13" ht="12">
      <c r="A14" s="3">
        <v>5</v>
      </c>
      <c r="B14" s="1" t="s">
        <v>86</v>
      </c>
      <c r="C14" s="1" t="s">
        <v>87</v>
      </c>
      <c r="D14" s="2">
        <f>DATE(104,4,1)</f>
        <v>38078</v>
      </c>
      <c r="E14" s="2">
        <f>DATE(104,12,15)</f>
        <v>38336</v>
      </c>
      <c r="F14" s="5">
        <f>DATE(105,11,2)</f>
        <v>38658</v>
      </c>
      <c r="G14" s="12">
        <v>221</v>
      </c>
      <c r="H14" s="10" t="s">
        <v>88</v>
      </c>
      <c r="I14" s="10" t="s">
        <v>89</v>
      </c>
      <c r="J14" s="10" t="s">
        <v>19</v>
      </c>
      <c r="K14" s="1" t="s">
        <v>90</v>
      </c>
      <c r="L14" s="1" t="s">
        <v>91</v>
      </c>
      <c r="M14" s="1" t="s">
        <v>14</v>
      </c>
    </row>
    <row r="15" spans="1:13" ht="12">
      <c r="A15" s="3">
        <v>43</v>
      </c>
      <c r="B15" s="1" t="s">
        <v>98</v>
      </c>
      <c r="C15" s="1" t="s">
        <v>99</v>
      </c>
      <c r="D15" s="2">
        <f>DATE(105,7,29)</f>
        <v>38562</v>
      </c>
      <c r="E15" s="2">
        <f>DATE(106,5,11)</f>
        <v>38848</v>
      </c>
      <c r="F15" s="5">
        <f>DATE(107,4,3)</f>
        <v>39175</v>
      </c>
      <c r="G15" s="12">
        <v>221</v>
      </c>
      <c r="H15" s="10" t="s">
        <v>88</v>
      </c>
      <c r="I15" s="10" t="s">
        <v>89</v>
      </c>
      <c r="J15" s="10" t="s">
        <v>19</v>
      </c>
      <c r="K15" s="1" t="s">
        <v>88</v>
      </c>
      <c r="L15" s="1" t="s">
        <v>100</v>
      </c>
      <c r="M15" s="1" t="s">
        <v>14</v>
      </c>
    </row>
    <row r="16" spans="1:13" s="9" customFormat="1" ht="12">
      <c r="A16" s="14">
        <v>75</v>
      </c>
      <c r="B16" s="7" t="s">
        <v>101</v>
      </c>
      <c r="C16" s="7" t="s">
        <v>48</v>
      </c>
      <c r="D16" s="15">
        <f>DATE(106,5,12)</f>
        <v>38849</v>
      </c>
      <c r="E16" s="15">
        <f>DATE(108,1,2)</f>
        <v>39449</v>
      </c>
      <c r="F16" s="16">
        <f>DATE(109,9,30)</f>
        <v>40086</v>
      </c>
      <c r="G16" s="17">
        <v>452</v>
      </c>
      <c r="H16" s="11" t="s">
        <v>88</v>
      </c>
      <c r="I16" s="11" t="s">
        <v>102</v>
      </c>
      <c r="J16" s="11" t="s">
        <v>103</v>
      </c>
      <c r="K16" s="7" t="s">
        <v>104</v>
      </c>
      <c r="L16" s="7" t="s">
        <v>105</v>
      </c>
      <c r="M16" s="7" t="s">
        <v>14</v>
      </c>
    </row>
    <row r="17" spans="1:13" ht="12">
      <c r="A17" s="3">
        <v>6</v>
      </c>
      <c r="B17" s="1" t="s">
        <v>92</v>
      </c>
      <c r="C17" s="1" t="s">
        <v>93</v>
      </c>
      <c r="D17" s="2">
        <f>DATE(104,4,1)</f>
        <v>38078</v>
      </c>
      <c r="E17" s="2">
        <f>DATE(104,12,15)</f>
        <v>38336</v>
      </c>
      <c r="F17" s="5">
        <f>DATE(105,11,2)</f>
        <v>38658</v>
      </c>
      <c r="G17" s="12">
        <v>221</v>
      </c>
      <c r="H17" s="10" t="s">
        <v>88</v>
      </c>
      <c r="I17" s="10" t="s">
        <v>89</v>
      </c>
      <c r="J17" s="10" t="s">
        <v>19</v>
      </c>
      <c r="K17" s="1" t="s">
        <v>18</v>
      </c>
      <c r="L17" s="1" t="s">
        <v>94</v>
      </c>
      <c r="M17" s="1" t="s">
        <v>14</v>
      </c>
    </row>
    <row r="18" spans="1:13" s="9" customFormat="1" ht="12">
      <c r="A18" s="14">
        <v>25</v>
      </c>
      <c r="B18" s="7" t="s">
        <v>95</v>
      </c>
      <c r="C18" s="7" t="s">
        <v>96</v>
      </c>
      <c r="D18" s="15">
        <f>DATE(104,12,16)</f>
        <v>38337</v>
      </c>
      <c r="E18" s="15">
        <f>DATE(105,7,28)</f>
        <v>38561</v>
      </c>
      <c r="F18" s="16">
        <f>DATE(106,6,16)</f>
        <v>38884</v>
      </c>
      <c r="G18" s="17">
        <v>221</v>
      </c>
      <c r="H18" s="11" t="s">
        <v>88</v>
      </c>
      <c r="I18" s="11" t="s">
        <v>89</v>
      </c>
      <c r="J18" s="11" t="s">
        <v>19</v>
      </c>
      <c r="K18" s="7" t="s">
        <v>78</v>
      </c>
      <c r="L18" s="7" t="s">
        <v>97</v>
      </c>
      <c r="M18" s="7" t="s">
        <v>14</v>
      </c>
    </row>
    <row r="19" spans="1:13" ht="12">
      <c r="A19" s="3">
        <v>74</v>
      </c>
      <c r="B19" s="1" t="s">
        <v>82</v>
      </c>
      <c r="C19" s="1" t="s">
        <v>83</v>
      </c>
      <c r="D19" s="2">
        <f>DATE(105,12,2)</f>
        <v>38688</v>
      </c>
      <c r="E19" s="2">
        <f>DATE(106,12,1)</f>
        <v>39052</v>
      </c>
      <c r="F19" s="5">
        <f>DATE(109,9,30)</f>
        <v>40086</v>
      </c>
      <c r="G19" s="12">
        <v>717</v>
      </c>
      <c r="H19" s="10" t="s">
        <v>78</v>
      </c>
      <c r="I19" s="10" t="s">
        <v>84</v>
      </c>
      <c r="J19" s="10" t="s">
        <v>19</v>
      </c>
      <c r="K19" s="1" t="s">
        <v>69</v>
      </c>
      <c r="L19" s="1" t="s">
        <v>85</v>
      </c>
      <c r="M19" s="1" t="s">
        <v>14</v>
      </c>
    </row>
    <row r="20" spans="1:13" s="9" customFormat="1" ht="12">
      <c r="A20" s="14">
        <v>71</v>
      </c>
      <c r="B20" s="7" t="s">
        <v>59</v>
      </c>
      <c r="C20" s="7" t="s">
        <v>60</v>
      </c>
      <c r="D20" s="15">
        <f>DATE(106,5,4)</f>
        <v>38841</v>
      </c>
      <c r="E20" s="15">
        <f>DATE(107,7,9)</f>
        <v>39272</v>
      </c>
      <c r="F20" s="16">
        <f>DATE(109,9,30)</f>
        <v>40086</v>
      </c>
      <c r="G20" s="17">
        <v>569</v>
      </c>
      <c r="H20" s="11" t="s">
        <v>18</v>
      </c>
      <c r="I20" s="11" t="s">
        <v>61</v>
      </c>
      <c r="J20" s="11" t="s">
        <v>62</v>
      </c>
      <c r="K20" s="7" t="s">
        <v>63</v>
      </c>
      <c r="L20" s="7" t="s">
        <v>64</v>
      </c>
      <c r="M20" s="7" t="s">
        <v>14</v>
      </c>
    </row>
    <row r="21" spans="1:13" ht="12">
      <c r="A21" s="3">
        <v>9</v>
      </c>
      <c r="B21" s="1" t="s">
        <v>106</v>
      </c>
      <c r="C21" s="1" t="s">
        <v>107</v>
      </c>
      <c r="D21" s="2">
        <f>DATE(104,11,8)</f>
        <v>38299</v>
      </c>
      <c r="E21" s="2">
        <f>DATE(104,11,19)</f>
        <v>38310</v>
      </c>
      <c r="F21" s="5">
        <f>DATE(105,11,23)</f>
        <v>38679</v>
      </c>
      <c r="G21" s="12">
        <v>252</v>
      </c>
      <c r="H21" s="10" t="s">
        <v>108</v>
      </c>
      <c r="I21" s="10" t="s">
        <v>109</v>
      </c>
      <c r="J21" s="10" t="s">
        <v>110</v>
      </c>
      <c r="K21" s="1" t="s">
        <v>111</v>
      </c>
      <c r="L21" s="1" t="s">
        <v>112</v>
      </c>
      <c r="M21" s="1" t="s">
        <v>14</v>
      </c>
    </row>
    <row r="22" spans="1:13" ht="12">
      <c r="A22" s="3">
        <v>10</v>
      </c>
      <c r="B22" s="1" t="s">
        <v>113</v>
      </c>
      <c r="C22" s="1" t="s">
        <v>114</v>
      </c>
      <c r="D22" s="2">
        <f>DATE(104,11,22)</f>
        <v>38313</v>
      </c>
      <c r="E22" s="2">
        <f>DATE(104,12,14)</f>
        <v>38335</v>
      </c>
      <c r="F22" s="5">
        <f>DATE(105,12,16)</f>
        <v>38702</v>
      </c>
      <c r="G22" s="12">
        <v>252</v>
      </c>
      <c r="H22" s="10" t="s">
        <v>108</v>
      </c>
      <c r="I22" s="10" t="s">
        <v>109</v>
      </c>
      <c r="J22" s="10" t="s">
        <v>110</v>
      </c>
      <c r="K22" s="1" t="s">
        <v>78</v>
      </c>
      <c r="L22" s="1" t="s">
        <v>115</v>
      </c>
      <c r="M22" s="1" t="s">
        <v>14</v>
      </c>
    </row>
    <row r="23" spans="1:13" ht="12">
      <c r="A23" s="3">
        <v>11</v>
      </c>
      <c r="B23" s="1" t="s">
        <v>116</v>
      </c>
      <c r="C23" s="1" t="s">
        <v>117</v>
      </c>
      <c r="D23" s="2">
        <f>DATE(104,12,15)</f>
        <v>38336</v>
      </c>
      <c r="E23" s="2">
        <f>DATE(105,2,4)</f>
        <v>38387</v>
      </c>
      <c r="F23" s="5">
        <f>DATE(106,2,8)</f>
        <v>38756</v>
      </c>
      <c r="G23" s="12">
        <v>252</v>
      </c>
      <c r="H23" s="10" t="s">
        <v>108</v>
      </c>
      <c r="I23" s="10" t="s">
        <v>109</v>
      </c>
      <c r="J23" s="10" t="s">
        <v>110</v>
      </c>
      <c r="K23" s="1" t="s">
        <v>118</v>
      </c>
      <c r="L23" s="1" t="s">
        <v>119</v>
      </c>
      <c r="M23" s="1" t="s">
        <v>14</v>
      </c>
    </row>
    <row r="24" spans="1:13" ht="12">
      <c r="A24" s="3">
        <v>12</v>
      </c>
      <c r="B24" s="1" t="s">
        <v>120</v>
      </c>
      <c r="C24" s="1" t="s">
        <v>121</v>
      </c>
      <c r="D24" s="2">
        <f>DATE(105,2,8)</f>
        <v>38391</v>
      </c>
      <c r="E24" s="2">
        <f>DATE(105,2,14)</f>
        <v>38397</v>
      </c>
      <c r="F24" s="5">
        <f>DATE(106,2,16)</f>
        <v>38764</v>
      </c>
      <c r="G24" s="12">
        <v>252</v>
      </c>
      <c r="H24" s="10" t="s">
        <v>108</v>
      </c>
      <c r="I24" s="10" t="s">
        <v>109</v>
      </c>
      <c r="J24" s="10" t="s">
        <v>110</v>
      </c>
      <c r="K24" s="1" t="s">
        <v>122</v>
      </c>
      <c r="L24" s="1" t="s">
        <v>123</v>
      </c>
      <c r="M24" s="1" t="s">
        <v>14</v>
      </c>
    </row>
    <row r="25" spans="1:13" s="9" customFormat="1" ht="12">
      <c r="A25" s="14">
        <v>22</v>
      </c>
      <c r="B25" s="7" t="s">
        <v>124</v>
      </c>
      <c r="C25" s="7" t="s">
        <v>125</v>
      </c>
      <c r="D25" s="15">
        <f>DATE(105,2,8)</f>
        <v>38391</v>
      </c>
      <c r="E25" s="15">
        <f>DATE(105,2,21)</f>
        <v>38404</v>
      </c>
      <c r="F25" s="16">
        <f>DATE(106,5,5)</f>
        <v>38842</v>
      </c>
      <c r="G25" s="17">
        <v>303</v>
      </c>
      <c r="H25" s="11" t="s">
        <v>108</v>
      </c>
      <c r="I25" s="11" t="s">
        <v>109</v>
      </c>
      <c r="J25" s="11" t="s">
        <v>110</v>
      </c>
      <c r="K25" s="7" t="s">
        <v>126</v>
      </c>
      <c r="L25" s="7" t="s">
        <v>127</v>
      </c>
      <c r="M25" s="7" t="s">
        <v>14</v>
      </c>
    </row>
    <row r="26" spans="1:13" ht="12">
      <c r="A26" s="3">
        <v>21</v>
      </c>
      <c r="B26" s="1" t="s">
        <v>128</v>
      </c>
      <c r="C26" s="1" t="s">
        <v>107</v>
      </c>
      <c r="D26" s="2">
        <f>DATE(105,2,24)</f>
        <v>38407</v>
      </c>
      <c r="E26" s="2">
        <f>DATE(105,3,9)</f>
        <v>38420</v>
      </c>
      <c r="F26" s="5">
        <f>DATE(106,5,3)</f>
        <v>38840</v>
      </c>
      <c r="G26" s="12">
        <v>289</v>
      </c>
      <c r="H26" s="10" t="s">
        <v>108</v>
      </c>
      <c r="I26" s="10" t="s">
        <v>109</v>
      </c>
      <c r="J26" s="10" t="s">
        <v>129</v>
      </c>
      <c r="K26" s="1" t="s">
        <v>111</v>
      </c>
      <c r="L26" s="1" t="s">
        <v>130</v>
      </c>
      <c r="M26" s="1" t="s">
        <v>14</v>
      </c>
    </row>
    <row r="27" spans="1:13" ht="12">
      <c r="A27" s="3">
        <v>24</v>
      </c>
      <c r="B27" s="1" t="s">
        <v>131</v>
      </c>
      <c r="C27" s="1" t="s">
        <v>132</v>
      </c>
      <c r="D27" s="2">
        <f>DATE(105,3,10)</f>
        <v>38421</v>
      </c>
      <c r="E27" s="2">
        <f>DATE(105,3,23)</f>
        <v>38434</v>
      </c>
      <c r="F27" s="5">
        <f>DATE(106,5,17)</f>
        <v>38854</v>
      </c>
      <c r="G27" s="12">
        <v>289</v>
      </c>
      <c r="H27" s="10" t="s">
        <v>108</v>
      </c>
      <c r="I27" s="10" t="s">
        <v>109</v>
      </c>
      <c r="J27" s="10" t="s">
        <v>129</v>
      </c>
      <c r="K27" s="1" t="s">
        <v>133</v>
      </c>
      <c r="L27" s="1" t="s">
        <v>134</v>
      </c>
      <c r="M27" s="1" t="s">
        <v>14</v>
      </c>
    </row>
    <row r="28" spans="1:13" ht="12">
      <c r="A28" s="3">
        <v>26</v>
      </c>
      <c r="B28" s="1" t="s">
        <v>135</v>
      </c>
      <c r="C28" s="1" t="s">
        <v>136</v>
      </c>
      <c r="D28" s="2">
        <f>DATE(105,3,24)</f>
        <v>38435</v>
      </c>
      <c r="E28" s="2">
        <f>DATE(105,5,12)</f>
        <v>38484</v>
      </c>
      <c r="F28" s="5">
        <f>DATE(106,7,11)</f>
        <v>38909</v>
      </c>
      <c r="G28" s="12">
        <v>289</v>
      </c>
      <c r="H28" s="10" t="s">
        <v>108</v>
      </c>
      <c r="I28" s="10" t="s">
        <v>109</v>
      </c>
      <c r="J28" s="10" t="s">
        <v>129</v>
      </c>
      <c r="K28" s="1" t="s">
        <v>90</v>
      </c>
      <c r="L28" s="1" t="s">
        <v>137</v>
      </c>
      <c r="M28" s="1" t="s">
        <v>14</v>
      </c>
    </row>
    <row r="29" spans="1:13" ht="12">
      <c r="A29" s="3">
        <v>27</v>
      </c>
      <c r="B29" s="1" t="s">
        <v>138</v>
      </c>
      <c r="C29" s="1" t="s">
        <v>139</v>
      </c>
      <c r="D29" s="2">
        <f>DATE(105,4,15)</f>
        <v>38457</v>
      </c>
      <c r="E29" s="2">
        <f>DATE(105,5,12)</f>
        <v>38484</v>
      </c>
      <c r="F29" s="5">
        <f>DATE(106,7,11)</f>
        <v>38909</v>
      </c>
      <c r="G29" s="12">
        <v>289</v>
      </c>
      <c r="H29" s="10" t="s">
        <v>108</v>
      </c>
      <c r="I29" s="10" t="s">
        <v>109</v>
      </c>
      <c r="J29" s="10" t="s">
        <v>129</v>
      </c>
      <c r="K29" s="1" t="s">
        <v>18</v>
      </c>
      <c r="L29" s="1" t="s">
        <v>140</v>
      </c>
      <c r="M29" s="1" t="s">
        <v>14</v>
      </c>
    </row>
    <row r="30" spans="1:13" ht="12">
      <c r="A30" s="3">
        <v>28</v>
      </c>
      <c r="B30" s="1" t="s">
        <v>143</v>
      </c>
      <c r="C30" s="1" t="s">
        <v>121</v>
      </c>
      <c r="D30" s="2">
        <f>DATE(105,5,16)</f>
        <v>38488</v>
      </c>
      <c r="E30" s="2">
        <f>DATE(105,5,20)</f>
        <v>38492</v>
      </c>
      <c r="F30" s="5">
        <f>DATE(106,7,19)</f>
        <v>38917</v>
      </c>
      <c r="G30" s="12">
        <v>289</v>
      </c>
      <c r="H30" s="10" t="s">
        <v>108</v>
      </c>
      <c r="I30" s="10" t="s">
        <v>109</v>
      </c>
      <c r="J30" s="10" t="s">
        <v>129</v>
      </c>
      <c r="K30" s="1" t="s">
        <v>144</v>
      </c>
      <c r="L30" s="1" t="s">
        <v>123</v>
      </c>
      <c r="M30" s="1" t="s">
        <v>14</v>
      </c>
    </row>
    <row r="31" spans="1:13" s="9" customFormat="1" ht="12">
      <c r="A31" s="14">
        <v>29</v>
      </c>
      <c r="B31" s="7" t="s">
        <v>141</v>
      </c>
      <c r="C31" s="7" t="s">
        <v>125</v>
      </c>
      <c r="D31" s="15">
        <f>DATE(105,5,16)</f>
        <v>38488</v>
      </c>
      <c r="E31" s="15">
        <f>DATE(105,5,27)</f>
        <v>38499</v>
      </c>
      <c r="F31" s="16">
        <f>DATE(106,7,26)</f>
        <v>38924</v>
      </c>
      <c r="G31" s="17">
        <v>289</v>
      </c>
      <c r="H31" s="11" t="s">
        <v>108</v>
      </c>
      <c r="I31" s="11" t="s">
        <v>109</v>
      </c>
      <c r="J31" s="11" t="s">
        <v>129</v>
      </c>
      <c r="K31" s="7" t="s">
        <v>142</v>
      </c>
      <c r="L31" s="7" t="s">
        <v>127</v>
      </c>
      <c r="M31" s="7" t="s">
        <v>14</v>
      </c>
    </row>
    <row r="32" spans="1:13" ht="12">
      <c r="A32" s="3">
        <v>13</v>
      </c>
      <c r="B32" s="1" t="s">
        <v>145</v>
      </c>
      <c r="C32" s="1" t="s">
        <v>107</v>
      </c>
      <c r="D32" s="2">
        <f>DATE(104,11,1)</f>
        <v>38292</v>
      </c>
      <c r="E32" s="2">
        <f>DATE(104,11,5)</f>
        <v>38296</v>
      </c>
      <c r="F32" s="5">
        <f>DATE(106,3,6)</f>
        <v>38782</v>
      </c>
      <c r="G32" s="12">
        <v>327</v>
      </c>
      <c r="H32" s="10" t="s">
        <v>108</v>
      </c>
      <c r="I32" s="10" t="s">
        <v>109</v>
      </c>
      <c r="J32" s="10" t="s">
        <v>146</v>
      </c>
      <c r="K32" s="1" t="s">
        <v>111</v>
      </c>
      <c r="L32" s="1" t="s">
        <v>147</v>
      </c>
      <c r="M32" s="1" t="s">
        <v>14</v>
      </c>
    </row>
    <row r="33" spans="1:13" ht="12">
      <c r="A33" s="3">
        <v>14</v>
      </c>
      <c r="B33" s="1" t="s">
        <v>148</v>
      </c>
      <c r="C33" s="1" t="s">
        <v>149</v>
      </c>
      <c r="D33" s="2">
        <f>DATE(104,11,8)</f>
        <v>38299</v>
      </c>
      <c r="E33" s="2">
        <f>DATE(104,12,14)</f>
        <v>38335</v>
      </c>
      <c r="F33" s="5">
        <f>DATE(106,4,10)</f>
        <v>38817</v>
      </c>
      <c r="G33" s="12">
        <v>327</v>
      </c>
      <c r="H33" s="10" t="s">
        <v>108</v>
      </c>
      <c r="I33" s="10" t="s">
        <v>109</v>
      </c>
      <c r="J33" s="10" t="s">
        <v>146</v>
      </c>
      <c r="K33" s="1" t="s">
        <v>78</v>
      </c>
      <c r="L33" s="1" t="s">
        <v>150</v>
      </c>
      <c r="M33" s="1" t="s">
        <v>14</v>
      </c>
    </row>
    <row r="34" spans="1:13" ht="12">
      <c r="A34" s="3">
        <v>17</v>
      </c>
      <c r="B34" s="1" t="s">
        <v>151</v>
      </c>
      <c r="C34" s="1" t="s">
        <v>152</v>
      </c>
      <c r="D34" s="2">
        <f>DATE(104,12,15)</f>
        <v>38336</v>
      </c>
      <c r="E34" s="2">
        <f>DATE(105,1,12)</f>
        <v>38364</v>
      </c>
      <c r="F34" s="5">
        <f>DATE(106,5,1)</f>
        <v>38838</v>
      </c>
      <c r="G34" s="12">
        <v>327</v>
      </c>
      <c r="H34" s="10" t="s">
        <v>108</v>
      </c>
      <c r="I34" s="10" t="s">
        <v>109</v>
      </c>
      <c r="J34" s="10" t="s">
        <v>146</v>
      </c>
      <c r="K34" s="1" t="s">
        <v>153</v>
      </c>
      <c r="L34" s="1" t="s">
        <v>150</v>
      </c>
      <c r="M34" s="1" t="s">
        <v>14</v>
      </c>
    </row>
    <row r="35" spans="1:13" ht="12">
      <c r="A35" s="3">
        <v>18</v>
      </c>
      <c r="B35" s="1" t="s">
        <v>154</v>
      </c>
      <c r="C35" s="1" t="s">
        <v>155</v>
      </c>
      <c r="D35" s="2">
        <f>DATE(105,1,4)</f>
        <v>38356</v>
      </c>
      <c r="E35" s="2">
        <f>DATE(105,1,17)</f>
        <v>38369</v>
      </c>
      <c r="F35" s="5">
        <f>DATE(106,5,1)</f>
        <v>38838</v>
      </c>
      <c r="G35" s="12">
        <v>324</v>
      </c>
      <c r="H35" s="10" t="s">
        <v>108</v>
      </c>
      <c r="I35" s="10" t="s">
        <v>109</v>
      </c>
      <c r="J35" s="10" t="s">
        <v>146</v>
      </c>
      <c r="K35" s="1" t="s">
        <v>118</v>
      </c>
      <c r="L35" s="1" t="s">
        <v>156</v>
      </c>
      <c r="M35" s="1" t="s">
        <v>14</v>
      </c>
    </row>
    <row r="36" spans="1:13" ht="12">
      <c r="A36" s="3">
        <v>19</v>
      </c>
      <c r="B36" s="1" t="s">
        <v>157</v>
      </c>
      <c r="C36" s="1" t="s">
        <v>158</v>
      </c>
      <c r="D36" s="2">
        <f>DATE(105,2,8)</f>
        <v>38391</v>
      </c>
      <c r="E36" s="2">
        <f>DATE(105,2,21)</f>
        <v>38404</v>
      </c>
      <c r="F36" s="5">
        <f>DATE(106,5,1)</f>
        <v>38838</v>
      </c>
      <c r="G36" s="12">
        <v>299</v>
      </c>
      <c r="H36" s="10" t="s">
        <v>108</v>
      </c>
      <c r="I36" s="10" t="s">
        <v>109</v>
      </c>
      <c r="J36" s="10" t="s">
        <v>146</v>
      </c>
      <c r="K36" s="1" t="s">
        <v>159</v>
      </c>
      <c r="L36" s="1" t="s">
        <v>160</v>
      </c>
      <c r="M36" s="1" t="s">
        <v>14</v>
      </c>
    </row>
    <row r="37" spans="1:13" ht="12">
      <c r="A37" s="3">
        <v>20</v>
      </c>
      <c r="B37" s="1" t="s">
        <v>161</v>
      </c>
      <c r="C37" s="1" t="s">
        <v>139</v>
      </c>
      <c r="D37" s="2">
        <f>DATE(104,11,9)</f>
        <v>38300</v>
      </c>
      <c r="E37" s="2">
        <f>DATE(105,2,24)</f>
        <v>38407</v>
      </c>
      <c r="F37" s="5">
        <f>DATE(106,5,1)</f>
        <v>38838</v>
      </c>
      <c r="G37" s="12">
        <v>296</v>
      </c>
      <c r="H37" s="10" t="s">
        <v>108</v>
      </c>
      <c r="I37" s="10" t="s">
        <v>109</v>
      </c>
      <c r="J37" s="10" t="s">
        <v>146</v>
      </c>
      <c r="K37" s="1" t="s">
        <v>142</v>
      </c>
      <c r="L37" s="1" t="s">
        <v>162</v>
      </c>
      <c r="M37" s="1" t="s">
        <v>14</v>
      </c>
    </row>
    <row r="38" spans="1:13" ht="12">
      <c r="A38" s="3">
        <v>23</v>
      </c>
      <c r="B38" s="1" t="s">
        <v>163</v>
      </c>
      <c r="C38" s="1" t="s">
        <v>121</v>
      </c>
      <c r="D38" s="2">
        <f>DATE(105,2,28)</f>
        <v>38411</v>
      </c>
      <c r="E38" s="2">
        <f>DATE(105,3,4)</f>
        <v>38415</v>
      </c>
      <c r="F38" s="5">
        <f>DATE(106,5,9)</f>
        <v>38846</v>
      </c>
      <c r="G38" s="12">
        <v>296</v>
      </c>
      <c r="H38" s="10" t="s">
        <v>108</v>
      </c>
      <c r="I38" s="10" t="s">
        <v>109</v>
      </c>
      <c r="J38" s="10" t="s">
        <v>146</v>
      </c>
      <c r="K38" s="1" t="s">
        <v>164</v>
      </c>
      <c r="L38" s="1" t="s">
        <v>165</v>
      </c>
      <c r="M38" s="1" t="s">
        <v>14</v>
      </c>
    </row>
    <row r="39" spans="1:13" s="9" customFormat="1" ht="12">
      <c r="A39" s="14">
        <v>76</v>
      </c>
      <c r="B39" s="7" t="s">
        <v>166</v>
      </c>
      <c r="C39" s="7" t="s">
        <v>167</v>
      </c>
      <c r="D39" s="15">
        <f>DATE(105,7,5)</f>
        <v>38538</v>
      </c>
      <c r="E39" s="15">
        <f>DATE(106,1,27)</f>
        <v>38744</v>
      </c>
      <c r="F39" s="16">
        <f>DATE(109,9,30)</f>
        <v>40086</v>
      </c>
      <c r="G39" s="17">
        <v>929</v>
      </c>
      <c r="H39" s="11" t="s">
        <v>108</v>
      </c>
      <c r="I39" s="11" t="s">
        <v>109</v>
      </c>
      <c r="J39" s="11" t="s">
        <v>146</v>
      </c>
      <c r="K39" s="7" t="s">
        <v>51</v>
      </c>
      <c r="L39" s="7" t="s">
        <v>147</v>
      </c>
      <c r="M39" s="7" t="s">
        <v>14</v>
      </c>
    </row>
    <row r="40" spans="1:13" ht="12">
      <c r="A40" s="3">
        <v>30</v>
      </c>
      <c r="B40" s="1" t="s">
        <v>168</v>
      </c>
      <c r="C40" s="1" t="s">
        <v>107</v>
      </c>
      <c r="D40" s="2">
        <f>DATE(105,10,3)</f>
        <v>38628</v>
      </c>
      <c r="E40" s="2">
        <f>DATE(105,10,7)</f>
        <v>38632</v>
      </c>
      <c r="F40" s="5">
        <f>DATE(106,8,24)</f>
        <v>38953</v>
      </c>
      <c r="G40" s="12">
        <v>218</v>
      </c>
      <c r="H40" s="10" t="s">
        <v>108</v>
      </c>
      <c r="I40" s="10" t="s">
        <v>109</v>
      </c>
      <c r="J40" s="10" t="s">
        <v>169</v>
      </c>
      <c r="K40" s="1" t="s">
        <v>88</v>
      </c>
      <c r="L40" s="1" t="s">
        <v>170</v>
      </c>
      <c r="M40" s="1" t="s">
        <v>14</v>
      </c>
    </row>
    <row r="41" spans="1:13" ht="12">
      <c r="A41" s="3">
        <v>31</v>
      </c>
      <c r="B41" s="1" t="s">
        <v>171</v>
      </c>
      <c r="C41" s="1" t="s">
        <v>172</v>
      </c>
      <c r="D41" s="2">
        <f>DATE(105,10,10)</f>
        <v>38635</v>
      </c>
      <c r="E41" s="2">
        <f>DATE(105,10,28)</f>
        <v>38653</v>
      </c>
      <c r="F41" s="5">
        <f>DATE(106,9,15)</f>
        <v>38975</v>
      </c>
      <c r="G41" s="12">
        <v>218</v>
      </c>
      <c r="H41" s="10" t="s">
        <v>108</v>
      </c>
      <c r="I41" s="10" t="s">
        <v>109</v>
      </c>
      <c r="J41" s="10" t="s">
        <v>169</v>
      </c>
      <c r="K41" s="1" t="s">
        <v>88</v>
      </c>
      <c r="L41" s="1" t="s">
        <v>150</v>
      </c>
      <c r="M41" s="1" t="s">
        <v>14</v>
      </c>
    </row>
    <row r="42" spans="1:13" ht="12">
      <c r="A42" s="3">
        <v>33</v>
      </c>
      <c r="B42" s="1" t="s">
        <v>173</v>
      </c>
      <c r="C42" s="1" t="s">
        <v>174</v>
      </c>
      <c r="D42" s="2">
        <f>DATE(105,10,31)</f>
        <v>38656</v>
      </c>
      <c r="E42" s="2">
        <f>DATE(105,11,18)</f>
        <v>38674</v>
      </c>
      <c r="F42" s="5">
        <f>DATE(106,10,6)</f>
        <v>38996</v>
      </c>
      <c r="G42" s="12">
        <v>218</v>
      </c>
      <c r="H42" s="10" t="s">
        <v>108</v>
      </c>
      <c r="I42" s="10" t="s">
        <v>109</v>
      </c>
      <c r="J42" s="10" t="s">
        <v>169</v>
      </c>
      <c r="K42" s="1" t="s">
        <v>88</v>
      </c>
      <c r="L42" s="1" t="s">
        <v>150</v>
      </c>
      <c r="M42" s="1" t="s">
        <v>14</v>
      </c>
    </row>
    <row r="43" spans="1:13" ht="12">
      <c r="A43" s="3">
        <v>35</v>
      </c>
      <c r="B43" s="1" t="s">
        <v>175</v>
      </c>
      <c r="C43" s="1" t="s">
        <v>176</v>
      </c>
      <c r="D43" s="2">
        <f>DATE(105,11,21)</f>
        <v>38677</v>
      </c>
      <c r="E43" s="2">
        <f>DATE(105,12,13)</f>
        <v>38699</v>
      </c>
      <c r="F43" s="5">
        <f>DATE(106,10,27)</f>
        <v>39017</v>
      </c>
      <c r="G43" s="12">
        <v>218</v>
      </c>
      <c r="H43" s="10" t="s">
        <v>108</v>
      </c>
      <c r="I43" s="10" t="s">
        <v>109</v>
      </c>
      <c r="J43" s="10" t="s">
        <v>169</v>
      </c>
      <c r="K43" s="1" t="s">
        <v>88</v>
      </c>
      <c r="L43" s="1" t="s">
        <v>150</v>
      </c>
      <c r="M43" s="1" t="s">
        <v>14</v>
      </c>
    </row>
    <row r="44" spans="1:13" ht="12">
      <c r="A44" s="3">
        <v>36</v>
      </c>
      <c r="B44" s="1" t="s">
        <v>177</v>
      </c>
      <c r="C44" s="1" t="s">
        <v>178</v>
      </c>
      <c r="D44" s="2">
        <f>DATE(105,12,14)</f>
        <v>38700</v>
      </c>
      <c r="E44" s="2">
        <f>DATE(106,1,25)</f>
        <v>38742</v>
      </c>
      <c r="F44" s="5">
        <f>DATE(106,12,5)</f>
        <v>39056</v>
      </c>
      <c r="G44" s="12">
        <v>218</v>
      </c>
      <c r="H44" s="10" t="s">
        <v>108</v>
      </c>
      <c r="I44" s="10" t="s">
        <v>109</v>
      </c>
      <c r="J44" s="10" t="s">
        <v>169</v>
      </c>
      <c r="K44" s="1" t="s">
        <v>88</v>
      </c>
      <c r="L44" s="1" t="s">
        <v>150</v>
      </c>
      <c r="M44" s="1" t="s">
        <v>14</v>
      </c>
    </row>
    <row r="45" spans="1:13" ht="12">
      <c r="A45" s="3">
        <v>37</v>
      </c>
      <c r="B45" s="1" t="s">
        <v>179</v>
      </c>
      <c r="C45" s="1" t="s">
        <v>139</v>
      </c>
      <c r="D45" s="2">
        <f>DATE(105,12,14)</f>
        <v>38700</v>
      </c>
      <c r="E45" s="2">
        <f>DATE(106,1,25)</f>
        <v>38742</v>
      </c>
      <c r="F45" s="5">
        <f>DATE(106,12,5)</f>
        <v>39056</v>
      </c>
      <c r="G45" s="12">
        <v>218</v>
      </c>
      <c r="H45" s="10" t="s">
        <v>108</v>
      </c>
      <c r="I45" s="10" t="s">
        <v>109</v>
      </c>
      <c r="J45" s="10" t="s">
        <v>169</v>
      </c>
      <c r="K45" s="1" t="s">
        <v>88</v>
      </c>
      <c r="L45" s="1" t="s">
        <v>180</v>
      </c>
      <c r="M45" s="1" t="s">
        <v>14</v>
      </c>
    </row>
    <row r="46" spans="1:13" ht="12">
      <c r="A46" s="3">
        <v>38</v>
      </c>
      <c r="B46" s="1" t="s">
        <v>181</v>
      </c>
      <c r="C46" s="1" t="s">
        <v>121</v>
      </c>
      <c r="D46" s="2">
        <f>DATE(106,1,27)</f>
        <v>38744</v>
      </c>
      <c r="E46" s="2">
        <f>DATE(106,2,2)</f>
        <v>38750</v>
      </c>
      <c r="F46" s="5">
        <f>DATE(106,12,13)</f>
        <v>39064</v>
      </c>
      <c r="G46" s="12">
        <v>218</v>
      </c>
      <c r="H46" s="10" t="s">
        <v>108</v>
      </c>
      <c r="I46" s="10" t="s">
        <v>109</v>
      </c>
      <c r="J46" s="10" t="s">
        <v>169</v>
      </c>
      <c r="K46" s="1" t="s">
        <v>88</v>
      </c>
      <c r="L46" s="1" t="s">
        <v>182</v>
      </c>
      <c r="M46" s="1" t="s">
        <v>14</v>
      </c>
    </row>
    <row r="47" spans="1:13" s="9" customFormat="1" ht="12">
      <c r="A47" s="14">
        <v>48</v>
      </c>
      <c r="B47" s="7" t="s">
        <v>183</v>
      </c>
      <c r="C47" s="7" t="s">
        <v>167</v>
      </c>
      <c r="D47" s="15">
        <f>DATE(106,4,21)</f>
        <v>38828</v>
      </c>
      <c r="E47" s="15">
        <f>DATE(106,7,25)</f>
        <v>38923</v>
      </c>
      <c r="F47" s="16">
        <f>DATE(107,6,8)</f>
        <v>39241</v>
      </c>
      <c r="G47" s="17">
        <v>218</v>
      </c>
      <c r="H47" s="11" t="s">
        <v>108</v>
      </c>
      <c r="I47" s="11" t="s">
        <v>109</v>
      </c>
      <c r="J47" s="11" t="s">
        <v>169</v>
      </c>
      <c r="K47" s="7" t="s">
        <v>88</v>
      </c>
      <c r="L47" s="7" t="s">
        <v>184</v>
      </c>
      <c r="M47" s="7" t="s">
        <v>14</v>
      </c>
    </row>
    <row r="48" spans="1:13" ht="12">
      <c r="A48" s="3">
        <v>3</v>
      </c>
      <c r="B48" s="1" t="s">
        <v>185</v>
      </c>
      <c r="C48" s="1" t="s">
        <v>186</v>
      </c>
      <c r="D48" s="2">
        <f>DATE(105,1,28)</f>
        <v>38380</v>
      </c>
      <c r="E48" s="2">
        <f>DATE(105,2,16)</f>
        <v>38399</v>
      </c>
      <c r="F48" s="5">
        <f>DATE(105,9,30)</f>
        <v>38625</v>
      </c>
      <c r="G48" s="12">
        <v>159</v>
      </c>
      <c r="H48" s="10" t="s">
        <v>108</v>
      </c>
      <c r="I48" s="10" t="s">
        <v>109</v>
      </c>
      <c r="J48" s="10" t="s">
        <v>187</v>
      </c>
      <c r="K48" s="1" t="s">
        <v>88</v>
      </c>
      <c r="L48" s="1" t="s">
        <v>188</v>
      </c>
      <c r="M48" s="1" t="s">
        <v>14</v>
      </c>
    </row>
    <row r="49" spans="1:13" s="9" customFormat="1" ht="12">
      <c r="A49" s="14">
        <v>4</v>
      </c>
      <c r="B49" s="7" t="s">
        <v>189</v>
      </c>
      <c r="C49" s="7" t="s">
        <v>190</v>
      </c>
      <c r="D49" s="15">
        <f>DATE(105,3,2)</f>
        <v>38413</v>
      </c>
      <c r="E49" s="15">
        <f>DATE(105,3,22)</f>
        <v>38433</v>
      </c>
      <c r="F49" s="16">
        <f>DATE(105,9,30)</f>
        <v>38625</v>
      </c>
      <c r="G49" s="17">
        <v>135</v>
      </c>
      <c r="H49" s="11" t="s">
        <v>108</v>
      </c>
      <c r="I49" s="11" t="s">
        <v>109</v>
      </c>
      <c r="J49" s="11" t="s">
        <v>187</v>
      </c>
      <c r="K49" s="7" t="s">
        <v>88</v>
      </c>
      <c r="L49" s="7" t="s">
        <v>191</v>
      </c>
      <c r="M49" s="7" t="s">
        <v>192</v>
      </c>
    </row>
    <row r="50" spans="1:13" s="24" customFormat="1" ht="12">
      <c r="A50" s="18">
        <v>77</v>
      </c>
      <c r="B50" s="19" t="s">
        <v>193</v>
      </c>
      <c r="C50" s="19" t="s">
        <v>194</v>
      </c>
      <c r="D50" s="20">
        <f>DATE(104,11,1)</f>
        <v>38292</v>
      </c>
      <c r="E50" s="20">
        <f>DATE(105,9,30)</f>
        <v>38625</v>
      </c>
      <c r="F50" s="21">
        <f>DATE(109,9,30)</f>
        <v>40086</v>
      </c>
      <c r="G50" s="22">
        <v>1006</v>
      </c>
      <c r="H50" s="23" t="s">
        <v>108</v>
      </c>
      <c r="I50" s="23" t="s">
        <v>109</v>
      </c>
      <c r="J50" s="23" t="s">
        <v>195</v>
      </c>
      <c r="K50" s="19" t="s">
        <v>88</v>
      </c>
      <c r="L50" s="19" t="s">
        <v>196</v>
      </c>
      <c r="M50" s="19" t="s">
        <v>197</v>
      </c>
    </row>
    <row r="51" spans="1:13" s="31" customFormat="1" ht="12">
      <c r="A51" s="25">
        <v>72</v>
      </c>
      <c r="B51" s="26" t="s">
        <v>65</v>
      </c>
      <c r="C51" s="26" t="s">
        <v>66</v>
      </c>
      <c r="D51" s="27">
        <f>DATE(106,7,6)</f>
        <v>38904</v>
      </c>
      <c r="E51" s="27">
        <f>DATE(107,2,8)</f>
        <v>39121</v>
      </c>
      <c r="F51" s="28">
        <f>DATE(109,9,30)</f>
        <v>40086</v>
      </c>
      <c r="G51" s="29">
        <v>674</v>
      </c>
      <c r="H51" s="30" t="s">
        <v>18</v>
      </c>
      <c r="I51" s="30" t="s">
        <v>67</v>
      </c>
      <c r="J51" s="30" t="s">
        <v>68</v>
      </c>
      <c r="K51" s="26" t="s">
        <v>69</v>
      </c>
      <c r="L51" s="26" t="s">
        <v>70</v>
      </c>
      <c r="M51" s="26" t="s">
        <v>14</v>
      </c>
    </row>
    <row r="52" spans="1:13" ht="12">
      <c r="A52" s="3">
        <v>49</v>
      </c>
      <c r="B52" s="1" t="s">
        <v>204</v>
      </c>
      <c r="C52" s="1" t="s">
        <v>205</v>
      </c>
      <c r="D52" s="2">
        <f>DATE(106,1,12)</f>
        <v>38729</v>
      </c>
      <c r="E52" s="2">
        <f>DATE(106,4,12)</f>
        <v>38819</v>
      </c>
      <c r="F52" s="5">
        <f>DATE(107,7,3)</f>
        <v>39266</v>
      </c>
      <c r="G52" s="12">
        <v>306</v>
      </c>
      <c r="H52" s="10" t="s">
        <v>206</v>
      </c>
      <c r="I52" s="10" t="s">
        <v>19</v>
      </c>
      <c r="J52" s="10" t="s">
        <v>207</v>
      </c>
      <c r="K52" s="1" t="s">
        <v>22</v>
      </c>
      <c r="L52" s="1" t="s">
        <v>208</v>
      </c>
      <c r="M52" s="1" t="s">
        <v>14</v>
      </c>
    </row>
    <row r="53" spans="1:13" ht="12">
      <c r="A53" s="3">
        <v>50</v>
      </c>
      <c r="B53" s="1" t="s">
        <v>209</v>
      </c>
      <c r="C53" s="1" t="s">
        <v>210</v>
      </c>
      <c r="D53" s="2">
        <f>DATE(106,1,12)</f>
        <v>38729</v>
      </c>
      <c r="E53" s="2">
        <f>DATE(106,4,12)</f>
        <v>38819</v>
      </c>
      <c r="F53" s="5">
        <f>DATE(107,7,3)</f>
        <v>39266</v>
      </c>
      <c r="G53" s="12">
        <v>306</v>
      </c>
      <c r="H53" s="10" t="s">
        <v>206</v>
      </c>
      <c r="I53" s="10" t="s">
        <v>19</v>
      </c>
      <c r="J53" s="10" t="s">
        <v>207</v>
      </c>
      <c r="K53" s="1" t="s">
        <v>22</v>
      </c>
      <c r="L53" s="1" t="s">
        <v>211</v>
      </c>
      <c r="M53" s="1" t="s">
        <v>14</v>
      </c>
    </row>
    <row r="54" spans="1:13" ht="12">
      <c r="A54" s="3">
        <v>57</v>
      </c>
      <c r="B54" s="1" t="s">
        <v>212</v>
      </c>
      <c r="C54" s="1" t="s">
        <v>205</v>
      </c>
      <c r="D54" s="2">
        <f>DATE(106,9,27)</f>
        <v>38987</v>
      </c>
      <c r="E54" s="2">
        <f>DATE(106,12,7)</f>
        <v>39058</v>
      </c>
      <c r="F54" s="5">
        <f>DATE(107,8,24)</f>
        <v>39318</v>
      </c>
      <c r="G54" s="12">
        <v>178</v>
      </c>
      <c r="H54" s="10" t="s">
        <v>213</v>
      </c>
      <c r="I54" s="10" t="s">
        <v>19</v>
      </c>
      <c r="J54" s="10" t="s">
        <v>19</v>
      </c>
      <c r="K54" s="1" t="s">
        <v>22</v>
      </c>
      <c r="L54" s="1" t="s">
        <v>214</v>
      </c>
      <c r="M54" s="1" t="s">
        <v>14</v>
      </c>
    </row>
    <row r="55" spans="1:13" ht="12">
      <c r="A55" s="3">
        <v>47</v>
      </c>
      <c r="B55" s="1" t="s">
        <v>215</v>
      </c>
      <c r="C55" s="1" t="s">
        <v>210</v>
      </c>
      <c r="D55" s="2">
        <f>DATE(106,9,27)</f>
        <v>38987</v>
      </c>
      <c r="E55" s="2">
        <f>DATE(106,12,7)</f>
        <v>39058</v>
      </c>
      <c r="F55" s="5">
        <f>DATE(107,5,31)</f>
        <v>39233</v>
      </c>
      <c r="G55" s="12">
        <v>118</v>
      </c>
      <c r="H55" s="10" t="s">
        <v>213</v>
      </c>
      <c r="I55" s="10" t="s">
        <v>19</v>
      </c>
      <c r="J55" s="10" t="s">
        <v>19</v>
      </c>
      <c r="K55" s="1" t="s">
        <v>22</v>
      </c>
      <c r="L55" s="1" t="s">
        <v>216</v>
      </c>
      <c r="M55" s="1" t="s">
        <v>14</v>
      </c>
    </row>
    <row r="56" spans="1:13" ht="12">
      <c r="A56" s="3">
        <v>16</v>
      </c>
      <c r="B56" s="1" t="s">
        <v>217</v>
      </c>
      <c r="C56" s="1" t="s">
        <v>218</v>
      </c>
      <c r="D56" s="2">
        <f>DATE(105,4,29)</f>
        <v>38471</v>
      </c>
      <c r="E56" s="2">
        <f>DATE(105,8,5)</f>
        <v>38569</v>
      </c>
      <c r="F56" s="5">
        <f>DATE(106,4,17)</f>
        <v>38824</v>
      </c>
      <c r="G56" s="12">
        <v>172</v>
      </c>
      <c r="H56" s="10" t="s">
        <v>219</v>
      </c>
      <c r="I56" s="10" t="s">
        <v>220</v>
      </c>
      <c r="J56" s="10" t="s">
        <v>19</v>
      </c>
      <c r="K56" s="1" t="s">
        <v>133</v>
      </c>
      <c r="L56" s="1" t="s">
        <v>221</v>
      </c>
      <c r="M56" s="1" t="s">
        <v>222</v>
      </c>
    </row>
    <row r="57" spans="1:13" ht="12">
      <c r="A57" s="3">
        <v>54</v>
      </c>
      <c r="B57" s="1" t="s">
        <v>223</v>
      </c>
      <c r="C57" s="1" t="s">
        <v>224</v>
      </c>
      <c r="D57" s="2">
        <f>DATE(106,10,2)</f>
        <v>38992</v>
      </c>
      <c r="E57" s="2">
        <f>DATE(106,11,28)</f>
        <v>39049</v>
      </c>
      <c r="F57" s="5">
        <f>DATE(107,7,16)</f>
        <v>39279</v>
      </c>
      <c r="G57" s="12">
        <v>156</v>
      </c>
      <c r="H57" s="10" t="s">
        <v>225</v>
      </c>
      <c r="I57" s="10" t="s">
        <v>19</v>
      </c>
      <c r="J57" s="10" t="s">
        <v>19</v>
      </c>
      <c r="K57" s="1" t="s">
        <v>22</v>
      </c>
      <c r="L57" s="1" t="s">
        <v>226</v>
      </c>
      <c r="M57" s="1" t="s">
        <v>227</v>
      </c>
    </row>
    <row r="58" spans="1:13" ht="12">
      <c r="A58" s="3">
        <v>32</v>
      </c>
      <c r="B58" s="1" t="s">
        <v>233</v>
      </c>
      <c r="C58" s="1" t="s">
        <v>234</v>
      </c>
      <c r="D58" s="2">
        <f>DATE(104,10,1)</f>
        <v>38261</v>
      </c>
      <c r="E58" s="2">
        <f>DATE(105,9,30)</f>
        <v>38625</v>
      </c>
      <c r="F58" s="5">
        <f>DATE(106,9,29)</f>
        <v>38989</v>
      </c>
      <c r="G58" s="12">
        <v>248</v>
      </c>
      <c r="H58" s="10" t="s">
        <v>230</v>
      </c>
      <c r="I58" s="10" t="s">
        <v>235</v>
      </c>
      <c r="J58" s="10" t="s">
        <v>19</v>
      </c>
      <c r="K58" s="1" t="s">
        <v>22</v>
      </c>
      <c r="L58" s="1" t="s">
        <v>231</v>
      </c>
      <c r="M58" s="1" t="s">
        <v>232</v>
      </c>
    </row>
    <row r="59" spans="1:13" ht="12">
      <c r="A59" s="3">
        <v>59</v>
      </c>
      <c r="B59" s="1" t="s">
        <v>228</v>
      </c>
      <c r="C59" s="1" t="s">
        <v>229</v>
      </c>
      <c r="D59" s="2">
        <f>DATE(105,10,3)</f>
        <v>38628</v>
      </c>
      <c r="E59" s="2">
        <f>DATE(106,9,29)</f>
        <v>38989</v>
      </c>
      <c r="F59" s="5">
        <f>DATE(107,9,28)</f>
        <v>39353</v>
      </c>
      <c r="G59" s="12">
        <v>249</v>
      </c>
      <c r="H59" s="10" t="s">
        <v>230</v>
      </c>
      <c r="I59" s="10" t="s">
        <v>19</v>
      </c>
      <c r="J59" s="10" t="s">
        <v>19</v>
      </c>
      <c r="K59" s="1" t="s">
        <v>22</v>
      </c>
      <c r="L59" s="1" t="s">
        <v>231</v>
      </c>
      <c r="M59" s="1" t="s">
        <v>232</v>
      </c>
    </row>
    <row r="60" spans="1:13" ht="12">
      <c r="A60" s="3">
        <v>78</v>
      </c>
      <c r="B60" s="1" t="s">
        <v>236</v>
      </c>
      <c r="C60" s="1" t="s">
        <v>237</v>
      </c>
      <c r="D60" s="2">
        <f>DATE(105,10,3)</f>
        <v>38628</v>
      </c>
      <c r="E60" s="2">
        <f>DATE(106,6,13)</f>
        <v>38881</v>
      </c>
      <c r="F60" s="5">
        <f>DATE(109,9,30)</f>
        <v>40086</v>
      </c>
      <c r="G60" s="12">
        <v>835</v>
      </c>
      <c r="H60" s="10" t="s">
        <v>238</v>
      </c>
      <c r="I60" s="10" t="s">
        <v>239</v>
      </c>
      <c r="J60" s="10" t="s">
        <v>240</v>
      </c>
      <c r="K60" s="1" t="s">
        <v>22</v>
      </c>
      <c r="L60" s="1" t="s">
        <v>241</v>
      </c>
      <c r="M60" s="1" t="s">
        <v>242</v>
      </c>
    </row>
    <row r="61" spans="1:13" ht="12">
      <c r="A61" s="3">
        <v>79</v>
      </c>
      <c r="B61" s="1" t="s">
        <v>243</v>
      </c>
      <c r="C61" s="1" t="s">
        <v>244</v>
      </c>
      <c r="D61" s="2">
        <f>DATE(105,10,3)</f>
        <v>38628</v>
      </c>
      <c r="E61" s="2">
        <f>DATE(106,9,20)</f>
        <v>38980</v>
      </c>
      <c r="F61" s="5">
        <f>DATE(109,9,30)</f>
        <v>40086</v>
      </c>
      <c r="G61" s="12">
        <v>767</v>
      </c>
      <c r="H61" s="10" t="s">
        <v>238</v>
      </c>
      <c r="I61" s="10" t="s">
        <v>239</v>
      </c>
      <c r="J61" s="10" t="s">
        <v>240</v>
      </c>
      <c r="K61" s="1" t="s">
        <v>22</v>
      </c>
      <c r="L61" s="1" t="s">
        <v>245</v>
      </c>
      <c r="M61" s="1" t="s">
        <v>246</v>
      </c>
    </row>
    <row r="62" spans="1:13" ht="12">
      <c r="A62" s="3">
        <v>46</v>
      </c>
      <c r="B62" s="1" t="s">
        <v>247</v>
      </c>
      <c r="C62" s="1" t="s">
        <v>248</v>
      </c>
      <c r="D62" s="2">
        <f>DATE(105,10,3)</f>
        <v>38628</v>
      </c>
      <c r="E62" s="2">
        <f>DATE(106,2,9)</f>
        <v>38757</v>
      </c>
      <c r="F62" s="5">
        <f>DATE(107,5,25)</f>
        <v>39227</v>
      </c>
      <c r="G62" s="12">
        <v>324</v>
      </c>
      <c r="H62" s="10" t="s">
        <v>238</v>
      </c>
      <c r="I62" s="10" t="s">
        <v>239</v>
      </c>
      <c r="J62" s="10" t="s">
        <v>240</v>
      </c>
      <c r="K62" s="1" t="s">
        <v>22</v>
      </c>
      <c r="L62" s="1" t="s">
        <v>249</v>
      </c>
      <c r="M62" s="1" t="s">
        <v>14</v>
      </c>
    </row>
    <row r="63" spans="1:13" ht="12">
      <c r="A63" s="3">
        <v>63</v>
      </c>
      <c r="B63" s="1" t="s">
        <v>250</v>
      </c>
      <c r="C63" s="1" t="s">
        <v>251</v>
      </c>
      <c r="D63" s="2">
        <f>DATE(105,10,3)</f>
        <v>38628</v>
      </c>
      <c r="E63" s="2">
        <f>DATE(106,6,30)</f>
        <v>38898</v>
      </c>
      <c r="F63" s="5">
        <f>DATE(107,12,10)</f>
        <v>39426</v>
      </c>
      <c r="G63" s="12">
        <v>360</v>
      </c>
      <c r="H63" s="10" t="s">
        <v>238</v>
      </c>
      <c r="I63" s="10" t="s">
        <v>239</v>
      </c>
      <c r="J63" s="10" t="s">
        <v>240</v>
      </c>
      <c r="K63" s="1" t="s">
        <v>22</v>
      </c>
      <c r="L63" s="1" t="s">
        <v>252</v>
      </c>
      <c r="M63" s="1" t="s">
        <v>14</v>
      </c>
    </row>
    <row r="64" spans="1:13" ht="12">
      <c r="A64" s="3">
        <v>42</v>
      </c>
      <c r="B64" s="1" t="s">
        <v>253</v>
      </c>
      <c r="C64" s="1" t="s">
        <v>254</v>
      </c>
      <c r="D64" s="2">
        <f>DATE(105,10,3)</f>
        <v>38628</v>
      </c>
      <c r="E64" s="2">
        <f>DATE(106,4,10)</f>
        <v>38817</v>
      </c>
      <c r="F64" s="5">
        <f>DATE(107,3,14)</f>
        <v>39155</v>
      </c>
      <c r="G64" s="12">
        <v>230</v>
      </c>
      <c r="H64" s="10" t="s">
        <v>238</v>
      </c>
      <c r="I64" s="10" t="s">
        <v>239</v>
      </c>
      <c r="J64" s="10" t="s">
        <v>255</v>
      </c>
      <c r="K64" s="1" t="s">
        <v>22</v>
      </c>
      <c r="L64" s="1" t="s">
        <v>256</v>
      </c>
      <c r="M64" s="1" t="s">
        <v>14</v>
      </c>
    </row>
    <row r="65" spans="1:13" ht="12">
      <c r="A65" s="3">
        <v>80</v>
      </c>
      <c r="B65" s="1" t="s">
        <v>257</v>
      </c>
      <c r="C65" s="1" t="s">
        <v>258</v>
      </c>
      <c r="D65" s="2">
        <f>DATE(104,11,1)</f>
        <v>38292</v>
      </c>
      <c r="E65" s="2">
        <f>DATE(105,2,9)</f>
        <v>38392</v>
      </c>
      <c r="F65" s="5">
        <f>DATE(109,9,30)</f>
        <v>40086</v>
      </c>
      <c r="G65" s="12">
        <v>1172</v>
      </c>
      <c r="H65" s="10" t="s">
        <v>259</v>
      </c>
      <c r="I65" s="10" t="s">
        <v>260</v>
      </c>
      <c r="J65" s="10" t="s">
        <v>261</v>
      </c>
      <c r="K65" s="1" t="s">
        <v>22</v>
      </c>
      <c r="L65" s="1" t="s">
        <v>262</v>
      </c>
      <c r="M65" s="1" t="s">
        <v>14</v>
      </c>
    </row>
    <row r="66" spans="1:13" ht="12">
      <c r="A66" s="3">
        <v>81</v>
      </c>
      <c r="B66" s="1" t="s">
        <v>263</v>
      </c>
      <c r="C66" s="1" t="s">
        <v>264</v>
      </c>
      <c r="D66" s="2">
        <f>DATE(104,11,1)</f>
        <v>38292</v>
      </c>
      <c r="E66" s="2">
        <f>DATE(105,3,30)</f>
        <v>38441</v>
      </c>
      <c r="F66" s="5">
        <f>DATE(109,9,30)</f>
        <v>40086</v>
      </c>
      <c r="G66" s="12">
        <v>1137</v>
      </c>
      <c r="H66" s="10" t="s">
        <v>259</v>
      </c>
      <c r="I66" s="10" t="s">
        <v>260</v>
      </c>
      <c r="J66" s="10" t="s">
        <v>261</v>
      </c>
      <c r="K66" s="1" t="s">
        <v>22</v>
      </c>
      <c r="L66" s="1" t="s">
        <v>265</v>
      </c>
      <c r="M66" s="1" t="s">
        <v>14</v>
      </c>
    </row>
    <row r="67" spans="1:13" ht="12">
      <c r="A67" s="3">
        <v>64</v>
      </c>
      <c r="B67" s="1" t="s">
        <v>266</v>
      </c>
      <c r="C67" s="1" t="s">
        <v>267</v>
      </c>
      <c r="D67" s="2">
        <f>DATE(104,11,1)</f>
        <v>38292</v>
      </c>
      <c r="E67" s="2">
        <f>DATE(105,8,5)</f>
        <v>38569</v>
      </c>
      <c r="F67" s="5">
        <f>DATE(108,1,17)</f>
        <v>39464</v>
      </c>
      <c r="G67" s="12">
        <v>606</v>
      </c>
      <c r="H67" s="10" t="s">
        <v>259</v>
      </c>
      <c r="I67" s="10" t="s">
        <v>260</v>
      </c>
      <c r="J67" s="10" t="s">
        <v>261</v>
      </c>
      <c r="K67" s="1" t="s">
        <v>22</v>
      </c>
      <c r="L67" s="1" t="s">
        <v>268</v>
      </c>
      <c r="M67" s="1" t="s">
        <v>14</v>
      </c>
    </row>
    <row r="68" spans="1:13" ht="12">
      <c r="A68" s="3">
        <v>55</v>
      </c>
      <c r="B68" s="1" t="s">
        <v>269</v>
      </c>
      <c r="C68" s="1" t="s">
        <v>270</v>
      </c>
      <c r="D68" s="2">
        <f>DATE(105,10,3)</f>
        <v>38628</v>
      </c>
      <c r="E68" s="2">
        <f>DATE(106,3,27)</f>
        <v>38803</v>
      </c>
      <c r="F68" s="5">
        <f>DATE(107,7,20)</f>
        <v>39283</v>
      </c>
      <c r="G68" s="12">
        <v>330</v>
      </c>
      <c r="H68" s="10" t="s">
        <v>271</v>
      </c>
      <c r="I68" s="10" t="s">
        <v>272</v>
      </c>
      <c r="J68" s="10" t="s">
        <v>273</v>
      </c>
      <c r="K68" s="1" t="s">
        <v>22</v>
      </c>
      <c r="L68" s="1" t="s">
        <v>274</v>
      </c>
      <c r="M68" s="1" t="s">
        <v>14</v>
      </c>
    </row>
    <row r="69" spans="1:13" ht="12">
      <c r="A69" s="3">
        <v>82</v>
      </c>
      <c r="B69" s="1" t="s">
        <v>275</v>
      </c>
      <c r="C69" s="1" t="s">
        <v>276</v>
      </c>
      <c r="D69" s="2">
        <f>DATE(106,2,3)</f>
        <v>38751</v>
      </c>
      <c r="E69" s="2">
        <f>DATE(107,2,1)</f>
        <v>39114</v>
      </c>
      <c r="F69" s="5">
        <f>DATE(109,9,30)</f>
        <v>40086</v>
      </c>
      <c r="G69" s="12">
        <v>679</v>
      </c>
      <c r="H69" s="10" t="s">
        <v>271</v>
      </c>
      <c r="I69" s="10" t="s">
        <v>272</v>
      </c>
      <c r="J69" s="10" t="s">
        <v>273</v>
      </c>
      <c r="K69" s="1" t="s">
        <v>22</v>
      </c>
      <c r="L69" s="1" t="s">
        <v>277</v>
      </c>
      <c r="M69" s="1" t="s">
        <v>278</v>
      </c>
    </row>
    <row r="70" spans="1:13" ht="12">
      <c r="A70" s="3">
        <v>52</v>
      </c>
      <c r="B70" s="1" t="s">
        <v>279</v>
      </c>
      <c r="C70" s="1" t="s">
        <v>280</v>
      </c>
      <c r="D70" s="2">
        <f>DATE(105,10,3)</f>
        <v>38628</v>
      </c>
      <c r="E70" s="2">
        <f>DATE(105,11,30)</f>
        <v>38686</v>
      </c>
      <c r="F70" s="5">
        <f>DATE(107,7,13)</f>
        <v>39276</v>
      </c>
      <c r="G70" s="12">
        <v>402</v>
      </c>
      <c r="H70" s="10" t="s">
        <v>271</v>
      </c>
      <c r="I70" s="10" t="s">
        <v>272</v>
      </c>
      <c r="J70" s="10" t="s">
        <v>281</v>
      </c>
      <c r="K70" s="1" t="s">
        <v>22</v>
      </c>
      <c r="L70" s="1" t="s">
        <v>282</v>
      </c>
      <c r="M70" s="1" t="s">
        <v>14</v>
      </c>
    </row>
    <row r="71" spans="1:13" ht="12">
      <c r="A71" s="3">
        <v>66</v>
      </c>
      <c r="B71" s="1" t="s">
        <v>283</v>
      </c>
      <c r="C71" s="1" t="s">
        <v>284</v>
      </c>
      <c r="D71" s="2">
        <f>DATE(105,10,7)</f>
        <v>38632</v>
      </c>
      <c r="E71" s="2">
        <f>DATE(106,2,28)</f>
        <v>38776</v>
      </c>
      <c r="F71" s="5">
        <f>DATE(109,5,26)</f>
        <v>39959</v>
      </c>
      <c r="G71" s="12">
        <v>818</v>
      </c>
      <c r="H71" s="10" t="s">
        <v>271</v>
      </c>
      <c r="I71" s="10" t="s">
        <v>272</v>
      </c>
      <c r="J71" s="10" t="s">
        <v>285</v>
      </c>
      <c r="K71" s="1" t="s">
        <v>22</v>
      </c>
      <c r="L71" s="1" t="s">
        <v>286</v>
      </c>
      <c r="M71" s="1" t="s">
        <v>14</v>
      </c>
    </row>
    <row r="72" spans="1:13" ht="12">
      <c r="A72" s="3">
        <v>68</v>
      </c>
      <c r="B72" s="1" t="s">
        <v>287</v>
      </c>
      <c r="C72" s="1" t="s">
        <v>288</v>
      </c>
      <c r="D72" s="2">
        <f>DATE(105,10,3)</f>
        <v>38628</v>
      </c>
      <c r="E72" s="2">
        <f>DATE(106,3,31)</f>
        <v>38807</v>
      </c>
      <c r="F72" s="5">
        <f>DATE(109,6,17)</f>
        <v>39981</v>
      </c>
      <c r="G72" s="12">
        <v>811</v>
      </c>
      <c r="H72" s="10" t="s">
        <v>271</v>
      </c>
      <c r="I72" s="10" t="s">
        <v>272</v>
      </c>
      <c r="J72" s="10" t="s">
        <v>285</v>
      </c>
      <c r="K72" s="1" t="s">
        <v>22</v>
      </c>
      <c r="L72" s="1" t="s">
        <v>289</v>
      </c>
      <c r="M72" s="1" t="s">
        <v>14</v>
      </c>
    </row>
    <row r="73" spans="1:13" ht="12">
      <c r="A73" s="3">
        <v>67</v>
      </c>
      <c r="B73" s="1" t="s">
        <v>290</v>
      </c>
      <c r="C73" s="1" t="s">
        <v>291</v>
      </c>
      <c r="D73" s="2">
        <f>DATE(105,10,3)</f>
        <v>38628</v>
      </c>
      <c r="E73" s="2">
        <f>DATE(106,2,28)</f>
        <v>38776</v>
      </c>
      <c r="F73" s="5">
        <f>DATE(109,5,27)</f>
        <v>39960</v>
      </c>
      <c r="G73" s="12">
        <v>819</v>
      </c>
      <c r="H73" s="10" t="s">
        <v>271</v>
      </c>
      <c r="I73" s="10" t="s">
        <v>272</v>
      </c>
      <c r="J73" s="10" t="s">
        <v>285</v>
      </c>
      <c r="K73" s="1" t="s">
        <v>22</v>
      </c>
      <c r="L73" s="1" t="s">
        <v>292</v>
      </c>
      <c r="M73" s="1" t="s">
        <v>14</v>
      </c>
    </row>
    <row r="74" spans="1:13" ht="12">
      <c r="A74" s="3">
        <v>53</v>
      </c>
      <c r="B74" s="1" t="s">
        <v>293</v>
      </c>
      <c r="C74" s="1" t="s">
        <v>294</v>
      </c>
      <c r="D74" s="2">
        <f>DATE(105,10,3)</f>
        <v>38628</v>
      </c>
      <c r="E74" s="2">
        <f>DATE(106,2,3)</f>
        <v>38751</v>
      </c>
      <c r="F74" s="5">
        <f>DATE(107,7,13)</f>
        <v>39276</v>
      </c>
      <c r="G74" s="12">
        <v>361</v>
      </c>
      <c r="H74" s="10" t="s">
        <v>271</v>
      </c>
      <c r="I74" s="10" t="s">
        <v>272</v>
      </c>
      <c r="J74" s="10" t="s">
        <v>295</v>
      </c>
      <c r="K74" s="1" t="s">
        <v>22</v>
      </c>
      <c r="L74" s="1" t="s">
        <v>296</v>
      </c>
      <c r="M74" s="1" t="s">
        <v>14</v>
      </c>
    </row>
    <row r="75" spans="1:13" ht="12">
      <c r="A75" s="3">
        <v>83</v>
      </c>
      <c r="B75" s="1" t="s">
        <v>297</v>
      </c>
      <c r="C75" s="1" t="s">
        <v>298</v>
      </c>
      <c r="D75" s="2">
        <f>DATE(105,10,31)</f>
        <v>38656</v>
      </c>
      <c r="E75" s="2">
        <f>DATE(106,3,1)</f>
        <v>38777</v>
      </c>
      <c r="F75" s="5">
        <f>DATE(109,9,30)</f>
        <v>40086</v>
      </c>
      <c r="G75" s="12">
        <v>908</v>
      </c>
      <c r="H75" s="10" t="s">
        <v>271</v>
      </c>
      <c r="I75" s="10" t="s">
        <v>272</v>
      </c>
      <c r="J75" s="10" t="s">
        <v>295</v>
      </c>
      <c r="K75" s="1" t="s">
        <v>22</v>
      </c>
      <c r="L75" s="1" t="s">
        <v>299</v>
      </c>
      <c r="M75" s="1" t="s">
        <v>14</v>
      </c>
    </row>
    <row r="76" spans="1:13" ht="12">
      <c r="A76" s="3">
        <v>84</v>
      </c>
      <c r="B76" s="1" t="s">
        <v>300</v>
      </c>
      <c r="C76" s="1" t="s">
        <v>301</v>
      </c>
      <c r="D76" s="2">
        <f>DATE(105,10,31)</f>
        <v>38656</v>
      </c>
      <c r="E76" s="2">
        <f>DATE(106,7,24)</f>
        <v>38922</v>
      </c>
      <c r="F76" s="5">
        <f>DATE(109,9,30)</f>
        <v>40086</v>
      </c>
      <c r="G76" s="12">
        <v>808</v>
      </c>
      <c r="H76" s="10" t="s">
        <v>271</v>
      </c>
      <c r="I76" s="10" t="s">
        <v>272</v>
      </c>
      <c r="J76" s="10" t="s">
        <v>295</v>
      </c>
      <c r="K76" s="1" t="s">
        <v>22</v>
      </c>
      <c r="L76" s="1" t="s">
        <v>302</v>
      </c>
      <c r="M76" s="1" t="s">
        <v>14</v>
      </c>
    </row>
    <row r="77" spans="1:13" ht="12">
      <c r="A77" s="3">
        <v>85</v>
      </c>
      <c r="B77" s="1" t="s">
        <v>303</v>
      </c>
      <c r="C77" s="1" t="s">
        <v>304</v>
      </c>
      <c r="D77" s="2">
        <f>DATE(106,5,1)</f>
        <v>38838</v>
      </c>
      <c r="E77" s="2">
        <f>DATE(107,4,30)</f>
        <v>39202</v>
      </c>
      <c r="F77" s="5">
        <f>DATE(109,9,30)</f>
        <v>40086</v>
      </c>
      <c r="G77" s="12">
        <v>617</v>
      </c>
      <c r="H77" s="10" t="s">
        <v>271</v>
      </c>
      <c r="I77" s="10" t="s">
        <v>272</v>
      </c>
      <c r="J77" s="10" t="s">
        <v>295</v>
      </c>
      <c r="K77" s="1" t="s">
        <v>22</v>
      </c>
      <c r="L77" s="1" t="s">
        <v>305</v>
      </c>
      <c r="M77" s="1" t="s">
        <v>306</v>
      </c>
    </row>
    <row r="78" spans="1:13" ht="12">
      <c r="A78" s="3">
        <v>92</v>
      </c>
      <c r="B78" s="1" t="s">
        <v>326</v>
      </c>
      <c r="C78" s="1" t="s">
        <v>327</v>
      </c>
      <c r="D78" s="2">
        <f>DATE(105,4,1)</f>
        <v>38443</v>
      </c>
      <c r="E78" s="2">
        <f>DATE(107,3,30)</f>
        <v>39171</v>
      </c>
      <c r="F78" s="5">
        <f>DATE(109,9,30)</f>
        <v>40086</v>
      </c>
      <c r="G78" s="12">
        <v>638</v>
      </c>
      <c r="H78" s="10" t="s">
        <v>309</v>
      </c>
      <c r="I78" s="10" t="s">
        <v>310</v>
      </c>
      <c r="J78" s="10" t="s">
        <v>311</v>
      </c>
      <c r="K78" s="1" t="s">
        <v>69</v>
      </c>
      <c r="L78" s="1" t="s">
        <v>328</v>
      </c>
      <c r="M78" s="1" t="s">
        <v>14</v>
      </c>
    </row>
    <row r="79" spans="1:13" ht="12">
      <c r="A79" s="3">
        <v>87</v>
      </c>
      <c r="B79" s="1" t="s">
        <v>313</v>
      </c>
      <c r="C79" s="1" t="s">
        <v>314</v>
      </c>
      <c r="D79" s="2">
        <f>DATE(105,1,4)</f>
        <v>38356</v>
      </c>
      <c r="E79" s="2">
        <f>DATE(105,3,15)</f>
        <v>38426</v>
      </c>
      <c r="F79" s="5">
        <f>DATE(109,9,30)</f>
        <v>40086</v>
      </c>
      <c r="G79" s="12">
        <v>1148</v>
      </c>
      <c r="H79" s="10" t="s">
        <v>309</v>
      </c>
      <c r="I79" s="10" t="s">
        <v>310</v>
      </c>
      <c r="J79" s="10" t="s">
        <v>311</v>
      </c>
      <c r="K79" s="1" t="s">
        <v>133</v>
      </c>
      <c r="L79" s="1" t="s">
        <v>315</v>
      </c>
      <c r="M79" s="1" t="s">
        <v>14</v>
      </c>
    </row>
    <row r="80" spans="1:13" ht="12">
      <c r="A80" s="3">
        <v>88</v>
      </c>
      <c r="B80" s="1" t="s">
        <v>316</v>
      </c>
      <c r="C80" s="1" t="s">
        <v>317</v>
      </c>
      <c r="D80" s="2">
        <f>DATE(105,3,1)</f>
        <v>38412</v>
      </c>
      <c r="E80" s="2">
        <f>DATE(105,6,6)</f>
        <v>38509</v>
      </c>
      <c r="F80" s="5">
        <f>DATE(109,9,30)</f>
        <v>40086</v>
      </c>
      <c r="G80" s="12">
        <v>1090</v>
      </c>
      <c r="H80" s="10" t="s">
        <v>309</v>
      </c>
      <c r="I80" s="10" t="s">
        <v>310</v>
      </c>
      <c r="J80" s="10" t="s">
        <v>311</v>
      </c>
      <c r="K80" s="1" t="s">
        <v>90</v>
      </c>
      <c r="L80" s="1" t="s">
        <v>318</v>
      </c>
      <c r="M80" s="1" t="s">
        <v>14</v>
      </c>
    </row>
    <row r="81" spans="1:13" ht="12">
      <c r="A81" s="3">
        <v>89</v>
      </c>
      <c r="B81" s="1" t="s">
        <v>319</v>
      </c>
      <c r="C81" s="1" t="s">
        <v>320</v>
      </c>
      <c r="D81" s="2">
        <f>DATE(105,5,16)</f>
        <v>38488</v>
      </c>
      <c r="E81" s="2">
        <f>DATE(105,8,15)</f>
        <v>38579</v>
      </c>
      <c r="F81" s="5">
        <f>DATE(109,9,30)</f>
        <v>40086</v>
      </c>
      <c r="G81" s="12">
        <v>1041</v>
      </c>
      <c r="H81" s="10" t="s">
        <v>309</v>
      </c>
      <c r="I81" s="10" t="s">
        <v>310</v>
      </c>
      <c r="J81" s="10" t="s">
        <v>311</v>
      </c>
      <c r="K81" s="1" t="s">
        <v>18</v>
      </c>
      <c r="L81" s="1" t="s">
        <v>296</v>
      </c>
      <c r="M81" s="1" t="s">
        <v>14</v>
      </c>
    </row>
    <row r="82" spans="1:13" ht="12">
      <c r="A82" s="3">
        <v>86</v>
      </c>
      <c r="B82" s="1" t="s">
        <v>307</v>
      </c>
      <c r="C82" s="1" t="s">
        <v>308</v>
      </c>
      <c r="D82" s="2">
        <f>DATE(106,4,3)</f>
        <v>38810</v>
      </c>
      <c r="E82" s="2">
        <f>DATE(108,3,31)</f>
        <v>39538</v>
      </c>
      <c r="F82" s="5">
        <f>DATE(109,9,30)</f>
        <v>40086</v>
      </c>
      <c r="G82" s="12">
        <v>389</v>
      </c>
      <c r="H82" s="10" t="s">
        <v>309</v>
      </c>
      <c r="I82" s="10" t="s">
        <v>310</v>
      </c>
      <c r="J82" s="10" t="s">
        <v>311</v>
      </c>
      <c r="K82" s="1" t="s">
        <v>111</v>
      </c>
      <c r="L82" s="1" t="s">
        <v>312</v>
      </c>
      <c r="M82" s="1" t="s">
        <v>14</v>
      </c>
    </row>
    <row r="83" spans="1:13" ht="12">
      <c r="A83" s="3">
        <v>91</v>
      </c>
      <c r="B83" s="1" t="s">
        <v>323</v>
      </c>
      <c r="C83" s="1" t="s">
        <v>324</v>
      </c>
      <c r="D83" s="2">
        <f>DATE(106,7,5)</f>
        <v>38903</v>
      </c>
      <c r="E83" s="2">
        <f>DATE(106,9,6)</f>
        <v>38966</v>
      </c>
      <c r="F83" s="5">
        <f>DATE(109,9,30)</f>
        <v>40086</v>
      </c>
      <c r="G83" s="12">
        <v>777</v>
      </c>
      <c r="H83" s="10" t="s">
        <v>309</v>
      </c>
      <c r="I83" s="10" t="s">
        <v>310</v>
      </c>
      <c r="J83" s="10" t="s">
        <v>311</v>
      </c>
      <c r="K83" s="1" t="s">
        <v>78</v>
      </c>
      <c r="L83" s="1" t="s">
        <v>325</v>
      </c>
      <c r="M83" s="1" t="s">
        <v>14</v>
      </c>
    </row>
    <row r="84" spans="1:13" ht="12">
      <c r="A84" s="3">
        <v>90</v>
      </c>
      <c r="B84" s="1" t="s">
        <v>321</v>
      </c>
      <c r="C84" s="1" t="s">
        <v>322</v>
      </c>
      <c r="D84" s="2">
        <f>DATE(105,5,16)</f>
        <v>38488</v>
      </c>
      <c r="E84" s="2">
        <f>DATE(105,8,15)</f>
        <v>38579</v>
      </c>
      <c r="F84" s="5">
        <f>DATE(109,9,30)</f>
        <v>40086</v>
      </c>
      <c r="G84" s="12">
        <v>1041</v>
      </c>
      <c r="H84" s="10" t="s">
        <v>309</v>
      </c>
      <c r="I84" s="10" t="s">
        <v>310</v>
      </c>
      <c r="J84" s="10" t="s">
        <v>311</v>
      </c>
      <c r="K84" s="1" t="s">
        <v>201</v>
      </c>
      <c r="L84" s="1" t="s">
        <v>296</v>
      </c>
      <c r="M84" s="1" t="s">
        <v>14</v>
      </c>
    </row>
    <row r="85" spans="1:13" ht="12">
      <c r="A85" s="3">
        <v>45</v>
      </c>
      <c r="B85" s="1" t="s">
        <v>329</v>
      </c>
      <c r="C85" s="1" t="s">
        <v>330</v>
      </c>
      <c r="D85" s="2">
        <f>DATE(105,10,3)</f>
        <v>38628</v>
      </c>
      <c r="E85" s="2">
        <f>DATE(106,1,20)</f>
        <v>38737</v>
      </c>
      <c r="F85" s="5">
        <f>DATE(107,5,14)</f>
        <v>39216</v>
      </c>
      <c r="G85" s="12">
        <v>329</v>
      </c>
      <c r="H85" s="10" t="s">
        <v>309</v>
      </c>
      <c r="I85" s="10" t="s">
        <v>310</v>
      </c>
      <c r="J85" s="10" t="s">
        <v>331</v>
      </c>
      <c r="K85" s="1" t="s">
        <v>22</v>
      </c>
      <c r="L85" s="1" t="s">
        <v>332</v>
      </c>
      <c r="M85" s="1" t="s">
        <v>14</v>
      </c>
    </row>
    <row r="86" spans="1:13" ht="12">
      <c r="A86" s="3">
        <v>51</v>
      </c>
      <c r="B86" s="1" t="s">
        <v>333</v>
      </c>
      <c r="C86" s="1" t="s">
        <v>334</v>
      </c>
      <c r="D86" s="2">
        <f>DATE(105,10,3)</f>
        <v>38628</v>
      </c>
      <c r="E86" s="2">
        <f>DATE(106,1,5)</f>
        <v>38722</v>
      </c>
      <c r="F86" s="5">
        <f>DATE(107,7,11)</f>
        <v>39274</v>
      </c>
      <c r="G86" s="12">
        <v>380</v>
      </c>
      <c r="H86" s="10" t="s">
        <v>309</v>
      </c>
      <c r="I86" s="10" t="s">
        <v>310</v>
      </c>
      <c r="J86" s="10" t="s">
        <v>331</v>
      </c>
      <c r="K86" s="1" t="s">
        <v>22</v>
      </c>
      <c r="L86" s="1" t="s">
        <v>335</v>
      </c>
      <c r="M86" s="1" t="s">
        <v>14</v>
      </c>
    </row>
    <row r="87" spans="1:13" ht="12">
      <c r="A87" s="3">
        <v>44</v>
      </c>
      <c r="B87" s="1" t="s">
        <v>336</v>
      </c>
      <c r="C87" s="1" t="s">
        <v>337</v>
      </c>
      <c r="D87" s="2">
        <f>DATE(105,10,6)</f>
        <v>38631</v>
      </c>
      <c r="E87" s="2">
        <f>DATE(106,2,20)</f>
        <v>38768</v>
      </c>
      <c r="F87" s="5">
        <f>DATE(107,5,2)</f>
        <v>39204</v>
      </c>
      <c r="G87" s="12">
        <v>300</v>
      </c>
      <c r="H87" s="10" t="s">
        <v>309</v>
      </c>
      <c r="I87" s="10" t="s">
        <v>310</v>
      </c>
      <c r="J87" s="10" t="s">
        <v>338</v>
      </c>
      <c r="K87" s="1" t="s">
        <v>22</v>
      </c>
      <c r="L87" s="1" t="s">
        <v>339</v>
      </c>
      <c r="M87" s="1" t="s">
        <v>14</v>
      </c>
    </row>
    <row r="88" spans="1:13" ht="12">
      <c r="A88" s="3">
        <v>65</v>
      </c>
      <c r="B88" s="1" t="s">
        <v>340</v>
      </c>
      <c r="C88" s="1" t="s">
        <v>341</v>
      </c>
      <c r="D88" s="2">
        <f>DATE(106,11,21)</f>
        <v>39042</v>
      </c>
      <c r="E88" s="2">
        <f>DATE(107,5,17)</f>
        <v>39219</v>
      </c>
      <c r="F88" s="5">
        <f>DATE(108,3,27)</f>
        <v>39534</v>
      </c>
      <c r="G88" s="12">
        <v>213</v>
      </c>
      <c r="H88" s="10" t="s">
        <v>41</v>
      </c>
      <c r="I88" s="10" t="s">
        <v>19</v>
      </c>
      <c r="J88" s="10" t="s">
        <v>19</v>
      </c>
      <c r="K88" s="1" t="s">
        <v>22</v>
      </c>
      <c r="L88" s="1" t="s">
        <v>342</v>
      </c>
      <c r="M88" s="1" t="s">
        <v>343</v>
      </c>
    </row>
    <row r="89" spans="1:13" ht="12">
      <c r="A89" s="3">
        <v>60</v>
      </c>
      <c r="B89" s="1" t="s">
        <v>344</v>
      </c>
      <c r="C89" s="1" t="s">
        <v>345</v>
      </c>
      <c r="D89" s="2">
        <f>DATE(106,10,2)</f>
        <v>38992</v>
      </c>
      <c r="E89" s="2">
        <f>DATE(107,1,2)</f>
        <v>39084</v>
      </c>
      <c r="F89" s="5">
        <f>DATE(107,10,4)</f>
        <v>39359</v>
      </c>
      <c r="G89" s="12">
        <v>194</v>
      </c>
      <c r="H89" s="10" t="s">
        <v>346</v>
      </c>
      <c r="I89" s="10" t="s">
        <v>19</v>
      </c>
      <c r="J89" s="10" t="s">
        <v>347</v>
      </c>
      <c r="K89" s="1" t="s">
        <v>22</v>
      </c>
      <c r="L89" s="1" t="s">
        <v>348</v>
      </c>
      <c r="M89" s="1" t="s">
        <v>14</v>
      </c>
    </row>
    <row r="90" spans="1:13" ht="12">
      <c r="A90" s="3">
        <v>61</v>
      </c>
      <c r="B90" s="1" t="s">
        <v>349</v>
      </c>
      <c r="C90" s="1" t="s">
        <v>350</v>
      </c>
      <c r="D90" s="2">
        <f>DATE(107,1,11)</f>
        <v>39093</v>
      </c>
      <c r="E90" s="2">
        <f>DATE(107,4,11)</f>
        <v>39183</v>
      </c>
      <c r="F90" s="5">
        <f>DATE(107,10,19)</f>
        <v>39374</v>
      </c>
      <c r="G90" s="12">
        <v>134</v>
      </c>
      <c r="H90" s="10" t="s">
        <v>351</v>
      </c>
      <c r="I90" s="10" t="s">
        <v>19</v>
      </c>
      <c r="J90" s="10" t="s">
        <v>352</v>
      </c>
      <c r="K90" s="1" t="s">
        <v>22</v>
      </c>
      <c r="L90" s="1" t="s">
        <v>353</v>
      </c>
      <c r="M90" s="1" t="s">
        <v>14</v>
      </c>
    </row>
    <row r="91" spans="1:13" ht="12">
      <c r="A91" s="3">
        <v>93</v>
      </c>
      <c r="B91" s="1" t="s">
        <v>354</v>
      </c>
      <c r="C91" s="1" t="s">
        <v>355</v>
      </c>
      <c r="D91" s="2">
        <f>DATE(104,10,1)</f>
        <v>38261</v>
      </c>
      <c r="E91" s="2">
        <f>DATE(104,9,30)</f>
        <v>38260</v>
      </c>
      <c r="F91" s="5">
        <f>DATE(109,9,30)</f>
        <v>40086</v>
      </c>
      <c r="G91" s="12">
        <v>1258</v>
      </c>
      <c r="H91" s="10" t="s">
        <v>351</v>
      </c>
      <c r="I91" s="10" t="s">
        <v>19</v>
      </c>
      <c r="J91" s="10" t="s">
        <v>356</v>
      </c>
      <c r="K91" s="1" t="s">
        <v>22</v>
      </c>
      <c r="L91" s="1" t="s">
        <v>14</v>
      </c>
      <c r="M91" s="1" t="s">
        <v>14</v>
      </c>
    </row>
    <row r="92" spans="1:13" ht="12">
      <c r="A92" s="3">
        <v>58</v>
      </c>
      <c r="B92" s="1" t="s">
        <v>357</v>
      </c>
      <c r="C92" s="1" t="s">
        <v>358</v>
      </c>
      <c r="D92" s="2">
        <f>DATE(106,11,29)</f>
        <v>39050</v>
      </c>
      <c r="E92" s="2">
        <f>DATE(107,2,21)</f>
        <v>39134</v>
      </c>
      <c r="F92" s="5">
        <f>DATE(107,9,14)</f>
        <v>39339</v>
      </c>
      <c r="G92" s="12">
        <v>144</v>
      </c>
      <c r="H92" s="10" t="s">
        <v>351</v>
      </c>
      <c r="I92" s="10" t="s">
        <v>19</v>
      </c>
      <c r="J92" s="10" t="s">
        <v>359</v>
      </c>
      <c r="K92" s="1" t="s">
        <v>22</v>
      </c>
      <c r="L92" s="1" t="s">
        <v>360</v>
      </c>
      <c r="M92" s="1" t="s">
        <v>14</v>
      </c>
    </row>
    <row r="93" spans="1:13" ht="12">
      <c r="A93" s="3">
        <v>62</v>
      </c>
      <c r="B93" s="1" t="s">
        <v>361</v>
      </c>
      <c r="C93" s="1" t="s">
        <v>362</v>
      </c>
      <c r="D93" s="2">
        <f>DATE(106,10,2)</f>
        <v>38992</v>
      </c>
      <c r="E93" s="2">
        <f>DATE(107,3,23)</f>
        <v>39164</v>
      </c>
      <c r="F93" s="5">
        <f>DATE(107,10,22)</f>
        <v>39377</v>
      </c>
      <c r="G93" s="12">
        <v>148</v>
      </c>
      <c r="H93" s="10" t="s">
        <v>363</v>
      </c>
      <c r="I93" s="10" t="s">
        <v>19</v>
      </c>
      <c r="J93" s="10" t="s">
        <v>19</v>
      </c>
      <c r="K93" s="1" t="s">
        <v>22</v>
      </c>
      <c r="L93" s="1" t="s">
        <v>364</v>
      </c>
      <c r="M93" s="1" t="s">
        <v>14</v>
      </c>
    </row>
    <row r="94" spans="1:13" ht="12">
      <c r="A94" s="3">
        <v>39</v>
      </c>
      <c r="B94" s="1" t="s">
        <v>365</v>
      </c>
      <c r="C94" s="1" t="s">
        <v>358</v>
      </c>
      <c r="D94" s="2">
        <f>DATE(104,12,1)</f>
        <v>38322</v>
      </c>
      <c r="E94" s="2">
        <f>DATE(105,3,9)</f>
        <v>38420</v>
      </c>
      <c r="F94" s="5">
        <f>DATE(106,12,14)</f>
        <v>39065</v>
      </c>
      <c r="G94" s="12">
        <v>444</v>
      </c>
      <c r="H94" s="10" t="s">
        <v>366</v>
      </c>
      <c r="I94" s="10" t="s">
        <v>367</v>
      </c>
      <c r="J94" s="10" t="s">
        <v>19</v>
      </c>
      <c r="K94" s="1" t="s">
        <v>368</v>
      </c>
      <c r="L94" s="1" t="s">
        <v>369</v>
      </c>
      <c r="M94" s="1" t="s">
        <v>14</v>
      </c>
    </row>
    <row r="95" spans="1:13" ht="12">
      <c r="A95" s="3">
        <v>56</v>
      </c>
      <c r="B95" s="1" t="s">
        <v>198</v>
      </c>
      <c r="C95" s="1" t="s">
        <v>199</v>
      </c>
      <c r="D95" s="2">
        <f>DATE(106,10,2)</f>
        <v>38992</v>
      </c>
      <c r="E95" s="2">
        <f>DATE(107,1,10)</f>
        <v>39092</v>
      </c>
      <c r="F95" s="5">
        <f>DATE(107,8,17)</f>
        <v>39311</v>
      </c>
      <c r="G95" s="12">
        <v>155</v>
      </c>
      <c r="H95" s="10" t="s">
        <v>108</v>
      </c>
      <c r="I95" s="10" t="s">
        <v>109</v>
      </c>
      <c r="J95" s="10" t="s">
        <v>200</v>
      </c>
      <c r="K95" s="1" t="s">
        <v>201</v>
      </c>
      <c r="L95" s="1" t="s">
        <v>202</v>
      </c>
      <c r="M95" s="1" t="s">
        <v>203</v>
      </c>
    </row>
    <row r="96" spans="1:13" ht="12">
      <c r="A96" s="3">
        <v>94</v>
      </c>
      <c r="B96" s="1" t="s">
        <v>370</v>
      </c>
      <c r="C96" s="1" t="s">
        <v>371</v>
      </c>
      <c r="D96" s="2">
        <f>DATE(104,10,1)</f>
        <v>38261</v>
      </c>
      <c r="E96" s="2">
        <f>DATE(105,9,30)</f>
        <v>38625</v>
      </c>
      <c r="F96" s="5">
        <f>DATE(109,9,30)</f>
        <v>40086</v>
      </c>
      <c r="G96" s="12">
        <v>1006</v>
      </c>
      <c r="H96" s="10" t="s">
        <v>372</v>
      </c>
      <c r="I96" s="10" t="s">
        <v>373</v>
      </c>
      <c r="J96" s="10" t="s">
        <v>19</v>
      </c>
      <c r="K96" s="1" t="s">
        <v>57</v>
      </c>
      <c r="L96" s="1" t="s">
        <v>374</v>
      </c>
      <c r="M96" s="1" t="s">
        <v>375</v>
      </c>
    </row>
    <row r="97" spans="1:13" ht="12">
      <c r="A97" s="3">
        <v>95</v>
      </c>
      <c r="B97" s="1" t="s">
        <v>376</v>
      </c>
      <c r="C97" s="1" t="s">
        <v>377</v>
      </c>
      <c r="D97" s="2">
        <f>DATE(105,10,3)</f>
        <v>38628</v>
      </c>
      <c r="E97" s="2">
        <f>DATE(106,9,29)</f>
        <v>38989</v>
      </c>
      <c r="F97" s="5">
        <f>DATE(109,9,30)</f>
        <v>40086</v>
      </c>
      <c r="G97" s="12">
        <v>758</v>
      </c>
      <c r="H97" s="10" t="s">
        <v>372</v>
      </c>
      <c r="I97" s="10" t="s">
        <v>373</v>
      </c>
      <c r="J97" s="10" t="s">
        <v>19</v>
      </c>
      <c r="K97" s="1" t="s">
        <v>126</v>
      </c>
      <c r="L97" s="1" t="s">
        <v>378</v>
      </c>
      <c r="M97" s="1" t="s">
        <v>379</v>
      </c>
    </row>
    <row r="98" spans="1:13" ht="12">
      <c r="A98" s="3">
        <v>96</v>
      </c>
      <c r="B98" s="1" t="s">
        <v>380</v>
      </c>
      <c r="C98" s="1" t="s">
        <v>381</v>
      </c>
      <c r="D98" s="2">
        <f>DATE(106,10,2)</f>
        <v>38992</v>
      </c>
      <c r="E98" s="2">
        <f>DATE(107,10,1)</f>
        <v>39356</v>
      </c>
      <c r="F98" s="5">
        <f>DATE(109,9,30)</f>
        <v>40086</v>
      </c>
      <c r="G98" s="12">
        <v>508</v>
      </c>
      <c r="H98" s="10" t="s">
        <v>372</v>
      </c>
      <c r="I98" s="10" t="s">
        <v>373</v>
      </c>
      <c r="J98" s="10" t="s">
        <v>19</v>
      </c>
      <c r="K98" s="1" t="s">
        <v>164</v>
      </c>
      <c r="L98" s="1" t="s">
        <v>382</v>
      </c>
      <c r="M98" s="1" t="s">
        <v>383</v>
      </c>
    </row>
    <row r="99" spans="1:13" ht="12">
      <c r="A99" s="3">
        <v>97</v>
      </c>
      <c r="B99" s="1" t="s">
        <v>384</v>
      </c>
      <c r="C99" s="1" t="s">
        <v>385</v>
      </c>
      <c r="D99" s="2">
        <f>DATE(105,9,1)</f>
        <v>38596</v>
      </c>
      <c r="E99" s="2">
        <f>DATE(105,9,29)</f>
        <v>38624</v>
      </c>
      <c r="F99" s="5">
        <f>DATE(109,9,30)</f>
        <v>40086</v>
      </c>
      <c r="G99" s="12">
        <v>1007</v>
      </c>
      <c r="H99" s="10" t="s">
        <v>386</v>
      </c>
      <c r="I99" s="10" t="s">
        <v>387</v>
      </c>
      <c r="J99" s="10" t="s">
        <v>19</v>
      </c>
      <c r="K99" s="1" t="s">
        <v>80</v>
      </c>
      <c r="L99" s="1" t="s">
        <v>388</v>
      </c>
      <c r="M99" s="1" t="s">
        <v>389</v>
      </c>
    </row>
    <row r="100" spans="1:13" ht="12">
      <c r="A100" s="3">
        <v>98</v>
      </c>
      <c r="B100" s="1" t="s">
        <v>390</v>
      </c>
      <c r="C100" s="1" t="s">
        <v>385</v>
      </c>
      <c r="D100" s="2">
        <f>DATE(105,10,3)</f>
        <v>38628</v>
      </c>
      <c r="E100" s="2">
        <f>DATE(106,9,29)</f>
        <v>38989</v>
      </c>
      <c r="F100" s="5">
        <f>DATE(109,9,30)</f>
        <v>40086</v>
      </c>
      <c r="G100" s="12">
        <v>758</v>
      </c>
      <c r="H100" s="10" t="s">
        <v>386</v>
      </c>
      <c r="I100" s="10" t="s">
        <v>387</v>
      </c>
      <c r="J100" s="10" t="s">
        <v>19</v>
      </c>
      <c r="K100" s="1" t="s">
        <v>391</v>
      </c>
      <c r="L100" s="1" t="s">
        <v>14</v>
      </c>
      <c r="M100" s="1" t="s">
        <v>14</v>
      </c>
    </row>
    <row r="101" spans="1:13" ht="12">
      <c r="A101" s="3">
        <v>99</v>
      </c>
      <c r="B101" s="1" t="s">
        <v>392</v>
      </c>
      <c r="C101" s="1" t="s">
        <v>385</v>
      </c>
      <c r="D101" s="2">
        <f>DATE(106,10,2)</f>
        <v>38992</v>
      </c>
      <c r="E101" s="2">
        <f>DATE(107,9,28)</f>
        <v>39353</v>
      </c>
      <c r="F101" s="5">
        <f>DATE(109,9,30)</f>
        <v>40086</v>
      </c>
      <c r="G101" s="12">
        <v>509</v>
      </c>
      <c r="H101" s="10" t="s">
        <v>386</v>
      </c>
      <c r="I101" s="10" t="s">
        <v>387</v>
      </c>
      <c r="J101" s="10" t="s">
        <v>19</v>
      </c>
      <c r="K101" s="1" t="s">
        <v>393</v>
      </c>
      <c r="L101" s="1" t="s">
        <v>14</v>
      </c>
      <c r="M101" s="1" t="s">
        <v>14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2005-01-18T18:49:28Z</cp:lastPrinted>
  <dcterms:created xsi:type="dcterms:W3CDTF">2005-01-18T17:12:02Z</dcterms:created>
  <dcterms:modified xsi:type="dcterms:W3CDTF">2005-01-18T19:04:14Z</dcterms:modified>
  <cp:category/>
  <cp:version/>
  <cp:contentType/>
  <cp:contentStatus/>
</cp:coreProperties>
</file>