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0995" activeTab="0"/>
  </bookViews>
  <sheets>
    <sheet name="Estimate Detail" sheetId="1" r:id="rId1"/>
    <sheet name="database" sheetId="2" r:id="rId2"/>
    <sheet name="ornl manpower profil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<sst xmlns="http://schemas.openxmlformats.org/spreadsheetml/2006/main" count="2840" uniqueCount="495">
  <si>
    <t xml:space="preserve">ACC </t>
  </si>
  <si>
    <t>ACCOUNT TITLE</t>
  </si>
  <si>
    <t>COLE</t>
  </si>
  <si>
    <t>FREUDENBERG</t>
  </si>
  <si>
    <t>GORANSON</t>
  </si>
  <si>
    <t>LOVETT</t>
  </si>
  <si>
    <t>MCGINNIS</t>
  </si>
  <si>
    <t>NELSON</t>
  </si>
  <si>
    <t>WILLIAMSON</t>
  </si>
  <si>
    <t>AUG FY06</t>
  </si>
  <si>
    <t>SEP FY06</t>
  </si>
  <si>
    <t>OCT FY07</t>
  </si>
  <si>
    <t>NOV FY07</t>
  </si>
  <si>
    <t>DEC FY07</t>
  </si>
  <si>
    <t>JAN FY07</t>
  </si>
  <si>
    <t>FEB FY07</t>
  </si>
  <si>
    <t>MAR FY07</t>
  </si>
  <si>
    <t>APR FY07</t>
  </si>
  <si>
    <t>MAY FY07</t>
  </si>
  <si>
    <t>JUN FY07</t>
  </si>
  <si>
    <t>JUL FY07</t>
  </si>
  <si>
    <t>AUG FY07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</si>
  <si>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</si>
  <si>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</si>
  <si>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</si>
  <si>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</si>
  <si>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</si>
  <si>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</si>
  <si>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</si>
  <si>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</si>
  <si>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</si>
  <si>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</si>
  <si>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</si>
  <si>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</si>
  <si>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</si>
  <si>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Total</t>
  </si>
  <si>
    <t>x unnamed</t>
  </si>
  <si>
    <t>total</t>
  </si>
  <si>
    <t xml:space="preserve">   ACT     </t>
  </si>
  <si>
    <t xml:space="preserve">                     TITLE                       </t>
  </si>
  <si>
    <t xml:space="preserve"> OD   </t>
  </si>
  <si>
    <t xml:space="preserve">    ES      </t>
  </si>
  <si>
    <t xml:space="preserve">            </t>
  </si>
  <si>
    <t xml:space="preserve">    EF      </t>
  </si>
  <si>
    <t xml:space="preserve">WBS2  </t>
  </si>
  <si>
    <t>Job</t>
  </si>
  <si>
    <t xml:space="preserve">WBS4  </t>
  </si>
  <si>
    <t>Order</t>
  </si>
  <si>
    <t>Resource Code</t>
  </si>
  <si>
    <t>Name</t>
  </si>
  <si>
    <t xml:space="preserve">     EVQ      </t>
  </si>
  <si>
    <t xml:space="preserve">     BQ       </t>
  </si>
  <si>
    <t>Budget Remaining</t>
  </si>
  <si>
    <t xml:space="preserve">1203-902   </t>
  </si>
  <si>
    <t xml:space="preserve">**dummy task ECP45 ETC update hours              </t>
  </si>
  <si>
    <t xml:space="preserve">A </t>
  </si>
  <si>
    <t xml:space="preserve">  </t>
  </si>
  <si>
    <t xml:space="preserve">12 </t>
  </si>
  <si>
    <t/>
  </si>
  <si>
    <t xml:space="preserve">12FD </t>
  </si>
  <si>
    <t xml:space="preserve">03 </t>
  </si>
  <si>
    <t xml:space="preserve">ORNLEM   </t>
  </si>
  <si>
    <t xml:space="preserve">ORNLEM       </t>
  </si>
  <si>
    <t xml:space="preserve">1203-241   </t>
  </si>
  <si>
    <t xml:space="preserve">Check   FMECA Analyses                           </t>
  </si>
  <si>
    <t xml:space="preserve">1203 </t>
  </si>
  <si>
    <t xml:space="preserve">04 </t>
  </si>
  <si>
    <t xml:space="preserve">EA//EM   </t>
  </si>
  <si>
    <t xml:space="preserve">             </t>
  </si>
  <si>
    <t xml:space="preserve">1203-271   </t>
  </si>
  <si>
    <t xml:space="preserve">Develop Assy Rqmnts spec &amp; process               </t>
  </si>
  <si>
    <t xml:space="preserve">05 </t>
  </si>
  <si>
    <t xml:space="preserve">GORANSON     </t>
  </si>
  <si>
    <t xml:space="preserve">1203-801   </t>
  </si>
  <si>
    <t xml:space="preserve">Issue VV FP final assy dwg                       </t>
  </si>
  <si>
    <t xml:space="preserve">07 </t>
  </si>
  <si>
    <t xml:space="preserve">1203-820   </t>
  </si>
  <si>
    <t xml:space="preserve">BOM for all VV parts                             </t>
  </si>
  <si>
    <t xml:space="preserve">08 </t>
  </si>
  <si>
    <t xml:space="preserve">1203-803   </t>
  </si>
  <si>
    <t xml:space="preserve">Issue VV final assy dwg                          </t>
  </si>
  <si>
    <t xml:space="preserve">10 </t>
  </si>
  <si>
    <t xml:space="preserve">1203-804   </t>
  </si>
  <si>
    <t xml:space="preserve">Issue VV assy specification                      </t>
  </si>
  <si>
    <t xml:space="preserve">11 </t>
  </si>
  <si>
    <t xml:space="preserve">1203-802   </t>
  </si>
  <si>
    <t xml:space="preserve">Issue spacer field machining dwgs                </t>
  </si>
  <si>
    <t xml:space="preserve">124-037    </t>
  </si>
  <si>
    <t xml:space="preserve"> PPPL Fab VV Vert. Supports  (log # M1091)       </t>
  </si>
  <si>
    <t xml:space="preserve">1204 </t>
  </si>
  <si>
    <t xml:space="preserve">124  </t>
  </si>
  <si>
    <t xml:space="preserve">14 </t>
  </si>
  <si>
    <t xml:space="preserve">EM//TB   </t>
  </si>
  <si>
    <t xml:space="preserve">124-030L   </t>
  </si>
  <si>
    <t xml:space="preserve">SPEA VV Lateral Supports WBS 124                 </t>
  </si>
  <si>
    <t xml:space="preserve">124L </t>
  </si>
  <si>
    <t xml:space="preserve">20 </t>
  </si>
  <si>
    <t xml:space="preserve">         </t>
  </si>
  <si>
    <t xml:space="preserve">124-036.9L </t>
  </si>
  <si>
    <t xml:space="preserve">Award VV Lateral Supports WBS 124                </t>
  </si>
  <si>
    <t xml:space="preserve">21 </t>
  </si>
  <si>
    <t xml:space="preserve">124-037L   </t>
  </si>
  <si>
    <t xml:space="preserve"> VV Lateral Supports Fab by PPPL WBS 124         </t>
  </si>
  <si>
    <t xml:space="preserve">22 </t>
  </si>
  <si>
    <t xml:space="preserve">124-110    </t>
  </si>
  <si>
    <t xml:space="preserve">SPEA VV NB port cover                            </t>
  </si>
  <si>
    <t xml:space="preserve">124P </t>
  </si>
  <si>
    <t xml:space="preserve">124-120    </t>
  </si>
  <si>
    <t xml:space="preserve">Award VV NB port cover                           </t>
  </si>
  <si>
    <t xml:space="preserve">124-130    </t>
  </si>
  <si>
    <t xml:space="preserve"> VV NB port cover Fabrication (for 3 inconnel    </t>
  </si>
  <si>
    <t xml:space="preserve">41       </t>
  </si>
  <si>
    <t xml:space="preserve">123-037    </t>
  </si>
  <si>
    <t xml:space="preserve">Fabricate and Deliver H/C Tubing WBS 123         </t>
  </si>
  <si>
    <t xml:space="preserve">123  </t>
  </si>
  <si>
    <t xml:space="preserve">35 </t>
  </si>
  <si>
    <t xml:space="preserve">125-037    </t>
  </si>
  <si>
    <t xml:space="preserve">Procurement Local I&amp;C WBS 125                    </t>
  </si>
  <si>
    <t xml:space="preserve">125  </t>
  </si>
  <si>
    <t xml:space="preserve">91 </t>
  </si>
  <si>
    <t xml:space="preserve">122-055    </t>
  </si>
  <si>
    <t xml:space="preserve">SPEA Blanket Thermal Insulation                  </t>
  </si>
  <si>
    <t xml:space="preserve">122  </t>
  </si>
  <si>
    <t xml:space="preserve">122-060    </t>
  </si>
  <si>
    <t xml:space="preserve">Award Blanket Thermal Insulation                 </t>
  </si>
  <si>
    <t xml:space="preserve">122-065    </t>
  </si>
  <si>
    <t xml:space="preserve">Deliver Blanket Thermal Insulation               </t>
  </si>
  <si>
    <t xml:space="preserve">13 </t>
  </si>
  <si>
    <t xml:space="preserve">123-040    </t>
  </si>
  <si>
    <t xml:space="preserve">Issue RFQ &amp; Select Vendor insul boots WBS 122    </t>
  </si>
  <si>
    <t xml:space="preserve">123-045    </t>
  </si>
  <si>
    <t xml:space="preserve">Award Insulation Boots WBS 122                   </t>
  </si>
  <si>
    <t xml:space="preserve">23 </t>
  </si>
  <si>
    <t xml:space="preserve">123-050    </t>
  </si>
  <si>
    <t xml:space="preserve">Fabricate&amp; Deliver Insul Boots WBS 122           </t>
  </si>
  <si>
    <t xml:space="preserve">24 </t>
  </si>
  <si>
    <t xml:space="preserve">122-035    </t>
  </si>
  <si>
    <t xml:space="preserve">SPEA Port Thermal Insulation                     </t>
  </si>
  <si>
    <t xml:space="preserve">32 </t>
  </si>
  <si>
    <t xml:space="preserve">122-041    </t>
  </si>
  <si>
    <t xml:space="preserve">Award Port Thermal Insulation                    </t>
  </si>
  <si>
    <t xml:space="preserve">33 </t>
  </si>
  <si>
    <t xml:space="preserve">122-051    </t>
  </si>
  <si>
    <t xml:space="preserve">Deliver Port Thermal Insulation                  </t>
  </si>
  <si>
    <t xml:space="preserve">34 </t>
  </si>
  <si>
    <t xml:space="preserve">122-030    </t>
  </si>
  <si>
    <t xml:space="preserve">SPEA Pourable Insulation                         </t>
  </si>
  <si>
    <t xml:space="preserve">42 </t>
  </si>
  <si>
    <t xml:space="preserve">122-036.9  </t>
  </si>
  <si>
    <t xml:space="preserve">Award Pourable Insulation                        </t>
  </si>
  <si>
    <t xml:space="preserve">43 </t>
  </si>
  <si>
    <t xml:space="preserve">122-037    </t>
  </si>
  <si>
    <t xml:space="preserve">Deliver Pourable Insulation                      </t>
  </si>
  <si>
    <t xml:space="preserve">44 </t>
  </si>
  <si>
    <t xml:space="preserve">122-031    </t>
  </si>
  <si>
    <t xml:space="preserve">Title III engr WBS 12 non vvsa                   </t>
  </si>
  <si>
    <t xml:space="preserve">     </t>
  </si>
  <si>
    <t xml:space="preserve">99 </t>
  </si>
  <si>
    <t xml:space="preserve">EM//EM   </t>
  </si>
  <si>
    <t xml:space="preserve">DUDEK        </t>
  </si>
  <si>
    <t xml:space="preserve">VVSA-021   </t>
  </si>
  <si>
    <t xml:space="preserve">Sect 5.1.2 Fiducials                             </t>
  </si>
  <si>
    <t xml:space="preserve">1250 </t>
  </si>
  <si>
    <t xml:space="preserve">VVS1 </t>
  </si>
  <si>
    <t xml:space="preserve">   </t>
  </si>
  <si>
    <t xml:space="preserve">VVSA-561   </t>
  </si>
  <si>
    <t xml:space="preserve">Vacuum Test                                      </t>
  </si>
  <si>
    <t xml:space="preserve">VVS8 </t>
  </si>
  <si>
    <t xml:space="preserve">48       </t>
  </si>
  <si>
    <t xml:space="preserve">VVSA-571   </t>
  </si>
  <si>
    <t xml:space="preserve">Cut Off Ports                                    </t>
  </si>
  <si>
    <t xml:space="preserve">15 </t>
  </si>
  <si>
    <t xml:space="preserve">VVSA-551   </t>
  </si>
  <si>
    <t xml:space="preserve">Final Machine                                    </t>
  </si>
  <si>
    <t xml:space="preserve">16 </t>
  </si>
  <si>
    <t xml:space="preserve">VVSA-552   </t>
  </si>
  <si>
    <t xml:space="preserve">Tack on ports,weld on tube&amp;block                 </t>
  </si>
  <si>
    <t xml:space="preserve">VVSA-581   </t>
  </si>
  <si>
    <t xml:space="preserve">Inspect &amp; Pack for Shipping LI#4                 </t>
  </si>
  <si>
    <t xml:space="preserve">17 </t>
  </si>
  <si>
    <t xml:space="preserve">VVSA-591   </t>
  </si>
  <si>
    <t xml:space="preserve">Receive at PPPL                                  </t>
  </si>
  <si>
    <t xml:space="preserve">18 </t>
  </si>
  <si>
    <t xml:space="preserve">121-160    </t>
  </si>
  <si>
    <t xml:space="preserve">S005243 #13-Receipt/Acceptance of 3rd VVSA       </t>
  </si>
  <si>
    <t xml:space="preserve">19 </t>
  </si>
  <si>
    <t xml:space="preserve">121-038.1  </t>
  </si>
  <si>
    <t xml:space="preserve">All Vacuum Vessel Sections (3) Delivered         </t>
  </si>
  <si>
    <t xml:space="preserve">VVSA-601   </t>
  </si>
  <si>
    <t xml:space="preserve">Pack Tooling for PPPL                            </t>
  </si>
  <si>
    <t xml:space="preserve">VVS9 </t>
  </si>
  <si>
    <t xml:space="preserve">VVSA-611   </t>
  </si>
  <si>
    <t xml:space="preserve">PPPL Receive  Tooling                            </t>
  </si>
  <si>
    <t xml:space="preserve">121-165    </t>
  </si>
  <si>
    <t xml:space="preserve">S005243 #14-Delivery of tooling,dies,fixtures    </t>
  </si>
  <si>
    <t xml:space="preserve">121-034.1  </t>
  </si>
  <si>
    <t xml:space="preserve">VVSA Title III engr                              </t>
  </si>
  <si>
    <t xml:space="preserve">ORNL35   </t>
  </si>
  <si>
    <t xml:space="preserve">121-038    </t>
  </si>
  <si>
    <t xml:space="preserve">assist MTM testing of VVSA                       </t>
  </si>
  <si>
    <t xml:space="preserve">1403-206C  </t>
  </si>
  <si>
    <t xml:space="preserve">Finish Cooling, Electr Schematic Dwgs - Type C   </t>
  </si>
  <si>
    <t xml:space="preserve">1403 </t>
  </si>
  <si>
    <t xml:space="preserve">TCCO </t>
  </si>
  <si>
    <t xml:space="preserve">96 </t>
  </si>
  <si>
    <t xml:space="preserve">WILLIAMSON   </t>
  </si>
  <si>
    <t xml:space="preserve">1403-223C  </t>
  </si>
  <si>
    <t xml:space="preserve">Finish Top level coil assembly-Type C            </t>
  </si>
  <si>
    <t xml:space="preserve">1403-224C  </t>
  </si>
  <si>
    <t xml:space="preserve">Finish VPI mold assembly-Type C                  </t>
  </si>
  <si>
    <t xml:space="preserve">1403-58C   </t>
  </si>
  <si>
    <t xml:space="preserve">Check and promote clamp, I&amp;C assy dwgs -Type C   </t>
  </si>
  <si>
    <t xml:space="preserve">COLE         </t>
  </si>
  <si>
    <t xml:space="preserve">1403-40.2Z </t>
  </si>
  <si>
    <t xml:space="preserve">Update nonlinear winding pack analysis           </t>
  </si>
  <si>
    <t xml:space="preserve">97 </t>
  </si>
  <si>
    <t xml:space="preserve">FREUDENBERG  </t>
  </si>
  <si>
    <t xml:space="preserve">NELSON       </t>
  </si>
  <si>
    <t xml:space="preserve">41MYATT  </t>
  </si>
  <si>
    <t xml:space="preserve">MYATT        </t>
  </si>
  <si>
    <t xml:space="preserve">1403-42A1  </t>
  </si>
  <si>
    <t xml:space="preserve">Document analysis of MCWF eddy currents          </t>
  </si>
  <si>
    <t xml:space="preserve">1403-42H   </t>
  </si>
  <si>
    <t xml:space="preserve">calculate EM loads at leads                      </t>
  </si>
  <si>
    <t xml:space="preserve">1403-47A   </t>
  </si>
  <si>
    <t xml:space="preserve">Update,review &amp; approve FMECA                    </t>
  </si>
  <si>
    <t xml:space="preserve">1403-47C   </t>
  </si>
  <si>
    <t xml:space="preserve">Perform cool-down/warmup analysis                </t>
  </si>
  <si>
    <t xml:space="preserve">FAN          </t>
  </si>
  <si>
    <t xml:space="preserve">1403-50A   </t>
  </si>
  <si>
    <t xml:space="preserve">Check inductance calculation                     </t>
  </si>
  <si>
    <t xml:space="preserve">1403-60C   </t>
  </si>
  <si>
    <t xml:space="preserve">Finish Update design basis document  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</si>
  <si>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</si>
  <si>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</si>
  <si>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</si>
  <si>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</si>
  <si>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1403-90    </t>
  </si>
  <si>
    <t xml:space="preserve">Compile Material properties database             </t>
  </si>
  <si>
    <t xml:space="preserve">1403-990   </t>
  </si>
  <si>
    <t xml:space="preserve">Analysis of C1 test data*not budgeted*           </t>
  </si>
  <si>
    <t xml:space="preserve">1416A-105  </t>
  </si>
  <si>
    <t xml:space="preserve">Top level models and drawings                    </t>
  </si>
  <si>
    <t xml:space="preserve">1416 </t>
  </si>
  <si>
    <t xml:space="preserve">DWTA </t>
  </si>
  <si>
    <t xml:space="preserve">01 </t>
  </si>
  <si>
    <t xml:space="preserve">LOVETT       </t>
  </si>
  <si>
    <t xml:space="preserve">1416A-109  </t>
  </si>
  <si>
    <t xml:space="preserve">-Check and Promote Top Level Drawings            </t>
  </si>
  <si>
    <t xml:space="preserve">1416A-153  </t>
  </si>
  <si>
    <t xml:space="preserve">Lead Terminals-Splice Plates                     </t>
  </si>
  <si>
    <t xml:space="preserve">02 </t>
  </si>
  <si>
    <t xml:space="preserve">1416A-157  </t>
  </si>
  <si>
    <t xml:space="preserve">Lead Terminals-Check and Promote                 </t>
  </si>
  <si>
    <t xml:space="preserve">1416A-201  </t>
  </si>
  <si>
    <t xml:space="preserve">Coil Post VPI mods-Studs Removed                 </t>
  </si>
  <si>
    <t xml:space="preserve">1416A-205  </t>
  </si>
  <si>
    <t xml:space="preserve">Coil Post VPI mods-Clamp Arrangement             </t>
  </si>
  <si>
    <t xml:space="preserve">1416A-209  </t>
  </si>
  <si>
    <t xml:space="preserve">Coil Post VPI mods-Check and Promote             </t>
  </si>
  <si>
    <t xml:space="preserve">1416A-221  </t>
  </si>
  <si>
    <t xml:space="preserve">I&amp;C-Strain Gages and T/C                         </t>
  </si>
  <si>
    <t xml:space="preserve">1416A-225  </t>
  </si>
  <si>
    <t xml:space="preserve">I&amp;C-Rogowski Coils                               </t>
  </si>
  <si>
    <t xml:space="preserve">1416A-229  </t>
  </si>
  <si>
    <t xml:space="preserve">I&amp;C-Check and Promote                            </t>
  </si>
  <si>
    <t xml:space="preserve">1416A-233  </t>
  </si>
  <si>
    <t xml:space="preserve">Coil-to-Coil -Current Feed Insul, Covers         </t>
  </si>
  <si>
    <t xml:space="preserve">1416A-237  </t>
  </si>
  <si>
    <t xml:space="preserve">Coil-to-Coil -Windings Insul Blanket             </t>
  </si>
  <si>
    <t xml:space="preserve">1416A-241  </t>
  </si>
  <si>
    <t xml:space="preserve">Coil-to-Coil -Bushing Installation               </t>
  </si>
  <si>
    <t xml:space="preserve">1416A-245  </t>
  </si>
  <si>
    <t xml:space="preserve">Coil-to-Coil -Check and Promote                  </t>
  </si>
  <si>
    <t xml:space="preserve">1416A-249  </t>
  </si>
  <si>
    <t xml:space="preserve">-Type-A Coil Asm Specification                   </t>
  </si>
  <si>
    <t xml:space="preserve">1416A-253  </t>
  </si>
  <si>
    <t xml:space="preserve">-Review and Approve Type-A Spec                  </t>
  </si>
  <si>
    <t xml:space="preserve">1416A-257  </t>
  </si>
  <si>
    <t xml:space="preserve">-Update Coil Fab Procedures                      </t>
  </si>
  <si>
    <t xml:space="preserve">1416A-261  </t>
  </si>
  <si>
    <t xml:space="preserve">-Prepare for FDR                                 </t>
  </si>
  <si>
    <t xml:space="preserve">1416B-205A </t>
  </si>
  <si>
    <t xml:space="preserve">Coil Post VPIU mods cooling/electrical           </t>
  </si>
  <si>
    <t xml:space="preserve">DWTB </t>
  </si>
  <si>
    <t xml:space="preserve">1416B-209  </t>
  </si>
  <si>
    <t xml:space="preserve">1416B-221  </t>
  </si>
  <si>
    <t xml:space="preserve">1416B-225  </t>
  </si>
  <si>
    <t xml:space="preserve">1416B-229  </t>
  </si>
  <si>
    <t xml:space="preserve">1416B-233  </t>
  </si>
  <si>
    <t xml:space="preserve">1416B-237  </t>
  </si>
  <si>
    <t xml:space="preserve">1416B-241  </t>
  </si>
  <si>
    <t xml:space="preserve">1416B-245  </t>
  </si>
  <si>
    <t xml:space="preserve">1416B-249  </t>
  </si>
  <si>
    <t xml:space="preserve">-Type-B Coil Asm Specification                   </t>
  </si>
  <si>
    <t xml:space="preserve">1416B-253  </t>
  </si>
  <si>
    <t xml:space="preserve">-Review and Approve Type-B Spec                  </t>
  </si>
  <si>
    <t xml:space="preserve">1416B-257  </t>
  </si>
  <si>
    <t xml:space="preserve">1416B-261  </t>
  </si>
  <si>
    <t xml:space="preserve">-Prepare and Conduct FDR                         </t>
  </si>
  <si>
    <t xml:space="preserve">1416B-262  </t>
  </si>
  <si>
    <t xml:space="preserve">TYPE A, B &amp; C closeout FDR                       </t>
  </si>
  <si>
    <t xml:space="preserve">1416B-265  </t>
  </si>
  <si>
    <t xml:space="preserve">-Resolve FDR Comments                            </t>
  </si>
  <si>
    <t xml:space="preserve">1416B-201  </t>
  </si>
  <si>
    <t xml:space="preserve">00 </t>
  </si>
  <si>
    <t xml:space="preserve">1416B-205  </t>
  </si>
  <si>
    <t xml:space="preserve">1416B-105  </t>
  </si>
  <si>
    <t xml:space="preserve">1416B-109  </t>
  </si>
  <si>
    <t xml:space="preserve">-Check and Promote top level drawings            </t>
  </si>
  <si>
    <t xml:space="preserve">1416B-149  </t>
  </si>
  <si>
    <t xml:space="preserve">Lead Block Assy-Check and Promote                </t>
  </si>
  <si>
    <t xml:space="preserve">1416B-153  </t>
  </si>
  <si>
    <t xml:space="preserve">1416B-157  </t>
  </si>
  <si>
    <t xml:space="preserve">172-031.1  </t>
  </si>
  <si>
    <t xml:space="preserve">Title III engr                                   </t>
  </si>
  <si>
    <t xml:space="preserve">1411 </t>
  </si>
  <si>
    <t xml:space="preserve">14T  </t>
  </si>
  <si>
    <t xml:space="preserve">HEITZENROED  </t>
  </si>
  <si>
    <t xml:space="preserve">35       </t>
  </si>
  <si>
    <t xml:space="preserve">TRAVEL       </t>
  </si>
  <si>
    <t xml:space="preserve">WINDFIX    </t>
  </si>
  <si>
    <t xml:space="preserve">3rd winding fixture                              </t>
  </si>
  <si>
    <t xml:space="preserve">1460 </t>
  </si>
  <si>
    <t xml:space="preserve">EA//SM   </t>
  </si>
  <si>
    <t xml:space="preserve">COILTEST   </t>
  </si>
  <si>
    <t xml:space="preserve">Additional coil testing-TESTING                  </t>
  </si>
  <si>
    <t xml:space="preserve">1465 </t>
  </si>
  <si>
    <t xml:space="preserve">EE//EM   </t>
  </si>
  <si>
    <t xml:space="preserve">EE//SM   </t>
  </si>
  <si>
    <t xml:space="preserve">COILTESTA  </t>
  </si>
  <si>
    <t xml:space="preserve">Coil testing-Qualify optical strain gages        </t>
  </si>
  <si>
    <t xml:space="preserve">COILTESTB  </t>
  </si>
  <si>
    <t xml:space="preserve">Document Report                                  </t>
  </si>
  <si>
    <t xml:space="preserve">TITLE3W    </t>
  </si>
  <si>
    <t xml:space="preserve">Titel III Design ORNL- Component Fab &amp;  WINDING  </t>
  </si>
  <si>
    <t xml:space="preserve">1451 </t>
  </si>
  <si>
    <t xml:space="preserve">LABR </t>
  </si>
  <si>
    <t xml:space="preserve">51 </t>
  </si>
  <si>
    <t xml:space="preserve">1403-PDR   </t>
  </si>
  <si>
    <t xml:space="preserve">PDR                                              </t>
  </si>
  <si>
    <t xml:space="preserve">1421 </t>
  </si>
  <si>
    <t xml:space="preserve">DW08 </t>
  </si>
  <si>
    <t xml:space="preserve">98 </t>
  </si>
  <si>
    <t xml:space="preserve">1403-FDR   </t>
  </si>
  <si>
    <t xml:space="preserve">FDR                                              </t>
  </si>
  <si>
    <t xml:space="preserve">IH1-005    </t>
  </si>
  <si>
    <t xml:space="preserve">  review requirements, as-built casting features </t>
  </si>
  <si>
    <t xml:space="preserve">IH1  </t>
  </si>
  <si>
    <t xml:space="preserve">IH1-010    </t>
  </si>
  <si>
    <t xml:space="preserve">  obtain results from mockup test                </t>
  </si>
  <si>
    <t xml:space="preserve">IH1-015    </t>
  </si>
  <si>
    <t xml:space="preserve">    Review for approval to proceed               </t>
  </si>
  <si>
    <t xml:space="preserve">IH1-020    </t>
  </si>
  <si>
    <t xml:space="preserve">  Prepare dwgs and release                       </t>
  </si>
  <si>
    <t xml:space="preserve">MCGINNIS     </t>
  </si>
  <si>
    <t xml:space="preserve">IH1-025    </t>
  </si>
  <si>
    <t xml:space="preserve">  Issue dwgs for Fabrication                     </t>
  </si>
  <si>
    <t xml:space="preserve">IH2-005    </t>
  </si>
  <si>
    <t xml:space="preserve">  review and finalize structural requirements    </t>
  </si>
  <si>
    <t xml:space="preserve">IH2  </t>
  </si>
  <si>
    <t xml:space="preserve">IH2-010    </t>
  </si>
  <si>
    <t xml:space="preserve">  select and test concept(s)                     </t>
  </si>
  <si>
    <t xml:space="preserve">IH2-015    </t>
  </si>
  <si>
    <t xml:space="preserve">  Finalize / select design (config and materials </t>
  </si>
  <si>
    <t xml:space="preserve">IH2-020    </t>
  </si>
  <si>
    <t xml:space="preserve">IH2-025    </t>
  </si>
  <si>
    <t xml:space="preserve">IH2-030    </t>
  </si>
  <si>
    <t xml:space="preserve">IH3-005    </t>
  </si>
  <si>
    <t xml:space="preserve">IH3  </t>
  </si>
  <si>
    <t xml:space="preserve">IH3-010    </t>
  </si>
  <si>
    <t xml:space="preserve">  Finalize concept                               </t>
  </si>
  <si>
    <t xml:space="preserve">IH3-015    </t>
  </si>
  <si>
    <t xml:space="preserve">IH3-020    </t>
  </si>
  <si>
    <t xml:space="preserve">  Prepare tooling specs, drawings                </t>
  </si>
  <si>
    <t xml:space="preserve">IH3-025    </t>
  </si>
  <si>
    <t xml:space="preserve">  Issue dwgs for Procuremenet/ Fabrication       </t>
  </si>
  <si>
    <t xml:space="preserve">IH4-005    </t>
  </si>
  <si>
    <t xml:space="preserve">  Complete testing                               </t>
  </si>
  <si>
    <t xml:space="preserve">IH4  </t>
  </si>
  <si>
    <t xml:space="preserve">IH4-010    </t>
  </si>
  <si>
    <t xml:space="preserve">  Finalize design, select material               </t>
  </si>
  <si>
    <t xml:space="preserve">IH4-015    </t>
  </si>
  <si>
    <t xml:space="preserve">    Review for approval to prceed                </t>
  </si>
  <si>
    <t xml:space="preserve">IH4-020    </t>
  </si>
  <si>
    <t xml:space="preserve">IH4-025    </t>
  </si>
  <si>
    <t xml:space="preserve">IH5-005    </t>
  </si>
  <si>
    <t xml:space="preserve">  Identify all stud, bushing, sperical washer, i </t>
  </si>
  <si>
    <t xml:space="preserve">IH5  </t>
  </si>
  <si>
    <t xml:space="preserve">IH5-010    </t>
  </si>
  <si>
    <t xml:space="preserve">  Prepare advanced procurement dwgs calling out  </t>
  </si>
  <si>
    <t xml:space="preserve">IH5-015    </t>
  </si>
  <si>
    <t xml:space="preserve">  Issue specs/dwgs for procurement (studs, bushi </t>
  </si>
  <si>
    <t xml:space="preserve">IH5-020    </t>
  </si>
  <si>
    <t xml:space="preserve">  Finish 3-coil, 6 coil, and 18 coil top assembl </t>
  </si>
  <si>
    <t xml:space="preserve">IH5-025    </t>
  </si>
  <si>
    <t xml:space="preserve">  Develop as-built model and drawing format      </t>
  </si>
  <si>
    <t xml:space="preserve">IH5-030    </t>
  </si>
  <si>
    <t xml:space="preserve">  Complete assembly spec                         </t>
  </si>
  <si>
    <t xml:space="preserve">IH6-005    </t>
  </si>
  <si>
    <t xml:space="preserve">  Finalize requirements                          </t>
  </si>
  <si>
    <t xml:space="preserve">IH6  </t>
  </si>
  <si>
    <t xml:space="preserve">IH6-010    </t>
  </si>
  <si>
    <t xml:space="preserve">  finalize design                                </t>
  </si>
  <si>
    <t xml:space="preserve">IH6-015    </t>
  </si>
  <si>
    <t xml:space="preserve">IH6-020    </t>
  </si>
  <si>
    <t xml:space="preserve">IH6-025    </t>
  </si>
  <si>
    <t xml:space="preserve">IH1-030    </t>
  </si>
  <si>
    <t xml:space="preserve">  Bid, Award, Procure or Fabricate               </t>
  </si>
  <si>
    <t xml:space="preserve">1431 </t>
  </si>
  <si>
    <t xml:space="preserve">IH1-035    </t>
  </si>
  <si>
    <t xml:space="preserve">  Receive and inspect 3 point positioning hardwa </t>
  </si>
  <si>
    <t xml:space="preserve">1421-410   </t>
  </si>
  <si>
    <t xml:space="preserve">  Bid, Award, Procure or Fab Bladders            </t>
  </si>
  <si>
    <t xml:space="preserve">25 </t>
  </si>
  <si>
    <t xml:space="preserve">M&amp;S          </t>
  </si>
  <si>
    <t xml:space="preserve">IH2-040    </t>
  </si>
  <si>
    <t xml:space="preserve">  Receive and inspect Bladders                   </t>
  </si>
  <si>
    <t xml:space="preserve">26 </t>
  </si>
  <si>
    <t xml:space="preserve">IH3-030    </t>
  </si>
  <si>
    <t xml:space="preserve">  Bid, Award, Procure or Fab Bolt Reaming        </t>
  </si>
  <si>
    <t xml:space="preserve">IH3-035    </t>
  </si>
  <si>
    <t xml:space="preserve">  Receive and inspect Bolt Reaming               </t>
  </si>
  <si>
    <t xml:space="preserve">IH4-035    </t>
  </si>
  <si>
    <t xml:space="preserve">  Receive and inspect Shear plate and shims      </t>
  </si>
  <si>
    <t xml:space="preserve">1421-210   </t>
  </si>
  <si>
    <t xml:space="preserve">  Bid, Award, Procure Shear plate and shims      </t>
  </si>
  <si>
    <t xml:space="preserve">1421-411   </t>
  </si>
  <si>
    <t xml:space="preserve">Deliverhardware for inboard joint friciton       </t>
  </si>
  <si>
    <t xml:space="preserve">1421-110   </t>
  </si>
  <si>
    <t xml:space="preserve">  Bid, Award, Procure stud, bushing, sperical wa </t>
  </si>
  <si>
    <t xml:space="preserve">IH5-040    </t>
  </si>
  <si>
    <t xml:space="preserve">  Receive and inspect stud, bushing, sperical wa </t>
  </si>
  <si>
    <t xml:space="preserve">IH6-030    </t>
  </si>
  <si>
    <t xml:space="preserve">  Bid, Award, Procure or Fab Other insulation    </t>
  </si>
  <si>
    <t xml:space="preserve">IH6-035    </t>
  </si>
  <si>
    <t xml:space="preserve">  Receive and inspect Other insulation over wing </t>
  </si>
  <si>
    <t xml:space="preserve">191-001    </t>
  </si>
  <si>
    <t xml:space="preserve">Title I design WBS 161 LN2 manifolds&amp;piping      </t>
  </si>
  <si>
    <t xml:space="preserve">1601 </t>
  </si>
  <si>
    <t xml:space="preserve">161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</si>
  <si>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</si>
  <si>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</si>
  <si>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</si>
  <si>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</si>
  <si>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</si>
  <si>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</si>
  <si>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191-038    </t>
  </si>
  <si>
    <t xml:space="preserve">PDR#17                                           </t>
  </si>
  <si>
    <t xml:space="preserve">191-041    </t>
  </si>
  <si>
    <t xml:space="preserve">LN2 Manifolds &amp; ppg Fab/assy/instl WBS 161       </t>
  </si>
  <si>
    <t xml:space="preserve">EM//SM   </t>
  </si>
  <si>
    <t xml:space="preserve">FOM TECHS SM </t>
  </si>
  <si>
    <t xml:space="preserve">FOM TECHS TB </t>
  </si>
  <si>
    <t xml:space="preserve">191-042    </t>
  </si>
  <si>
    <t xml:space="preserve">PDR #17,25,3                                     </t>
  </si>
  <si>
    <t xml:space="preserve">132-000    </t>
  </si>
  <si>
    <t xml:space="preserve">PDR #17 &amp; 25                                     </t>
  </si>
  <si>
    <t xml:space="preserve">162  </t>
  </si>
  <si>
    <t xml:space="preserve">132-001    </t>
  </si>
  <si>
    <t xml:space="preserve">Title I design WBS 162 Coil leads             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</si>
  <si>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</si>
  <si>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</si>
  <si>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</si>
  <si>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</si>
  <si>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</si>
  <si>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</si>
  <si>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163.001    </t>
  </si>
  <si>
    <t xml:space="preserve">Title I design WBS 163 Coil protection           </t>
  </si>
  <si>
    <t xml:space="preserve">163  </t>
  </si>
  <si>
    <t xml:space="preserve">R///RM2  </t>
  </si>
  <si>
    <t xml:space="preserve">163.011    </t>
  </si>
  <si>
    <t xml:space="preserve">Title II design   WBS 163 Coil protection        </t>
  </si>
  <si>
    <t xml:space="preserve">0191-6     </t>
  </si>
  <si>
    <t xml:space="preserve">LOE-FY06 WBS 191                                 </t>
  </si>
  <si>
    <t xml:space="preserve">1901 </t>
  </si>
  <si>
    <t xml:space="preserve">191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</si>
  <si>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</si>
  <si>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</si>
  <si>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</si>
  <si>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</si>
  <si>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</si>
  <si>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</si>
  <si>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0192-6     </t>
  </si>
  <si>
    <t xml:space="preserve">LOE-FY06 WBS 192                                 </t>
  </si>
  <si>
    <t xml:space="preserve">192  </t>
  </si>
  <si>
    <t xml:space="preserve">ORNL41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</si>
  <si>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</si>
  <si>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</si>
  <si>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</si>
  <si>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</si>
  <si>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</si>
  <si>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</si>
  <si>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>Sum of Budget Remaining</t>
  </si>
  <si>
    <t>(blank)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</si>
</sst>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'ornl manpower profile'!$B$2</c:f>
              <c:strCache>
                <c:ptCount val="1"/>
                <c:pt idx="0">
                  <c:v>COLE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profile'!$C$2:$AB$2</c:f>
              <c:numCache>
                <c:ptCount val="26"/>
                <c:pt idx="0">
                  <c:v>1.8</c:v>
                </c:pt>
                <c:pt idx="1">
                  <c:v>1.3</c:v>
                </c:pt>
                <c:pt idx="2">
                  <c:v>1.1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'ornl manpower profile'!$B$3</c:f>
              <c:strCache>
                <c:ptCount val="1"/>
                <c:pt idx="0">
                  <c:v>FREUDENBERG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profile'!$C$3:$AB$3</c:f>
              <c:numCache>
                <c:ptCount val="26"/>
                <c:pt idx="0">
                  <c:v>0.2</c:v>
                </c:pt>
                <c:pt idx="1">
                  <c:v>0.9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'ornl manpower profile'!$B$4</c:f>
              <c:strCache>
                <c:ptCount val="1"/>
                <c:pt idx="0">
                  <c:v>GORANSON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profile'!$C$4:$AB$4</c:f>
              <c:numCache>
                <c:ptCount val="26"/>
                <c:pt idx="0">
                  <c:v>0.6</c:v>
                </c:pt>
                <c:pt idx="1">
                  <c:v>1.1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'ornl manpower profile'!$B$5</c:f>
              <c:strCache>
                <c:ptCount val="1"/>
                <c:pt idx="0">
                  <c:v>LOVETT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profile'!$C$5:$AB$5</c:f>
              <c:numCache>
                <c:ptCount val="26"/>
                <c:pt idx="0">
                  <c:v>1.2</c:v>
                </c:pt>
                <c:pt idx="1">
                  <c:v>1.5</c:v>
                </c:pt>
                <c:pt idx="2">
                  <c:v>1.1</c:v>
                </c:pt>
                <c:pt idx="3">
                  <c:v>0.5</c:v>
                </c:pt>
                <c:pt idx="4">
                  <c:v>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'ornl manpower profile'!$B$6</c:f>
              <c:strCache>
                <c:ptCount val="1"/>
                <c:pt idx="0">
                  <c:v>MCGINNIS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profile'!$C$6:$AB$6</c:f>
              <c:numCache>
                <c:ptCount val="26"/>
                <c:pt idx="1">
                  <c:v>0.2</c:v>
                </c:pt>
                <c:pt idx="2">
                  <c:v>0.5</c:v>
                </c:pt>
                <c:pt idx="3">
                  <c:v>1.2</c:v>
                </c:pt>
                <c:pt idx="4">
                  <c:v>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'ornl manpower profile'!$B$7</c:f>
              <c:strCache>
                <c:ptCount val="1"/>
                <c:pt idx="0">
                  <c:v>NELSON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profile'!$C$7:$AB$7</c:f>
              <c:numCache>
                <c:ptCount val="2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'ornl manpower profile'!$B$8</c:f>
              <c:strCache>
                <c:ptCount val="1"/>
                <c:pt idx="0">
                  <c:v>WILLIAMSON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profile'!$C$8:$AB$8</c:f>
              <c:numCache>
                <c:ptCount val="26"/>
                <c:pt idx="0">
                  <c:v>0.5</c:v>
                </c:pt>
                <c:pt idx="1">
                  <c:v>1.9</c:v>
                </c:pt>
                <c:pt idx="2">
                  <c:v>0.6</c:v>
                </c:pt>
                <c:pt idx="3">
                  <c:v>0.4</c:v>
                </c:pt>
                <c:pt idx="4">
                  <c:v>0.4</c:v>
                </c:pt>
                <c:pt idx="5">
                  <c:v>0.7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1.6</c:v>
                </c:pt>
                <c:pt idx="12">
                  <c:v>1.8</c:v>
                </c:pt>
                <c:pt idx="13">
                  <c:v>1.5</c:v>
                </c:pt>
                <c:pt idx="14">
                  <c:v>2.5</c:v>
                </c:pt>
                <c:pt idx="15">
                  <c:v>2.2</c:v>
                </c:pt>
                <c:pt idx="16">
                  <c:v>1.5</c:v>
                </c:pt>
                <c:pt idx="17">
                  <c:v>1.4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0.6</c:v>
                </c:pt>
                <c:pt idx="24">
                  <c:v>0.3</c:v>
                </c:pt>
                <c:pt idx="25">
                  <c:v>0.3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'ornl manpower profile'!$B$9</c:f>
              <c:strCache>
                <c:ptCount val="1"/>
                <c:pt idx="0">
                  <c:v>x unnamed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profile'!$C$9:$AB$9</c:f>
              <c:numCache>
                <c:ptCount val="26"/>
                <c:pt idx="0">
                  <c:v>0.7</c:v>
                </c:pt>
                <c:pt idx="2">
                  <c:v>0.1</c:v>
                </c:pt>
                <c:pt idx="3">
                  <c:v>0.1</c:v>
                </c:pt>
                <c:pt idx="4">
                  <c:v>2.2</c:v>
                </c:pt>
                <c:pt idx="5">
                  <c:v>1.7</c:v>
                </c:pt>
                <c:pt idx="6">
                  <c:v>0.3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'ornl manpower profile'!$B$10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profile'!$C$10:$AB$10</c:f>
              <c:numCache>
                <c:ptCount val="26"/>
              </c:numCache>
            </c:numRef>
          </c:val>
          <c:smooth val="0"/>
        </c:ser>
        <c:ser>
          <c:idx val="9"/>
          <c:order val="9"/>
          <c:tx>
            <c:strRef>
              <c:f>'ornl manpower profile'!$B$11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'ornl manpower profile'!$C$1:$AB$1</c:f>
              <c:strCache>
                <c:ptCount val="26"/>
                <c:pt idx="0">
                  <c:v>AUG FY06</c:v>
                </c:pt>
                <c:pt idx="1">
                  <c:v>SEP FY06</c:v>
                </c:pt>
                <c:pt idx="2">
                  <c:v>OCT FY07</c:v>
                </c:pt>
                <c:pt idx="3">
                  <c:v>NOV FY07</c:v>
                </c:pt>
                <c:pt idx="4">
                  <c:v>DEC FY07</c:v>
                </c:pt>
                <c:pt idx="5">
                  <c:v>JAN FY07</c:v>
                </c:pt>
                <c:pt idx="6">
                  <c:v>FEB FY07</c:v>
                </c:pt>
                <c:pt idx="7">
                  <c:v>MAR FY07</c:v>
                </c:pt>
                <c:pt idx="8">
                  <c:v>APR FY07</c:v>
                </c:pt>
                <c:pt idx="9">
                  <c:v>MAY FY07</c:v>
                </c:pt>
                <c:pt idx="10">
                  <c:v>JUN FY07</c:v>
                </c:pt>
                <c:pt idx="11">
                  <c:v>JUL FY07</c:v>
                </c:pt>
                <c:pt idx="12">
                  <c:v>AUG FY07</c:v>
                </c:pt>
                <c:pt idx="13">
                  <c:v>SEP FY07</c:v>
                </c:pt>
                <c:pt idx="14">
                  <c:v>OCT FY08</c:v>
                </c:pt>
                <c:pt idx="15">
                  <c:v>NOV FY08</c:v>
                </c:pt>
                <c:pt idx="16">
                  <c:v>DEC FY08</c:v>
                </c:pt>
                <c:pt idx="17">
                  <c:v>JAN FY08</c:v>
                </c:pt>
                <c:pt idx="18">
                  <c:v>FEB FY08</c:v>
                </c:pt>
                <c:pt idx="19">
                  <c:v>MAR FY08</c:v>
                </c:pt>
                <c:pt idx="20">
                  <c:v>APR FY08</c:v>
                </c:pt>
                <c:pt idx="21">
                  <c:v>MAY FY08</c:v>
                </c:pt>
                <c:pt idx="22">
                  <c:v>JUN FY08</c:v>
                </c:pt>
                <c:pt idx="23">
                  <c:v>JUL FY08</c:v>
                </c:pt>
                <c:pt idx="24">
                  <c:v>AUG FY08</c:v>
                </c:pt>
                <c:pt idx="25">
                  <c:v>SEP FY08</c:v>
                </c:pt>
              </c:strCache>
            </c:strRef>
          </c:cat>
          <c:val>
            <c:numRef>
              <c:f>'ornl manpower profile'!$C$11:$AB$11</c:f>
              <c:numCache>
                <c:ptCount val="26"/>
                <c:pt idx="0">
                  <c:v>5.6</c:v>
                </c:pt>
                <c:pt idx="1">
                  <c:v>7.5</c:v>
                </c:pt>
                <c:pt idx="2">
                  <c:v>4.699999999999999</c:v>
                </c:pt>
                <c:pt idx="3">
                  <c:v>3.5</c:v>
                </c:pt>
                <c:pt idx="4">
                  <c:v>5.4</c:v>
                </c:pt>
                <c:pt idx="5">
                  <c:v>3.5</c:v>
                </c:pt>
                <c:pt idx="6">
                  <c:v>1.5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2.6</c:v>
                </c:pt>
                <c:pt idx="12">
                  <c:v>2.8</c:v>
                </c:pt>
                <c:pt idx="13">
                  <c:v>2.2</c:v>
                </c:pt>
                <c:pt idx="14">
                  <c:v>3.1</c:v>
                </c:pt>
                <c:pt idx="15">
                  <c:v>2.7</c:v>
                </c:pt>
                <c:pt idx="16">
                  <c:v>1.9</c:v>
                </c:pt>
                <c:pt idx="17">
                  <c:v>2</c:v>
                </c:pt>
                <c:pt idx="18">
                  <c:v>1.7999999999999998</c:v>
                </c:pt>
                <c:pt idx="19">
                  <c:v>1.6</c:v>
                </c:pt>
                <c:pt idx="20">
                  <c:v>1.6</c:v>
                </c:pt>
                <c:pt idx="21">
                  <c:v>1.5</c:v>
                </c:pt>
                <c:pt idx="22">
                  <c:v>1.5</c:v>
                </c:pt>
                <c:pt idx="23">
                  <c:v>1.2</c:v>
                </c:pt>
                <c:pt idx="24">
                  <c:v>0.8999999999999999</c:v>
                </c:pt>
                <c:pt idx="25">
                  <c:v>0.7</c:v>
                </c:pt>
              </c:numCache>
            </c:numRef>
          </c:val>
          <c:smooth val="0"/>
        </c:ser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422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</xdr:row>
      <xdr:rowOff>142875</xdr:rowOff>
    </xdr:from>
    <xdr:to>
      <xdr:col>17</xdr:col>
      <xdr:colOff>142875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23850" y="1924050"/>
        <a:ext cx="10991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239" sheet="database"/>
  </cacheSource>
  <cacheFields count="16">
    <cacheField name="   ACT     ">
      <sharedItems containsMixedTypes="0" count="174">
        <s v="125-037    "/>
        <s v="122-065    "/>
        <s v="123-050    "/>
        <s v="122-051    "/>
        <s v="122-037    "/>
        <s v="WINDFIX    "/>
        <s v="COILTEST   "/>
        <s v="191-037    "/>
        <s v="191-038    "/>
        <s v="132-037    "/>
        <s v="VVSA-561   "/>
        <s v="VVSA-571   "/>
        <s v="VVSA-551   "/>
        <s v="VVSA-581   "/>
        <s v="VVSA-591   "/>
        <s v="VVSA-611   "/>
        <s v="124-030L   "/>
        <s v="124-036.9L "/>
        <s v="124-110    "/>
        <s v="124-120    "/>
        <s v="122-055    "/>
        <s v="122-060    "/>
        <s v="123-040    "/>
        <s v="123-045    "/>
        <s v="122-035    "/>
        <s v="122-041    "/>
        <s v="122-030    "/>
        <s v="122-036.9  "/>
        <s v="VVSA-021   "/>
        <s v="VVSA-552   "/>
        <s v="121-160    "/>
        <s v="121-038.1  "/>
        <s v="VVSA-601   "/>
        <s v="121-165    "/>
        <s v="1403-42A1  "/>
        <s v="1403-990   "/>
        <s v="1416B-262  "/>
        <s v="1403-PDR   "/>
        <s v="1403-FDR   "/>
        <s v="1203-241   "/>
        <s v="124-037    "/>
        <s v="124-037L   "/>
        <s v="121-038    "/>
        <s v="121-034.1  "/>
        <s v="172-031.1  "/>
        <s v="0191-6     "/>
        <s v="0191-6X    "/>
        <s v="0191-7     "/>
        <s v="191-8      "/>
        <s v="0192-6     "/>
        <s v="0192-6X    "/>
        <s v="0192-7     "/>
        <s v="0192-99    "/>
        <s v="132-000    "/>
        <s v="132-001    "/>
        <s v="132-011    "/>
        <s v="163.001    "/>
        <s v="163.011    "/>
        <s v="123-037    "/>
        <s v="1403-58C   "/>
        <s v="1416A-109  "/>
        <s v="1416A-157  "/>
        <s v="1416A-209  "/>
        <s v="1416A-229  "/>
        <s v="1416A-245  "/>
        <s v="1416B-209  "/>
        <s v="1416B-229  "/>
        <s v="1416B-245  "/>
        <s v="1416B-109  "/>
        <s v="1416B-149  "/>
        <s v="1416B-157  "/>
        <s v="IH3-010    "/>
        <s v="IH3-020    "/>
        <s v="IH5-005    "/>
        <s v="IH5-010    "/>
        <s v="IH5-025    "/>
        <s v="122-031    "/>
        <s v="191-001    "/>
        <s v="191-011    "/>
        <s v="191-031    "/>
        <s v="1403-47C   "/>
        <s v="1403-90    "/>
        <s v="191-041    "/>
        <s v="191-042    "/>
        <s v="132-015    "/>
        <s v="1403-40.2Z "/>
        <s v="1403-73    "/>
        <s v="1403-76    "/>
        <s v="IH2-005    "/>
        <s v="IH3-005    "/>
        <s v="IH4-005    "/>
        <s v="IH4-010    "/>
        <s v="1203-271   "/>
        <s v="IH1-005    "/>
        <s v="IH1-020    "/>
        <s v="IH2-010    "/>
        <s v="IH2-015    "/>
        <s v="1416A-105  "/>
        <s v="1416A-153  "/>
        <s v="1416A-201  "/>
        <s v="1416A-205  "/>
        <s v="1416A-221  "/>
        <s v="1416A-225  "/>
        <s v="1416A-233  "/>
        <s v="1416A-237  "/>
        <s v="1416A-241  "/>
        <s v="1416B-221  "/>
        <s v="1416B-225  "/>
        <s v="1416B-233  "/>
        <s v="1416B-237  "/>
        <s v="1416B-241  "/>
        <s v="1416B-201  "/>
        <s v="1416B-205  "/>
        <s v="1416B-105  "/>
        <s v="1416B-153  "/>
        <s v="IH4-020    "/>
        <s v="IH5-020    "/>
        <s v="IH6-020    "/>
        <s v="124-130    "/>
        <s v="1421-410   "/>
        <s v="1421-210   "/>
        <s v="1421-411   "/>
        <s v="1421-110   "/>
        <s v="IH2-025    "/>
        <s v="TITLE3W    "/>
        <s v="1203-902   "/>
        <s v="1203-801   "/>
        <s v="1203-820   "/>
        <s v="1203-803   "/>
        <s v="1203-804   "/>
        <s v="1203-802   "/>
        <s v="1403-223C  "/>
        <s v="1403-224C  "/>
        <s v="1403-50A   "/>
        <s v="1416B-205A "/>
        <s v="COILTESTA  "/>
        <s v="COILTESTB  "/>
        <s v="1403-206C  "/>
        <s v="1403-42H   "/>
        <s v="1403-47A   "/>
        <s v="1403-60C   "/>
        <s v="1416A-249  "/>
        <s v="1416A-253  "/>
        <s v="1416A-257  "/>
        <s v="1416A-261  "/>
        <s v="1416B-249  "/>
        <s v="1416B-253  "/>
        <s v="1416B-257  "/>
        <s v="1416B-261  "/>
        <s v="1416B-265  "/>
        <s v="IH1-010    "/>
        <s v="IH1-015    "/>
        <s v="IH1-025    "/>
        <s v="IH2-020    "/>
        <s v="IH2-030    "/>
        <s v="IH3-015    "/>
        <s v="IH3-025    "/>
        <s v="IH4-015    "/>
        <s v="IH4-025    "/>
        <s v="IH5-015    "/>
        <s v="IH5-030    "/>
        <s v="IH6-005    "/>
        <s v="IH6-010    "/>
        <s v="IH6-015    "/>
        <s v="IH6-025    "/>
        <s v="IH1-030    "/>
        <s v="IH1-035    "/>
        <s v="IH2-040    "/>
        <s v="IH3-030    "/>
        <s v="IH3-035    "/>
        <s v="IH4-035    "/>
        <s v="IH5-040    "/>
        <s v="IH6-030    "/>
        <s v="IH6-035    "/>
      </sharedItems>
    </cacheField>
    <cacheField name="                     TITLE                       ">
      <sharedItems containsMixedTypes="0" count="149">
        <s v="Procurement Local I&amp;C WBS 125                    "/>
        <s v="Deliver Blanket Thermal Insulation               "/>
        <s v="Fabricate&amp; Deliver Insul Boots WBS 122           "/>
        <s v="Deliver Port Thermal Insulation                  "/>
        <s v="Deliver Pourable Insulation                      "/>
        <s v="3rd winding fixture                              "/>
        <s v="Additional coil testing-TESTING                  "/>
        <s v="Procurement WBS 161                              "/>
        <s v="PDR#17                                           "/>
        <s v="Coil  Leads  Procurement WBS 162                 "/>
        <s v="Vacuum Test                                      "/>
        <s v="Cut Off Ports                                    "/>
        <s v="Final Machine                                    "/>
        <s v="Inspect &amp; Pack for Shipping LI#4                 "/>
        <s v="Receive at PPPL                                  "/>
        <s v="PPPL Receive  Tooling                            "/>
        <s v="SPEA VV Lateral Supports WBS 124                 "/>
        <s v="Award VV Lateral Supports WBS 124                "/>
        <s v="SPEA VV NB port cover                            "/>
        <s v="Award VV NB port cover                           "/>
        <s v="SPEA Blanket Thermal Insulation                  "/>
        <s v="Award Blanket Thermal Insulation                 "/>
        <s v="Issue RFQ &amp; Select Vendor insul boots WBS 122    "/>
        <s v="Award Insulation Boots WBS 122                   "/>
        <s v="SPEA Port Thermal Insulation                     "/>
        <s v="Award Port Thermal Insulation                    "/>
        <s v="SPEA Pourable Insulation                         "/>
        <s v="Award Pourable Insulation                        "/>
        <s v="Sect 5.1.2 Fiducials                             "/>
        <s v="Tack on ports,weld on tube&amp;block                 "/>
        <s v="S005243 #13-Receipt/Acceptance of 3rd VVSA       "/>
        <s v="All Vacuum Vessel Sections (3) Delivered         "/>
        <s v="Pack Tooling for PPPL                            "/>
        <s v="S005243 #14-Delivery of tooling,dies,fixtures    "/>
        <s v="Document analysis of MCWF eddy currents          "/>
        <s v="Analysis of C1 test data*not budgeted*           "/>
        <s v="TYPE A, B &amp; C closeout FDR                       "/>
        <s v="PDR                                              "/>
        <s v="FDR                                              "/>
        <s v="Check   FMECA Analyses                           "/>
        <s v=" PPPL Fab VV Vert. Supports  (log # M1091)       "/>
        <s v=" VV Lateral Supports Fab by PPPL WBS 124         "/>
        <s v="assist MTM testing of VVSA                       "/>
        <s v="VVSA Title III engr                              "/>
        <s v="Title III engr                                   "/>
        <s v="LOE-FY06 WBS 191                                 "/>
        <s v="LOE-FY07 WBS 191                                 "/>
        <s v="LOE-FY08 WBS 191                                 "/>
        <s v="LOE-FY089 WBS 191                                "/>
        <s v="LOE-FY06 WBS 192                                 "/>
        <s v="LOE-FY07 WBS 192                                 "/>
        <s v="LOE-FY08 WBS 192                                 "/>
        <s v="LOE-FY09                                         "/>
        <s v="PDR #17 &amp; 25                                     "/>
        <s v="Title I design WBS 162 Coil leads                "/>
        <s v="Title II design   WBS 162 Coil leads             "/>
        <s v="Title I design WBS 163 Coil protection           "/>
        <s v="Title II design   WBS 163 Coil protection        "/>
        <s v="Fabricate and Deliver H/C Tubing WBS 123         "/>
        <s v="Check and promote clamp, I&amp;C assy dwgs -Type C   "/>
        <s v="-Check and Promote Top Level Drawings            "/>
        <s v="Lead Terminals-Check and Promote                 "/>
        <s v="Coil Post VPI mods-Check and Promote             "/>
        <s v="I&amp;C-Check and Promote                            "/>
        <s v="Coil-to-Coil -Check and Promote                  "/>
        <s v="Lead Block Assy-Check and Promote                "/>
        <s v="  Finalize concept                               "/>
        <s v="  Prepare tooling specs, drawings                "/>
        <s v="  Identify all stud, bushing, sperical washer, i "/>
        <s v="  Prepare advanced procurement dwgs calling out  "/>
        <s v="  Develop as-built model and drawing format      "/>
        <s v="Title III engr WBS 12 non vvsa                   "/>
        <s v="Title I design WBS 161 LN2 manifolds&amp;piping      "/>
        <s v="Title II design WBS 161 LN2 manifolds&amp;piping     "/>
        <s v="Title III engr WBS 161                           "/>
        <s v="Perform cool-down/warmup analysis                "/>
        <s v="Compile Material properties database             "/>
        <s v="LN2 Manifolds &amp; ppg Fab/assy/instl WBS 161       "/>
        <s v="PDR #17,25,3                                     "/>
        <s v="Title III design WBS 162 Coil leads              "/>
        <s v="Update nonlinear winding pack analysis           "/>
        <s v="Prep struct analysis report                      "/>
        <s v="Structural analysis of leads                     "/>
        <s v="  review and finalize structural requirements    "/>
        <s v="  Complete testing                               "/>
        <s v="  Finalize design, select material               "/>
        <s v="Develop Assy Rqmnts spec &amp; process               "/>
        <s v="  review requirements, as-built casting features "/>
        <s v="  Prepare dwgs and release                       "/>
        <s v="  select and test concept(s)                     "/>
        <s v="  Finalize / select design (config and materials "/>
        <s v="Top level models and drawings                    "/>
        <s v="Lead Terminals-Splice Plates                     "/>
        <s v="Coil Post VPI mods-Studs Removed                 "/>
        <s v="Coil Post VPI mods-Clamp Arrangement             "/>
        <s v="I&amp;C-Strain Gages and T/C                         "/>
        <s v="I&amp;C-Rogowski Coils                               "/>
        <s v="Coil-to-Coil -Current Feed Insul, Covers         "/>
        <s v="Coil-to-Coil -Windings Insul Blanket             "/>
        <s v="Coil-to-Coil -Bushing Installation               "/>
        <s v="  Finish 3-coil, 6 coil, and 18 coil top assembl "/>
        <s v=" VV NB port cover Fabrication (for 3 inconnel    "/>
        <s v="  Bid, Award, Procure or Fab Bladders            "/>
        <s v="  Bid, Award, Procure Shear plate and shims      "/>
        <s v="Deliverhardware for inboard joint friciton       "/>
        <s v="  Bid, Award, Procure stud, bushing, sperical wa "/>
        <s v="Titel III Design ORNL- Component Fab &amp;  WINDING  "/>
        <s v="**dummy task ECP45 ETC update hours              "/>
        <s v="Issue VV FP final assy dwg                       "/>
        <s v="BOM for all VV parts                             "/>
        <s v="Issue VV final assy dwg                          "/>
        <s v="Issue VV assy specification                      "/>
        <s v="Issue spacer field machining dwgs                "/>
        <s v="Finish Top level coil assembly-Type C            "/>
        <s v="Finish VPI mold assembly-Type C                  "/>
        <s v="Check inductance calculation                     "/>
        <s v="Coil Post VPIU mods cooling/electrical           "/>
        <s v="Coil testing-Qualify optical strain gages        "/>
        <s v="Document Report                                  "/>
        <s v="Finish Cooling, Electr Schematic Dwgs - Type C   "/>
        <s v="calculate EM loads at leads                      "/>
        <s v="Update,review &amp; approve FMECA                    "/>
        <s v="Finish Update design basis document              "/>
        <s v="-Type-A Coil Asm Specification                   "/>
        <s v="-Review and Approve Type-A Spec                  "/>
        <s v="-Update Coil Fab Procedures                      "/>
        <s v="-Prepare for FDR                                 "/>
        <s v="-Type-B Coil Asm Specification                   "/>
        <s v="-Review and Approve Type-B Spec                  "/>
        <s v="-Prepare and Conduct FDR                         "/>
        <s v="-Resolve FDR Comments                            "/>
        <s v="  obtain results from mockup test                "/>
        <s v="    Review for approval to proceed               "/>
        <s v="  Issue dwgs for Fabrication                     "/>
        <s v="  Issue dwgs for Procuremenet/ Fabrication       "/>
        <s v="    Review for approval to prceed                "/>
        <s v="  Issue specs/dwgs for procurement (studs, bushi "/>
        <s v="  Complete assembly spec                         "/>
        <s v="  Finalize requirements                          "/>
        <s v="  finalize design                                "/>
        <s v="  Bid, Award, Procure or Fabricate               "/>
        <s v="  Receive and inspect 3 point positioning hardwa "/>
        <s v="  Receive and inspect Bladders                   "/>
        <s v="  Bid, Award, Procure or Fab Bolt Reaming        "/>
        <s v="  Receive and inspect Bolt Reaming               "/>
        <s v="  Receive and inspect Shear plate and shims      "/>
        <s v="  Receive and inspect stud, bushing, sperical wa "/>
        <s v="  Bid, Award, Procure or Fab Other insulation    "/>
        <s v="  Receive and inspect Other insulation over wing "/>
      </sharedItems>
    </cacheField>
    <cacheField name=" OD   ">
      <sharedItems containsSemiMixedTypes="0" containsString="0" containsMixedTypes="0" containsNumber="1" containsInteger="1" count="57">
        <n v="60"/>
        <n v="65"/>
        <n v="130"/>
        <n v="89"/>
        <n v="21"/>
        <n v="11"/>
        <n v="3"/>
        <n v="5"/>
        <n v="2"/>
        <n v="54"/>
        <n v="43"/>
        <n v="0"/>
        <n v="35"/>
        <n v="433"/>
        <n v="13"/>
        <n v="1"/>
        <n v="238"/>
        <n v="207"/>
        <n v="143"/>
        <n v="249"/>
        <n v="350"/>
        <n v="247"/>
        <n v="242"/>
        <n v="325"/>
        <n v="40"/>
        <n v="20"/>
        <n v="316"/>
        <n v="86"/>
        <n v="19"/>
        <n v="107"/>
        <n v="10"/>
        <n v="30"/>
        <n v="669"/>
        <n v="280"/>
        <n v="517"/>
        <n v="560"/>
        <n v="374"/>
        <n v="25"/>
        <n v="15"/>
        <n v="74"/>
        <n v="50"/>
        <n v="127"/>
        <n v="177"/>
        <n v="148"/>
        <n v="147"/>
        <n v="63"/>
        <n v="118"/>
        <n v="534"/>
        <n v="94"/>
        <n v="197"/>
        <n v="220"/>
        <n v="83"/>
        <n v="171"/>
        <n v="381"/>
        <n v="9"/>
        <n v="288"/>
        <n v="271"/>
      </sharedItems>
    </cacheField>
    <cacheField name="    ES      ">
      <sharedItems containsDate="1" containsString="0" containsBlank="1" containsMixedTypes="0" count="80">
        <d v="2006-10-02T00:00:00.000"/>
        <d v="2006-11-20T00:00:00.000"/>
        <d v="2007-10-02T00:00:00.000"/>
        <d v="2007-08-31T00:00:00.000"/>
        <d v="2008-02-11T00:00:00.000"/>
        <d v="2006-11-01T00:00:00.000"/>
        <d v="2008-01-08T00:00:00.000"/>
        <d v="2008-07-10T00:00:00.000"/>
        <d v="2008-07-17T00:00:00.000"/>
        <d v="2006-07-24T00:00:00.000"/>
        <d v="2006-08-08T00:00:00.000"/>
        <d v="2006-08-11T00:00:00.000"/>
        <d v="2006-09-06T00:00:00.000"/>
        <d v="2006-09-11T00:00:00.000"/>
        <d v="2006-07-03T00:00:00.000"/>
        <d v="2007-04-02T00:00:00.000"/>
        <m/>
        <d v="2007-06-04T00:00:00.000"/>
        <d v="2007-08-01T00:00:00.000"/>
        <d v="2007-07-02T00:00:00.000"/>
        <d v="2007-12-03T00:00:00.000"/>
        <d v="2004-11-29T00:00:00.000"/>
        <d v="2006-08-18T00:00:00.000"/>
        <d v="2005-09-01T00:00:00.000"/>
        <d v="2005-12-01T00:00:00.000"/>
        <d v="2007-06-01T00:00:00.000"/>
        <d v="2006-01-17T00:00:00.000"/>
        <d v="2005-10-01T00:00:00.000"/>
        <d v="2005-10-03T00:00:00.000"/>
        <d v="2006-10-03T00:00:00.000"/>
        <d v="2007-10-03T00:00:00.000"/>
        <d v="2008-10-03T00:00:00.000"/>
        <d v="2008-10-01T00:00:00.000"/>
        <d v="2008-01-15T00:00:00.000"/>
        <d v="2007-10-01T00:00:00.000"/>
        <d v="2008-01-11T00:00:00.000"/>
        <d v="2005-06-01T00:00:00.000"/>
        <d v="2006-08-31T00:00:00.000"/>
        <d v="2006-05-01T00:00:00.000"/>
        <d v="2006-08-21T00:00:00.000"/>
        <d v="2006-08-01T00:00:00.000"/>
        <d v="2006-08-25T00:00:00.000"/>
        <d v="2006-08-28T00:00:00.000"/>
        <d v="2006-03-01T00:00:00.000"/>
        <d v="2006-09-05T00:00:00.000"/>
        <d v="2006-09-19T00:00:00.000"/>
        <d v="2006-10-09T00:00:00.000"/>
        <d v="2006-10-16T00:00:00.000"/>
        <d v="2006-12-06T00:00:00.000"/>
        <d v="2006-02-01T00:00:00.000"/>
        <d v="2004-10-01T00:00:00.000"/>
        <d v="2004-08-02T00:00:00.000"/>
        <d v="2005-05-01T00:00:00.000"/>
        <d v="2006-03-03T00:00:00.000"/>
        <d v="2005-12-03T00:00:00.000"/>
        <d v="2006-09-15T00:00:00.000"/>
        <d v="2006-08-04T00:00:00.000"/>
        <d v="2006-03-11T00:00:00.000"/>
        <d v="2006-09-12T00:00:00.000"/>
        <d v="2007-08-03T00:00:00.000"/>
        <d v="2006-12-21T00:00:00.000"/>
        <d v="2006-10-24T00:00:00.000"/>
        <d v="2006-11-13T00:00:00.000"/>
        <d v="2006-10-31T00:00:00.000"/>
        <d v="2005-10-10T00:00:00.000"/>
        <d v="2006-04-01T00:00:00.000"/>
        <d v="2005-11-01T00:00:00.000"/>
        <d v="2006-12-01T00:00:00.000"/>
        <d v="2006-01-01T00:00:00.000"/>
        <d v="2005-03-01T00:00:00.000"/>
        <d v="2006-12-04T00:00:00.000"/>
        <d v="2007-01-10T00:00:00.000"/>
        <d v="2005-09-26T00:00:00.000"/>
        <d v="2005-05-02T00:00:00.000"/>
        <d v="2006-09-01T00:00:00.000"/>
        <d v="2006-09-18T00:00:00.000"/>
        <d v="2006-09-25T00:00:00.000"/>
        <d v="2007-01-03T00:00:00.000"/>
        <d v="2006-12-13T00:00:00.000"/>
        <d v="2006-11-07T00:00:00.000"/>
      </sharedItems>
    </cacheField>
    <cacheField name="            ">
      <sharedItems containsMixedTypes="0" count="2">
        <s v="  "/>
        <s v="A "/>
      </sharedItems>
    </cacheField>
    <cacheField name="    EF      ">
      <sharedItems containsDate="1" containsString="0" containsBlank="1" containsMixedTypes="0" count="82">
        <d v="2007-01-03T00:00:00.000"/>
        <d v="2007-02-28T00:00:00.000"/>
        <d v="2008-04-11T00:00:00.000"/>
        <d v="2008-01-16T00:00:00.000"/>
        <d v="2008-06-13T00:00:00.000"/>
        <d v="2007-01-10T00:00:00.000"/>
        <d v="2006-12-01T00:00:00.000"/>
        <d v="2008-07-09T00:00:00.000"/>
        <d v="2008-10-09T00:00:00.000"/>
        <d v="2006-08-07T00:00:00.000"/>
        <d v="2006-08-10T00:00:00.000"/>
        <d v="2006-08-17T00:00:00.000"/>
        <d v="2006-09-08T00:00:00.000"/>
        <d v="2006-09-12T00:00:00.000"/>
        <d v="2006-09-14T00:00:00.000"/>
        <d v="2007-05-31T00:00:00.000"/>
        <d v="2007-08-02T00:00:00.000"/>
        <d v="2006-11-17T00:00:00.000"/>
        <d v="2007-10-01T00:00:00.000"/>
        <d v="2007-08-30T00:00:00.000"/>
        <d v="2008-02-08T00:00:00.000"/>
        <m/>
        <d v="2006-09-05T00:00:00.000"/>
        <d v="2006-09-11T00:00:00.000"/>
        <d v="2006-08-31T00:00:00.000"/>
        <d v="2007-01-02T00:00:00.000"/>
        <d v="2006-10-30T00:00:00.000"/>
        <d v="2006-11-27T00:00:00.000"/>
        <d v="2006-08-14T00:00:00.000"/>
        <d v="2007-10-31T00:00:00.000"/>
        <d v="2007-08-24T00:00:00.000"/>
        <d v="2006-09-29T00:00:00.000"/>
        <d v="2007-03-01T00:00:00.000"/>
        <d v="2007-09-27T00:00:00.000"/>
        <d v="2008-09-29T00:00:00.000"/>
        <d v="2009-04-15T00:00:00.000"/>
        <d v="2007-09-20T00:00:00.000"/>
        <d v="2008-09-22T00:00:00.000"/>
        <d v="2009-04-13T00:00:00.000"/>
        <d v="2008-10-16T00:00:00.000"/>
        <d v="2008-01-14T00:00:00.000"/>
        <d v="2008-07-16T00:00:00.000"/>
        <d v="2008-01-10T00:00:00.000"/>
        <d v="2008-03-06T00:00:00.000"/>
        <d v="2006-10-27T00:00:00.000"/>
        <d v="2006-09-07T00:00:00.000"/>
        <d v="2006-08-30T00:00:00.000"/>
        <d v="2006-08-25T00:00:00.000"/>
        <d v="2006-10-06T00:00:00.000"/>
        <d v="2006-09-01T00:00:00.000"/>
        <d v="2006-09-18T00:00:00.000"/>
        <d v="2006-11-03T00:00:00.000"/>
        <d v="2006-11-10T00:00:00.000"/>
        <d v="2008-09-30T00:00:00.000"/>
        <d v="2007-10-02T00:00:00.000"/>
        <d v="2008-01-07T00:00:00.000"/>
        <d v="2009-02-18T00:00:00.000"/>
        <d v="2006-10-02T00:00:00.000"/>
        <d v="2006-09-25T00:00:00.000"/>
        <d v="2006-11-06T00:00:00.000"/>
        <d v="2006-08-18T00:00:00.000"/>
        <d v="2006-09-28T00:00:00.000"/>
        <d v="2006-09-21T00:00:00.000"/>
        <d v="2006-08-24T00:00:00.000"/>
        <d v="2006-10-23T00:00:00.000"/>
        <d v="2006-12-19T00:00:00.000"/>
        <d v="2007-11-02T00:00:00.000"/>
        <d v="2007-02-15T00:00:00.000"/>
        <d v="2007-01-25T00:00:00.000"/>
        <d v="2007-01-31T00:00:00.000"/>
        <d v="2006-12-20T00:00:00.000"/>
        <d v="2007-11-26T00:00:00.000"/>
        <d v="2006-08-16T00:00:00.000"/>
        <d v="2007-09-28T00:00:00.000"/>
        <d v="2006-08-11T00:00:00.000"/>
        <d v="2007-01-09T00:00:00.000"/>
        <d v="2007-02-07T00:00:00.000"/>
        <d v="2006-09-15T00:00:00.000"/>
        <d v="2006-09-22T00:00:00.000"/>
        <d v="2007-01-16T00:00:00.000"/>
        <d v="2007-02-08T00:00:00.000"/>
        <d v="2007-02-01T00:00:00.000"/>
      </sharedItems>
    </cacheField>
    <cacheField name="            2">
      <sharedItems containsMixedTypes="0" count="1">
        <s v="  "/>
      </sharedItems>
    </cacheField>
    <cacheField name="WBS2  ">
      <sharedItems containsMixedTypes="0" count="4">
        <s v="12 "/>
        <s v="14 "/>
        <s v="16 "/>
        <s v="19 "/>
      </sharedItems>
    </cacheField>
    <cacheField name="Job">
      <sharedItems containsMixedTypes="0" count="14">
        <s v="1204 "/>
        <s v="1460 "/>
        <s v="1465 "/>
        <s v="1601 "/>
        <s v="1250 "/>
        <s v="1403 "/>
        <s v="1416 "/>
        <s v="1421 "/>
        <s v="1203 "/>
        <s v="1411 "/>
        <s v="1901 "/>
        <s v="1431 "/>
        <s v="1451 "/>
        <s v=""/>
      </sharedItems>
    </cacheField>
    <cacheField name="WBS4  ">
      <sharedItems containsMixedTypes="0" count="28">
        <s v="125  "/>
        <s v="122  "/>
        <s v="     "/>
        <s v="161  "/>
        <s v="162  "/>
        <s v="VVS8 "/>
        <s v="VVS9 "/>
        <s v="124L "/>
        <s v="124P "/>
        <s v="VVS1 "/>
        <s v="TCCO "/>
        <s v="DWTB "/>
        <s v="DW08 "/>
        <s v="12FD "/>
        <s v="124  "/>
        <s v="14T  "/>
        <s v="191  "/>
        <s v="192  "/>
        <s v="163  "/>
        <s v="123  "/>
        <s v="DWTA "/>
        <s v="IH3  "/>
        <s v="IH5  "/>
        <s v="IH2  "/>
        <s v="IH4  "/>
        <s v="IH1  "/>
        <s v="IH6  "/>
        <s v="LABR "/>
      </sharedItems>
    </cacheField>
    <cacheField name="Order">
      <sharedItems containsMixedTypes="0"/>
    </cacheField>
    <cacheField name="Resource Code">
      <sharedItems containsMixedTypes="0" count="16">
        <s v="41       "/>
        <s v="48       "/>
        <s v="         "/>
        <s v="EA//EM   "/>
        <s v="EA//SM   "/>
        <s v="EE//EM   "/>
        <s v="EE//SM   "/>
        <s v="EM//EM   "/>
        <s v="EM//TB   "/>
        <s v="ORNL35   "/>
        <s v="ORNL41   "/>
        <s v="ORNLEM   "/>
        <s v="EM//SM   "/>
        <s v="41MYATT  "/>
        <s v="R///RM2  "/>
        <s v="35       "/>
      </sharedItems>
    </cacheField>
    <cacheField name="Name">
      <sharedItems containsMixedTypes="0" count="25">
        <s v="M&amp;S          "/>
        <s v="             "/>
        <s v="EA//EM   "/>
        <s v="EA//SM   "/>
        <s v="EE//EM   "/>
        <s v="EE//SM   "/>
        <s v="EM//EM   "/>
        <s v="EM//TB   "/>
        <s v="TRAVEL       "/>
        <s v="ORNLEM   "/>
        <s v="COLE         "/>
        <s v="DUDEK        "/>
        <s v="FAN          "/>
        <s v="FOM TECHS SM "/>
        <s v="FOM TECHS TB "/>
        <s v="FREUDENBERG  "/>
        <s v="GORANSON     "/>
        <s v="HEITZENROED  "/>
        <s v="LOVETT       "/>
        <s v="MCGINNIS     "/>
        <s v="MYATT        "/>
        <s v="NELSON       "/>
        <s v="ORNLEM       "/>
        <s v="R///RM2  "/>
        <s v="WILLIAMSON   "/>
      </sharedItems>
    </cacheField>
    <cacheField name="     EVQ      ">
      <sharedItems containsSemiMixedTypes="0" containsString="0" containsMixedTypes="0" containsNumber="1"/>
    </cacheField>
    <cacheField name="     BQ       ">
      <sharedItems containsSemiMixedTypes="0" containsString="0" containsMixedTypes="0" containsNumber="1"/>
    </cacheField>
    <cacheField name="Budget Remaining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AF156" firstHeaderRow="1" firstDataRow="2" firstDataCol="7"/>
  <pivotFields count="16">
    <pivotField axis="axisRow" compact="0" outline="0" subtotalTop="0" showAll="0" defaultSubtotal="0">
      <items count="174">
        <item x="45"/>
        <item x="46"/>
        <item x="47"/>
        <item x="49"/>
        <item x="50"/>
        <item x="51"/>
        <item x="52"/>
        <item x="39"/>
        <item x="92"/>
        <item x="126"/>
        <item x="130"/>
        <item x="128"/>
        <item x="129"/>
        <item x="127"/>
        <item x="125"/>
        <item x="43"/>
        <item x="42"/>
        <item x="31"/>
        <item x="30"/>
        <item x="33"/>
        <item x="26"/>
        <item x="76"/>
        <item x="24"/>
        <item x="27"/>
        <item x="4"/>
        <item x="25"/>
        <item x="3"/>
        <item x="20"/>
        <item x="21"/>
        <item x="1"/>
        <item x="58"/>
        <item x="22"/>
        <item x="23"/>
        <item x="2"/>
        <item x="16"/>
        <item x="17"/>
        <item x="40"/>
        <item x="41"/>
        <item x="18"/>
        <item x="19"/>
        <item x="118"/>
        <item x="0"/>
        <item x="53"/>
        <item x="54"/>
        <item x="55"/>
        <item x="84"/>
        <item x="9"/>
        <item x="137"/>
        <item x="131"/>
        <item x="132"/>
        <item x="85"/>
        <item x="34"/>
        <item x="138"/>
        <item x="139"/>
        <item x="80"/>
        <item x="133"/>
        <item x="59"/>
        <item x="140"/>
        <item x="86"/>
        <item x="87"/>
        <item x="81"/>
        <item x="35"/>
        <item x="38"/>
        <item x="37"/>
        <item x="97"/>
        <item x="60"/>
        <item x="98"/>
        <item x="61"/>
        <item x="99"/>
        <item x="100"/>
        <item x="62"/>
        <item x="101"/>
        <item x="102"/>
        <item x="63"/>
        <item x="103"/>
        <item x="104"/>
        <item x="105"/>
        <item x="64"/>
        <item x="141"/>
        <item x="142"/>
        <item x="143"/>
        <item x="144"/>
        <item x="113"/>
        <item x="68"/>
        <item x="69"/>
        <item x="114"/>
        <item x="70"/>
        <item x="111"/>
        <item x="112"/>
        <item x="134"/>
        <item x="65"/>
        <item x="106"/>
        <item x="107"/>
        <item x="66"/>
        <item x="108"/>
        <item x="109"/>
        <item x="110"/>
        <item x="67"/>
        <item x="145"/>
        <item x="146"/>
        <item x="147"/>
        <item x="148"/>
        <item x="36"/>
        <item x="149"/>
        <item x="122"/>
        <item x="120"/>
        <item x="119"/>
        <item x="121"/>
        <item x="56"/>
        <item x="57"/>
        <item x="44"/>
        <item x="77"/>
        <item x="78"/>
        <item x="79"/>
        <item x="7"/>
        <item x="8"/>
        <item x="82"/>
        <item x="83"/>
        <item x="48"/>
        <item x="6"/>
        <item x="135"/>
        <item x="136"/>
        <item x="93"/>
        <item x="150"/>
        <item x="151"/>
        <item x="94"/>
        <item x="152"/>
        <item x="165"/>
        <item x="166"/>
        <item x="88"/>
        <item x="95"/>
        <item x="96"/>
        <item x="153"/>
        <item x="123"/>
        <item x="154"/>
        <item x="167"/>
        <item x="89"/>
        <item x="71"/>
        <item x="155"/>
        <item x="72"/>
        <item x="156"/>
        <item x="168"/>
        <item x="169"/>
        <item x="90"/>
        <item x="91"/>
        <item x="157"/>
        <item x="115"/>
        <item x="158"/>
        <item x="170"/>
        <item x="73"/>
        <item x="74"/>
        <item x="159"/>
        <item x="116"/>
        <item x="75"/>
        <item x="160"/>
        <item x="171"/>
        <item x="161"/>
        <item x="162"/>
        <item x="163"/>
        <item x="117"/>
        <item x="164"/>
        <item x="172"/>
        <item x="173"/>
        <item x="124"/>
        <item x="28"/>
        <item x="12"/>
        <item x="29"/>
        <item x="10"/>
        <item x="11"/>
        <item x="13"/>
        <item x="14"/>
        <item x="32"/>
        <item x="15"/>
        <item x="5"/>
      </items>
    </pivotField>
    <pivotField axis="axisRow" compact="0" outline="0" subtotalTop="0" showAll="0" defaultSubtotal="0">
      <items count="149">
        <item x="135"/>
        <item x="132"/>
        <item x="102"/>
        <item x="143"/>
        <item x="147"/>
        <item x="140"/>
        <item x="103"/>
        <item x="105"/>
        <item x="137"/>
        <item x="84"/>
        <item x="70"/>
        <item x="90"/>
        <item x="66"/>
        <item x="139"/>
        <item x="85"/>
        <item x="138"/>
        <item x="100"/>
        <item x="68"/>
        <item x="133"/>
        <item x="134"/>
        <item x="136"/>
        <item x="131"/>
        <item x="69"/>
        <item x="88"/>
        <item x="67"/>
        <item x="141"/>
        <item x="142"/>
        <item x="144"/>
        <item x="148"/>
        <item x="145"/>
        <item x="146"/>
        <item x="83"/>
        <item x="87"/>
        <item x="89"/>
        <item x="40"/>
        <item x="41"/>
        <item x="101"/>
        <item x="107"/>
        <item x="5"/>
        <item x="6"/>
        <item x="31"/>
        <item x="35"/>
        <item x="42"/>
        <item x="21"/>
        <item x="23"/>
        <item x="25"/>
        <item x="27"/>
        <item x="17"/>
        <item x="19"/>
        <item x="109"/>
        <item x="120"/>
        <item x="39"/>
        <item x="59"/>
        <item x="60"/>
        <item x="115"/>
        <item x="9"/>
        <item x="62"/>
        <item x="94"/>
        <item x="93"/>
        <item x="116"/>
        <item x="117"/>
        <item x="99"/>
        <item x="64"/>
        <item x="97"/>
        <item x="98"/>
        <item x="76"/>
        <item x="11"/>
        <item x="1"/>
        <item x="3"/>
        <item x="4"/>
        <item x="104"/>
        <item x="86"/>
        <item x="34"/>
        <item x="118"/>
        <item x="58"/>
        <item x="2"/>
        <item x="38"/>
        <item x="12"/>
        <item x="119"/>
        <item x="113"/>
        <item x="122"/>
        <item x="114"/>
        <item x="63"/>
        <item x="96"/>
        <item x="95"/>
        <item x="13"/>
        <item x="22"/>
        <item x="112"/>
        <item x="111"/>
        <item x="110"/>
        <item x="108"/>
        <item x="65"/>
        <item x="61"/>
        <item x="92"/>
        <item x="77"/>
        <item x="45"/>
        <item x="49"/>
        <item x="46"/>
        <item x="50"/>
        <item x="47"/>
        <item x="51"/>
        <item x="48"/>
        <item x="52"/>
        <item x="32"/>
        <item x="37"/>
        <item x="53"/>
        <item x="78"/>
        <item x="8"/>
        <item x="75"/>
        <item x="15"/>
        <item x="81"/>
        <item x="129"/>
        <item x="126"/>
        <item x="0"/>
        <item x="7"/>
        <item x="14"/>
        <item x="130"/>
        <item x="124"/>
        <item x="128"/>
        <item x="30"/>
        <item x="33"/>
        <item x="28"/>
        <item x="20"/>
        <item x="24"/>
        <item x="26"/>
        <item x="16"/>
        <item x="18"/>
        <item x="82"/>
        <item x="29"/>
        <item x="106"/>
        <item x="72"/>
        <item x="54"/>
        <item x="56"/>
        <item x="55"/>
        <item x="57"/>
        <item x="73"/>
        <item x="79"/>
        <item x="44"/>
        <item x="71"/>
        <item x="74"/>
        <item x="91"/>
        <item x="36"/>
        <item x="123"/>
        <item x="127"/>
        <item x="125"/>
        <item x="80"/>
        <item x="121"/>
        <item x="10"/>
        <item x="43"/>
      </items>
    </pivotField>
    <pivotField axis="axisRow" compact="0" outline="0" subtotalTop="0" showAll="0" numFmtId="164" defaultSubtotal="0">
      <items count="57">
        <item x="11"/>
        <item x="15"/>
        <item x="8"/>
        <item x="6"/>
        <item x="7"/>
        <item x="54"/>
        <item x="30"/>
        <item x="5"/>
        <item x="14"/>
        <item x="38"/>
        <item x="28"/>
        <item x="25"/>
        <item x="4"/>
        <item x="37"/>
        <item x="31"/>
        <item x="12"/>
        <item x="24"/>
        <item x="10"/>
        <item x="40"/>
        <item x="9"/>
        <item x="0"/>
        <item x="45"/>
        <item x="1"/>
        <item x="39"/>
        <item x="51"/>
        <item x="27"/>
        <item x="3"/>
        <item x="48"/>
        <item x="29"/>
        <item x="46"/>
        <item x="41"/>
        <item x="2"/>
        <item x="18"/>
        <item x="44"/>
        <item x="43"/>
        <item x="52"/>
        <item x="42"/>
        <item x="49"/>
        <item x="17"/>
        <item x="50"/>
        <item x="16"/>
        <item x="22"/>
        <item x="21"/>
        <item x="19"/>
        <item x="56"/>
        <item x="33"/>
        <item x="55"/>
        <item x="26"/>
        <item x="23"/>
        <item x="20"/>
        <item x="36"/>
        <item x="53"/>
        <item x="13"/>
        <item x="34"/>
        <item x="47"/>
        <item x="35"/>
        <item x="32"/>
      </items>
    </pivotField>
    <pivotField axis="axisRow" compact="0" outline="0" subtotalTop="0" showAll="0" defaultSubtotal="0">
      <items count="80">
        <item x="51"/>
        <item x="50"/>
        <item x="21"/>
        <item x="69"/>
        <item x="52"/>
        <item x="73"/>
        <item x="36"/>
        <item x="23"/>
        <item x="72"/>
        <item x="27"/>
        <item x="28"/>
        <item x="64"/>
        <item x="66"/>
        <item x="24"/>
        <item x="54"/>
        <item x="68"/>
        <item x="26"/>
        <item x="49"/>
        <item x="43"/>
        <item x="53"/>
        <item x="57"/>
        <item x="65"/>
        <item x="38"/>
        <item x="14"/>
        <item x="9"/>
        <item x="40"/>
        <item x="56"/>
        <item x="10"/>
        <item x="11"/>
        <item x="22"/>
        <item x="39"/>
        <item x="41"/>
        <item x="42"/>
        <item x="37"/>
        <item x="74"/>
        <item x="44"/>
        <item x="12"/>
        <item x="13"/>
        <item x="58"/>
        <item x="55"/>
        <item x="75"/>
        <item x="45"/>
        <item x="76"/>
        <item x="0"/>
        <item x="29"/>
        <item x="46"/>
        <item x="47"/>
        <item x="61"/>
        <item x="63"/>
        <item x="5"/>
        <item x="79"/>
        <item x="62"/>
        <item x="1"/>
        <item x="67"/>
        <item x="70"/>
        <item x="48"/>
        <item x="78"/>
        <item x="60"/>
        <item x="77"/>
        <item x="71"/>
        <item x="15"/>
        <item x="25"/>
        <item x="17"/>
        <item x="19"/>
        <item x="18"/>
        <item x="59"/>
        <item x="3"/>
        <item x="34"/>
        <item x="2"/>
        <item x="30"/>
        <item x="20"/>
        <item x="6"/>
        <item x="35"/>
        <item x="33"/>
        <item x="4"/>
        <item x="7"/>
        <item x="8"/>
        <item x="32"/>
        <item x="31"/>
        <item x="16"/>
      </items>
    </pivotField>
    <pivotField compact="0" outline="0" subtotalTop="0" showAll="0"/>
    <pivotField axis="axisRow" compact="0" outline="0" subtotalTop="0" showAll="0" defaultSubtotal="0">
      <items count="82">
        <item x="9"/>
        <item x="10"/>
        <item x="74"/>
        <item x="28"/>
        <item x="72"/>
        <item x="11"/>
        <item x="60"/>
        <item x="63"/>
        <item x="47"/>
        <item x="46"/>
        <item x="24"/>
        <item x="49"/>
        <item x="22"/>
        <item x="45"/>
        <item x="12"/>
        <item x="23"/>
        <item x="13"/>
        <item x="14"/>
        <item x="77"/>
        <item x="50"/>
        <item x="62"/>
        <item x="78"/>
        <item x="58"/>
        <item x="61"/>
        <item x="31"/>
        <item x="57"/>
        <item x="48"/>
        <item x="64"/>
        <item x="44"/>
        <item x="26"/>
        <item x="51"/>
        <item x="59"/>
        <item x="52"/>
        <item x="17"/>
        <item x="27"/>
        <item x="6"/>
        <item x="65"/>
        <item x="70"/>
        <item x="25"/>
        <item x="0"/>
        <item x="75"/>
        <item x="5"/>
        <item x="79"/>
        <item x="68"/>
        <item x="69"/>
        <item x="81"/>
        <item x="76"/>
        <item x="80"/>
        <item x="67"/>
        <item x="1"/>
        <item x="32"/>
        <item x="15"/>
        <item x="16"/>
        <item x="30"/>
        <item x="19"/>
        <item x="36"/>
        <item x="33"/>
        <item x="73"/>
        <item x="18"/>
        <item x="54"/>
        <item x="29"/>
        <item x="66"/>
        <item x="71"/>
        <item x="55"/>
        <item x="42"/>
        <item x="40"/>
        <item x="3"/>
        <item x="20"/>
        <item x="43"/>
        <item x="2"/>
        <item x="4"/>
        <item x="7"/>
        <item x="41"/>
        <item x="37"/>
        <item x="34"/>
        <item x="53"/>
        <item x="8"/>
        <item x="39"/>
        <item x="56"/>
        <item x="38"/>
        <item x="35"/>
        <item x="21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4">
        <item x="13"/>
        <item x="8"/>
        <item x="0"/>
        <item x="4"/>
        <item x="5"/>
        <item x="9"/>
        <item x="6"/>
        <item x="7"/>
        <item x="11"/>
        <item x="12"/>
        <item x="1"/>
        <item x="2"/>
        <item x="3"/>
        <item x="10"/>
      </items>
    </pivotField>
    <pivotField axis="axisRow" compact="0" outline="0" subtotalTop="0" showAll="0" defaultSubtotal="0">
      <items count="28">
        <item x="2"/>
        <item x="1"/>
        <item x="19"/>
        <item x="14"/>
        <item x="7"/>
        <item x="8"/>
        <item x="0"/>
        <item x="13"/>
        <item x="15"/>
        <item x="3"/>
        <item x="4"/>
        <item x="18"/>
        <item x="16"/>
        <item x="17"/>
        <item x="12"/>
        <item x="20"/>
        <item x="11"/>
        <item x="25"/>
        <item x="23"/>
        <item x="21"/>
        <item x="24"/>
        <item x="22"/>
        <item x="26"/>
        <item x="27"/>
        <item x="10"/>
        <item x="9"/>
        <item x="5"/>
        <item x="6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26">
        <item h="1" x="1"/>
        <item x="10"/>
        <item x="11"/>
        <item x="2"/>
        <item x="3"/>
        <item x="4"/>
        <item x="5"/>
        <item x="6"/>
        <item x="7"/>
        <item x="12"/>
        <item x="13"/>
        <item x="14"/>
        <item x="15"/>
        <item x="16"/>
        <item x="17"/>
        <item x="18"/>
        <item x="0"/>
        <item x="19"/>
        <item x="20"/>
        <item x="21"/>
        <item x="9"/>
        <item x="22"/>
        <item x="23"/>
        <item x="8"/>
        <item x="24"/>
        <item t="default"/>
      </items>
    </pivotField>
    <pivotField compact="0" outline="0" subtotalTop="0" showAll="0" numFmtId="166"/>
    <pivotField compact="0" outline="0" subtotalTop="0" showAll="0" numFmtId="166"/>
    <pivotField dataField="1" compact="0" outline="0" subtotalTop="0" showAll="0" numFmtId="2"/>
  </pivotFields>
  <rowFields count="7">
    <field x="8"/>
    <field x="9"/>
    <field x="0"/>
    <field x="1"/>
    <field x="3"/>
    <field x="5"/>
    <field x="2"/>
  </rowFields>
  <rowItems count="152">
    <i>
      <x/>
      <x v="7"/>
      <x v="14"/>
      <x v="37"/>
      <x v="21"/>
      <x v="3"/>
      <x v="27"/>
    </i>
    <i>
      <x v="1"/>
      <x v="7"/>
      <x v="7"/>
      <x v="51"/>
      <x v="7"/>
      <x v="3"/>
      <x v="40"/>
    </i>
    <i r="2">
      <x v="8"/>
      <x v="71"/>
      <x v="22"/>
      <x v="3"/>
      <x v="23"/>
    </i>
    <i r="2">
      <x v="9"/>
      <x v="90"/>
      <x v="12"/>
      <x v="4"/>
      <x v="37"/>
    </i>
    <i r="2">
      <x v="10"/>
      <x v="87"/>
      <x v="15"/>
      <x v="57"/>
      <x v="35"/>
    </i>
    <i r="2">
      <x v="11"/>
      <x v="89"/>
      <x v="22"/>
      <x v="44"/>
      <x v="24"/>
    </i>
    <i r="2">
      <x v="12"/>
      <x v="88"/>
      <x v="53"/>
      <x v="36"/>
      <x v="8"/>
    </i>
    <i r="2">
      <x v="13"/>
      <x v="49"/>
      <x v="10"/>
      <x v="6"/>
      <x v="39"/>
    </i>
    <i>
      <x v="2"/>
      <x/>
      <x v="21"/>
      <x v="138"/>
      <x v="17"/>
      <x v="75"/>
      <x v="56"/>
    </i>
    <i r="1">
      <x v="1"/>
      <x v="24"/>
      <x v="69"/>
      <x v="74"/>
      <x v="70"/>
      <x v="26"/>
    </i>
    <i r="2">
      <x v="26"/>
      <x v="68"/>
      <x v="66"/>
      <x v="66"/>
      <x v="26"/>
    </i>
    <i r="2">
      <x v="29"/>
      <x v="67"/>
      <x v="52"/>
      <x v="49"/>
      <x v="22"/>
    </i>
    <i r="2">
      <x v="33"/>
      <x v="75"/>
      <x v="68"/>
      <x v="69"/>
      <x v="31"/>
    </i>
    <i r="1">
      <x v="2"/>
      <x v="30"/>
      <x v="74"/>
      <x v="43"/>
      <x v="28"/>
      <x v="11"/>
    </i>
    <i r="1">
      <x v="3"/>
      <x v="36"/>
      <x v="34"/>
      <x v="13"/>
      <x v="60"/>
      <x v="38"/>
    </i>
    <i r="1">
      <x v="4"/>
      <x v="37"/>
      <x v="35"/>
      <x v="61"/>
      <x v="53"/>
      <x v="20"/>
    </i>
    <i r="1">
      <x v="5"/>
      <x v="40"/>
      <x v="36"/>
      <x v="65"/>
      <x v="61"/>
      <x v="22"/>
    </i>
    <i r="1">
      <x v="6"/>
      <x v="41"/>
      <x v="113"/>
      <x v="43"/>
      <x v="39"/>
      <x v="20"/>
    </i>
    <i>
      <x v="3"/>
      <x/>
      <x v="15"/>
      <x v="148"/>
      <x v="9"/>
      <x v="24"/>
      <x v="43"/>
    </i>
    <i r="2">
      <x v="16"/>
      <x v="42"/>
      <x v="16"/>
      <x/>
      <x v="32"/>
    </i>
    <i r="1">
      <x v="26"/>
      <x v="165"/>
      <x v="77"/>
      <x v="28"/>
      <x v="5"/>
      <x v="4"/>
    </i>
    <i r="2">
      <x v="167"/>
      <x v="147"/>
      <x v="24"/>
      <x/>
      <x v="7"/>
    </i>
    <i r="2">
      <x v="168"/>
      <x v="66"/>
      <x v="27"/>
      <x v="1"/>
      <x v="3"/>
    </i>
    <i r="2">
      <x v="169"/>
      <x v="85"/>
      <x v="36"/>
      <x v="14"/>
      <x v="3"/>
    </i>
    <i r="2">
      <x v="170"/>
      <x v="115"/>
      <x v="37"/>
      <x v="16"/>
      <x v="2"/>
    </i>
    <i r="1">
      <x v="27"/>
      <x v="172"/>
      <x v="109"/>
      <x v="23"/>
      <x v="17"/>
      <x v="19"/>
    </i>
    <i>
      <x v="4"/>
      <x v="24"/>
      <x v="47"/>
      <x v="78"/>
      <x v="3"/>
      <x v="10"/>
      <x v="51"/>
    </i>
    <i r="2">
      <x v="48"/>
      <x v="79"/>
      <x v="3"/>
      <x v="10"/>
      <x v="51"/>
    </i>
    <i r="2">
      <x v="49"/>
      <x v="81"/>
      <x v="3"/>
      <x v="10"/>
      <x v="51"/>
    </i>
    <i r="2">
      <x v="50"/>
      <x v="145"/>
      <x/>
      <x v="38"/>
      <x v="55"/>
    </i>
    <i r="2">
      <x v="52"/>
      <x v="50"/>
      <x v="7"/>
      <x v="38"/>
      <x v="46"/>
    </i>
    <i r="2">
      <x v="53"/>
      <x v="146"/>
      <x v="8"/>
      <x v="38"/>
      <x v="44"/>
    </i>
    <i r="2">
      <x v="54"/>
      <x v="108"/>
      <x v="43"/>
      <x v="35"/>
      <x v="17"/>
    </i>
    <i r="2">
      <x v="55"/>
      <x v="54"/>
      <x v="43"/>
      <x v="35"/>
      <x v="17"/>
    </i>
    <i r="2">
      <x v="56"/>
      <x v="52"/>
      <x v="6"/>
      <x v="10"/>
      <x v="47"/>
    </i>
    <i r="2">
      <x v="57"/>
      <x v="80"/>
      <x v="5"/>
      <x v="38"/>
      <x v="50"/>
    </i>
    <i r="2">
      <x v="58"/>
      <x v="110"/>
      <x v="4"/>
      <x v="38"/>
      <x v="50"/>
    </i>
    <i r="2">
      <x v="59"/>
      <x v="127"/>
      <x v="1"/>
      <x v="38"/>
      <x v="53"/>
    </i>
    <i r="2">
      <x v="60"/>
      <x v="65"/>
      <x v="1"/>
      <x v="38"/>
      <x v="53"/>
    </i>
    <i>
      <x v="5"/>
      <x v="8"/>
      <x v="110"/>
      <x v="137"/>
      <x v="9"/>
      <x v="50"/>
      <x v="49"/>
    </i>
    <i>
      <x v="6"/>
      <x v="15"/>
      <x v="64"/>
      <x v="140"/>
      <x v="19"/>
      <x v="9"/>
      <x v="30"/>
    </i>
    <i r="2">
      <x v="65"/>
      <x v="53"/>
      <x v="33"/>
      <x v="13"/>
      <x v="4"/>
    </i>
    <i r="2">
      <x v="66"/>
      <x v="93"/>
      <x v="22"/>
      <x v="9"/>
      <x v="25"/>
    </i>
    <i r="2">
      <x v="67"/>
      <x v="92"/>
      <x v="22"/>
      <x v="9"/>
      <x v="25"/>
    </i>
    <i r="2">
      <x v="68"/>
      <x v="58"/>
      <x v="14"/>
      <x v="6"/>
      <x v="36"/>
    </i>
    <i r="2">
      <x v="69"/>
      <x v="57"/>
      <x v="14"/>
      <x v="6"/>
      <x v="36"/>
    </i>
    <i r="2">
      <x v="70"/>
      <x v="56"/>
      <x v="30"/>
      <x v="8"/>
      <x v="4"/>
    </i>
    <i r="2">
      <x v="71"/>
      <x v="84"/>
      <x v="19"/>
      <x v="24"/>
      <x v="34"/>
    </i>
    <i r="2">
      <x v="72"/>
      <x v="83"/>
      <x v="19"/>
      <x v="23"/>
      <x v="33"/>
    </i>
    <i r="2">
      <x v="73"/>
      <x v="82"/>
      <x v="25"/>
      <x v="24"/>
      <x v="17"/>
    </i>
    <i r="2">
      <x v="74"/>
      <x v="63"/>
      <x v="39"/>
      <x v="20"/>
      <x v="4"/>
    </i>
    <i r="2">
      <x v="75"/>
      <x v="64"/>
      <x v="23"/>
      <x v="24"/>
      <x v="21"/>
    </i>
    <i r="2">
      <x v="76"/>
      <x v="61"/>
      <x v="39"/>
      <x v="20"/>
      <x v="4"/>
    </i>
    <i r="2">
      <x v="77"/>
      <x v="62"/>
      <x v="43"/>
      <x v="26"/>
      <x v="4"/>
    </i>
    <i r="2">
      <x v="78"/>
      <x v="142"/>
      <x v="22"/>
      <x v="9"/>
      <x v="25"/>
    </i>
    <i r="2">
      <x v="79"/>
      <x v="117"/>
      <x v="33"/>
      <x v="13"/>
      <x v="4"/>
    </i>
    <i r="2">
      <x v="80"/>
      <x v="144"/>
      <x v="33"/>
      <x v="13"/>
      <x v="4"/>
    </i>
    <i r="2">
      <x v="81"/>
      <x v="112"/>
      <x v="33"/>
      <x v="13"/>
      <x v="4"/>
    </i>
    <i r="1">
      <x v="16"/>
      <x v="82"/>
      <x v="140"/>
      <x v="20"/>
      <x v="8"/>
      <x v="29"/>
    </i>
    <i r="2">
      <x v="83"/>
      <x v="53"/>
      <x v="32"/>
      <x v="11"/>
      <x v="4"/>
    </i>
    <i r="2">
      <x v="84"/>
      <x v="91"/>
      <x v="18"/>
      <x v="81"/>
      <x v="28"/>
    </i>
    <i r="2">
      <x v="85"/>
      <x v="93"/>
      <x v="25"/>
      <x/>
      <x v="4"/>
    </i>
    <i r="2">
      <x v="86"/>
      <x v="92"/>
      <x v="27"/>
      <x v="3"/>
      <x v="4"/>
    </i>
    <i r="2">
      <x v="87"/>
      <x v="58"/>
      <x v="19"/>
      <x v="24"/>
      <x v="34"/>
    </i>
    <i r="2">
      <x v="88"/>
      <x v="57"/>
      <x v="19"/>
      <x v="24"/>
      <x v="34"/>
    </i>
    <i r="2">
      <x v="89"/>
      <x v="59"/>
      <x v="25"/>
      <x v="2"/>
      <x v="5"/>
    </i>
    <i r="2">
      <x v="90"/>
      <x v="56"/>
      <x v="25"/>
      <x v="8"/>
      <x v="10"/>
    </i>
    <i r="2">
      <x v="91"/>
      <x v="84"/>
      <x v="32"/>
      <x v="11"/>
      <x v="4"/>
    </i>
    <i r="2">
      <x v="92"/>
      <x v="83"/>
      <x v="35"/>
      <x v="15"/>
      <x v="4"/>
    </i>
    <i r="2">
      <x v="93"/>
      <x v="82"/>
      <x v="25"/>
      <x v="8"/>
      <x v="10"/>
    </i>
    <i r="2">
      <x v="94"/>
      <x v="63"/>
      <x v="26"/>
      <x v="1"/>
      <x v="4"/>
    </i>
    <i r="2">
      <x v="95"/>
      <x v="64"/>
      <x v="28"/>
      <x v="5"/>
      <x v="4"/>
    </i>
    <i r="2">
      <x v="96"/>
      <x v="61"/>
      <x v="29"/>
      <x v="7"/>
      <x v="4"/>
    </i>
    <i r="2">
      <x v="97"/>
      <x v="62"/>
      <x v="31"/>
      <x v="10"/>
      <x v="4"/>
    </i>
    <i r="2">
      <x v="98"/>
      <x v="143"/>
      <x v="34"/>
      <x v="14"/>
      <x v="4"/>
    </i>
    <i r="2">
      <x v="99"/>
      <x v="118"/>
      <x v="37"/>
      <x v="18"/>
      <x v="4"/>
    </i>
    <i r="2">
      <x v="100"/>
      <x v="144"/>
      <x v="40"/>
      <x v="21"/>
      <x v="4"/>
    </i>
    <i r="2">
      <x v="101"/>
      <x v="111"/>
      <x v="42"/>
      <x v="24"/>
      <x v="4"/>
    </i>
    <i r="2">
      <x v="103"/>
      <x v="116"/>
      <x v="58"/>
      <x v="42"/>
      <x v="6"/>
    </i>
    <i>
      <x v="7"/>
      <x v="17"/>
      <x v="122"/>
      <x v="32"/>
      <x v="32"/>
      <x v="19"/>
      <x v="9"/>
    </i>
    <i r="2">
      <x v="123"/>
      <x v="21"/>
      <x v="79"/>
      <x v="19"/>
      <x/>
    </i>
    <i r="2">
      <x v="124"/>
      <x v="1"/>
      <x v="79"/>
      <x v="19"/>
      <x/>
    </i>
    <i r="2">
      <x v="125"/>
      <x v="23"/>
      <x v="41"/>
      <x v="31"/>
      <x v="15"/>
    </i>
    <i r="2">
      <x v="126"/>
      <x v="18"/>
      <x v="79"/>
      <x v="31"/>
      <x/>
    </i>
    <i r="1">
      <x v="18"/>
      <x v="129"/>
      <x v="31"/>
      <x v="32"/>
      <x v="25"/>
      <x v="13"/>
    </i>
    <i r="2">
      <x v="130"/>
      <x v="33"/>
      <x v="79"/>
      <x v="25"/>
      <x/>
    </i>
    <i r="2">
      <x v="131"/>
      <x v="11"/>
      <x v="30"/>
      <x v="29"/>
      <x v="18"/>
    </i>
    <i r="2">
      <x v="132"/>
      <x v="1"/>
      <x v="79"/>
      <x v="29"/>
      <x/>
    </i>
    <i r="2">
      <x v="133"/>
      <x v="23"/>
      <x v="48"/>
      <x v="37"/>
      <x v="15"/>
    </i>
    <i r="2">
      <x v="134"/>
      <x v="18"/>
      <x v="79"/>
      <x v="37"/>
      <x/>
    </i>
    <i r="1">
      <x v="19"/>
      <x v="136"/>
      <x v="31"/>
      <x v="32"/>
      <x v="19"/>
      <x v="9"/>
    </i>
    <i r="2">
      <x v="137"/>
      <x v="12"/>
      <x v="35"/>
      <x v="19"/>
      <x v="6"/>
    </i>
    <i r="2">
      <x v="138"/>
      <x v="1"/>
      <x v="79"/>
      <x v="19"/>
      <x/>
    </i>
    <i r="2">
      <x v="139"/>
      <x v="24"/>
      <x v="41"/>
      <x v="29"/>
      <x v="14"/>
    </i>
    <i r="2">
      <x v="140"/>
      <x v="19"/>
      <x v="79"/>
      <x v="29"/>
      <x/>
    </i>
    <i r="1">
      <x v="20"/>
      <x v="143"/>
      <x v="9"/>
      <x v="32"/>
      <x v="22"/>
      <x v="11"/>
    </i>
    <i r="2">
      <x v="144"/>
      <x v="14"/>
      <x v="35"/>
      <x v="19"/>
      <x v="6"/>
    </i>
    <i r="2">
      <x v="145"/>
      <x/>
      <x v="79"/>
      <x v="22"/>
      <x/>
    </i>
    <i r="2">
      <x v="146"/>
      <x v="23"/>
      <x v="38"/>
      <x v="27"/>
      <x v="14"/>
    </i>
    <i r="2">
      <x v="147"/>
      <x v="18"/>
      <x v="79"/>
      <x v="27"/>
      <x/>
    </i>
    <i r="1">
      <x v="21"/>
      <x v="149"/>
      <x v="17"/>
      <x v="45"/>
      <x v="30"/>
      <x v="11"/>
    </i>
    <i r="2">
      <x v="150"/>
      <x v="22"/>
      <x v="46"/>
      <x v="32"/>
      <x v="11"/>
    </i>
    <i r="2">
      <x v="151"/>
      <x v="20"/>
      <x v="79"/>
      <x v="32"/>
      <x/>
    </i>
    <i r="2">
      <x v="152"/>
      <x v="16"/>
      <x v="52"/>
      <x v="36"/>
      <x v="11"/>
    </i>
    <i r="2">
      <x v="153"/>
      <x v="10"/>
      <x v="55"/>
      <x v="41"/>
      <x v="11"/>
    </i>
    <i r="2">
      <x v="154"/>
      <x v="8"/>
      <x v="56"/>
      <x v="41"/>
      <x v="9"/>
    </i>
    <i r="1">
      <x v="22"/>
      <x v="156"/>
      <x v="15"/>
      <x v="37"/>
      <x v="26"/>
      <x v="11"/>
    </i>
    <i r="2">
      <x v="157"/>
      <x v="13"/>
      <x v="40"/>
      <x v="26"/>
      <x v="9"/>
    </i>
    <i r="2">
      <x v="158"/>
      <x v="1"/>
      <x v="79"/>
      <x v="26"/>
      <x/>
    </i>
    <i r="2">
      <x v="159"/>
      <x v="23"/>
      <x v="45"/>
      <x v="32"/>
      <x v="13"/>
    </i>
    <i r="2">
      <x v="160"/>
      <x v="18"/>
      <x v="79"/>
      <x v="32"/>
      <x/>
    </i>
    <i>
      <x v="8"/>
      <x v="17"/>
      <x v="127"/>
      <x v="5"/>
      <x v="50"/>
      <x v="47"/>
      <x v="20"/>
    </i>
    <i r="2">
      <x v="128"/>
      <x v="25"/>
      <x v="79"/>
      <x v="47"/>
      <x/>
    </i>
    <i r="1">
      <x v="18"/>
      <x v="106"/>
      <x v="2"/>
      <x v="57"/>
      <x v="48"/>
      <x v="15"/>
    </i>
    <i r="2">
      <x v="135"/>
      <x v="26"/>
      <x v="79"/>
      <x v="48"/>
      <x/>
    </i>
    <i r="1">
      <x v="19"/>
      <x v="141"/>
      <x v="3"/>
      <x v="48"/>
      <x v="45"/>
      <x v="20"/>
    </i>
    <i r="2">
      <x v="142"/>
      <x v="27"/>
      <x v="79"/>
      <x v="45"/>
      <x/>
    </i>
    <i r="1">
      <x v="20"/>
      <x v="105"/>
      <x v="6"/>
      <x v="47"/>
      <x v="43"/>
      <x v="20"/>
    </i>
    <i r="2">
      <x v="107"/>
      <x v="70"/>
      <x v="47"/>
      <x v="43"/>
      <x v="20"/>
    </i>
    <i r="2">
      <x v="148"/>
      <x v="29"/>
      <x v="79"/>
      <x v="43"/>
      <x/>
    </i>
    <i r="1">
      <x v="21"/>
      <x v="104"/>
      <x v="7"/>
      <x v="51"/>
      <x v="44"/>
      <x v="18"/>
    </i>
    <i r="2">
      <x v="155"/>
      <x v="30"/>
      <x v="79"/>
      <x v="44"/>
      <x/>
    </i>
    <i r="1">
      <x v="22"/>
      <x v="161"/>
      <x v="4"/>
      <x v="51"/>
      <x v="44"/>
      <x v="18"/>
    </i>
    <i r="2">
      <x v="162"/>
      <x v="28"/>
      <x v="79"/>
      <x v="44"/>
      <x/>
    </i>
    <i>
      <x v="9"/>
      <x v="23"/>
      <x v="163"/>
      <x v="129"/>
      <x v="11"/>
      <x v="62"/>
      <x v="54"/>
    </i>
    <i>
      <x v="10"/>
      <x/>
      <x v="173"/>
      <x v="38"/>
      <x v="43"/>
      <x v="41"/>
      <x v="22"/>
    </i>
    <i>
      <x v="11"/>
      <x/>
      <x v="119"/>
      <x v="39"/>
      <x v="49"/>
      <x v="35"/>
      <x v="12"/>
    </i>
    <i r="2">
      <x v="120"/>
      <x v="60"/>
      <x v="54"/>
      <x v="40"/>
      <x v="12"/>
    </i>
    <i r="2">
      <x v="121"/>
      <x v="73"/>
      <x v="59"/>
      <x v="46"/>
      <x v="12"/>
    </i>
    <i>
      <x v="12"/>
      <x v="9"/>
      <x v="111"/>
      <x v="130"/>
      <x v="63"/>
      <x v="59"/>
      <x v="22"/>
    </i>
    <i r="2">
      <x v="112"/>
      <x v="135"/>
      <x v="69"/>
      <x v="63"/>
      <x v="20"/>
    </i>
    <i r="2">
      <x v="113"/>
      <x v="139"/>
      <x v="71"/>
      <x v="78"/>
      <x v="45"/>
    </i>
    <i r="2">
      <x v="114"/>
      <x v="114"/>
      <x v="71"/>
      <x v="71"/>
      <x v="31"/>
    </i>
    <i r="2">
      <x v="115"/>
      <x v="107"/>
      <x v="75"/>
      <x v="76"/>
      <x v="22"/>
    </i>
    <i r="2">
      <x v="116"/>
      <x v="94"/>
      <x v="75"/>
      <x v="76"/>
      <x v="22"/>
    </i>
    <i r="2">
      <x v="117"/>
      <x v="106"/>
      <x v="75"/>
      <x v="76"/>
      <x v="22"/>
    </i>
    <i r="1">
      <x v="10"/>
      <x v="42"/>
      <x v="105"/>
      <x v="63"/>
      <x v="77"/>
      <x v="48"/>
    </i>
    <i r="2">
      <x v="43"/>
      <x v="131"/>
      <x v="63"/>
      <x v="65"/>
      <x v="31"/>
    </i>
    <i r="2">
      <x v="44"/>
      <x v="133"/>
      <x v="73"/>
      <x v="72"/>
      <x v="31"/>
    </i>
    <i r="2">
      <x v="45"/>
      <x v="136"/>
      <x v="76"/>
      <x v="76"/>
      <x v="20"/>
    </i>
    <i r="2">
      <x v="46"/>
      <x v="55"/>
      <x v="76"/>
      <x v="76"/>
      <x v="20"/>
    </i>
    <i r="1">
      <x v="11"/>
      <x v="108"/>
      <x v="132"/>
      <x v="67"/>
      <x v="64"/>
      <x v="22"/>
    </i>
    <i r="2">
      <x v="109"/>
      <x v="134"/>
      <x v="72"/>
      <x v="68"/>
      <x v="16"/>
    </i>
    <i>
      <x v="13"/>
      <x v="12"/>
      <x/>
      <x v="95"/>
      <x v="10"/>
      <x v="24"/>
      <x v="43"/>
    </i>
    <i r="2">
      <x v="1"/>
      <x v="97"/>
      <x v="44"/>
      <x v="56"/>
      <x v="42"/>
    </i>
    <i r="2">
      <x v="2"/>
      <x v="99"/>
      <x v="69"/>
      <x v="74"/>
      <x v="42"/>
    </i>
    <i r="2">
      <x v="118"/>
      <x v="101"/>
      <x v="78"/>
      <x v="80"/>
      <x v="31"/>
    </i>
    <i r="1">
      <x v="13"/>
      <x v="3"/>
      <x v="96"/>
      <x v="10"/>
      <x v="24"/>
      <x v="43"/>
    </i>
    <i r="2">
      <x v="4"/>
      <x v="98"/>
      <x v="44"/>
      <x v="55"/>
      <x v="41"/>
    </i>
    <i r="2">
      <x v="5"/>
      <x v="100"/>
      <x v="69"/>
      <x v="73"/>
      <x v="41"/>
    </i>
    <i r="2">
      <x v="6"/>
      <x v="102"/>
      <x v="77"/>
      <x v="79"/>
      <x v="31"/>
    </i>
    <i t="grand">
      <x/>
    </i>
  </rowItems>
  <colFields count="1">
    <field x="12"/>
  </colFields>
  <colItems count="2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Sum of Budget Remaining" fld="1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56"/>
  <sheetViews>
    <sheetView tabSelected="1" zoomScale="75" zoomScaleNormal="75" workbookViewId="0" topLeftCell="A1">
      <selection activeCell="AG3" sqref="AG3"/>
    </sheetView>
  </sheetViews>
  <sheetFormatPr defaultColWidth="9.140625" defaultRowHeight="12.75"/>
  <cols>
    <col min="1" max="2" width="6.28125" style="0" customWidth="1"/>
    <col min="3" max="3" width="9.7109375" style="0" customWidth="1"/>
    <col min="4" max="4" width="40.00390625" style="0" customWidth="1"/>
    <col min="5" max="5" width="10.140625" style="0" customWidth="1"/>
    <col min="6" max="6" width="10.00390625" style="0" customWidth="1"/>
    <col min="7" max="7" width="6.8515625" style="0" customWidth="1"/>
    <col min="8" max="8" width="7.28125" style="0" customWidth="1"/>
    <col min="9" max="13" width="7.8515625" style="0" customWidth="1"/>
    <col min="14" max="15" width="8.28125" style="0" customWidth="1"/>
    <col min="16" max="16" width="5.421875" style="0" customWidth="1"/>
    <col min="17" max="19" width="12.28125" style="0" customWidth="1"/>
    <col min="20" max="20" width="11.140625" style="0" customWidth="1"/>
    <col min="21" max="21" width="12.28125" style="0" customWidth="1"/>
    <col min="22" max="22" width="8.140625" style="0" customWidth="1"/>
    <col min="23" max="23" width="6.140625" style="0" customWidth="1"/>
    <col min="24" max="24" width="10.140625" style="0" customWidth="1"/>
    <col min="25" max="25" width="7.7109375" style="0" customWidth="1"/>
    <col min="26" max="26" width="7.28125" style="0" customWidth="1"/>
    <col min="27" max="27" width="8.28125" style="0" customWidth="1"/>
    <col min="28" max="28" width="8.8515625" style="0" customWidth="1"/>
    <col min="29" max="29" width="9.28125" style="0" customWidth="1"/>
    <col min="30" max="31" width="8.7109375" style="0" customWidth="1"/>
    <col min="32" max="32" width="6.28125" style="0" customWidth="1"/>
    <col min="33" max="33" width="12.00390625" style="0" bestFit="1" customWidth="1"/>
  </cols>
  <sheetData>
    <row r="3" spans="1:32" ht="12.75">
      <c r="A3" s="9" t="s">
        <v>493</v>
      </c>
      <c r="B3" s="10"/>
      <c r="C3" s="10"/>
      <c r="D3" s="10"/>
      <c r="E3" s="10"/>
      <c r="F3" s="10"/>
      <c r="G3" s="10"/>
      <c r="H3" s="9" t="s">
        <v>49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2" ht="12.75">
      <c r="A4" s="9" t="s">
        <v>45</v>
      </c>
      <c r="B4" s="9" t="s">
        <v>46</v>
      </c>
      <c r="C4" s="9" t="s">
        <v>38</v>
      </c>
      <c r="D4" s="9" t="s">
        <v>39</v>
      </c>
      <c r="E4" s="9" t="s">
        <v>41</v>
      </c>
      <c r="F4" s="9" t="s">
        <v>43</v>
      </c>
      <c r="G4" s="9" t="s">
        <v>40</v>
      </c>
      <c r="H4" s="12" t="s">
        <v>212</v>
      </c>
      <c r="I4" s="13" t="s">
        <v>159</v>
      </c>
      <c r="J4" s="13" t="s">
        <v>67</v>
      </c>
      <c r="K4" s="13" t="s">
        <v>324</v>
      </c>
      <c r="L4" s="13" t="s">
        <v>328</v>
      </c>
      <c r="M4" s="13" t="s">
        <v>329</v>
      </c>
      <c r="N4" s="13" t="s">
        <v>158</v>
      </c>
      <c r="O4" s="13" t="s">
        <v>92</v>
      </c>
      <c r="P4" s="13" t="s">
        <v>228</v>
      </c>
      <c r="Q4" s="13" t="s">
        <v>452</v>
      </c>
      <c r="R4" s="13" t="s">
        <v>453</v>
      </c>
      <c r="S4" s="13" t="s">
        <v>216</v>
      </c>
      <c r="T4" s="13" t="s">
        <v>72</v>
      </c>
      <c r="U4" s="13" t="s">
        <v>318</v>
      </c>
      <c r="V4" s="13" t="s">
        <v>246</v>
      </c>
      <c r="W4" s="13" t="s">
        <v>415</v>
      </c>
      <c r="X4" s="13" t="s">
        <v>355</v>
      </c>
      <c r="Y4" s="13" t="s">
        <v>219</v>
      </c>
      <c r="Z4" s="13" t="s">
        <v>217</v>
      </c>
      <c r="AA4" s="13" t="s">
        <v>61</v>
      </c>
      <c r="AB4" s="13" t="s">
        <v>62</v>
      </c>
      <c r="AC4" s="13" t="s">
        <v>470</v>
      </c>
      <c r="AD4" s="13" t="s">
        <v>320</v>
      </c>
      <c r="AE4" s="13" t="s">
        <v>205</v>
      </c>
      <c r="AF4" s="14" t="s">
        <v>35</v>
      </c>
    </row>
    <row r="5" spans="1:32" ht="12.75">
      <c r="A5" s="12"/>
      <c r="B5" s="12" t="s">
        <v>59</v>
      </c>
      <c r="C5" s="12" t="s">
        <v>53</v>
      </c>
      <c r="D5" s="12" t="s">
        <v>54</v>
      </c>
      <c r="E5" s="15">
        <v>38808</v>
      </c>
      <c r="F5" s="15">
        <v>38943</v>
      </c>
      <c r="G5" s="16">
        <v>94</v>
      </c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>
        <v>25.44</v>
      </c>
      <c r="AC5" s="18"/>
      <c r="AD5" s="18"/>
      <c r="AE5" s="18"/>
      <c r="AF5" s="19">
        <v>25.44</v>
      </c>
    </row>
    <row r="6" spans="1:32" ht="12.75">
      <c r="A6" s="12" t="s">
        <v>65</v>
      </c>
      <c r="B6" s="12" t="s">
        <v>59</v>
      </c>
      <c r="C6" s="12" t="s">
        <v>63</v>
      </c>
      <c r="D6" s="12" t="s">
        <v>64</v>
      </c>
      <c r="E6" s="15">
        <v>38596</v>
      </c>
      <c r="F6" s="15">
        <v>38943</v>
      </c>
      <c r="G6" s="16">
        <v>238</v>
      </c>
      <c r="H6" s="17"/>
      <c r="I6" s="18"/>
      <c r="J6" s="18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2</v>
      </c>
      <c r="AC6" s="18"/>
      <c r="AD6" s="18"/>
      <c r="AE6" s="18"/>
      <c r="AF6" s="19">
        <v>3</v>
      </c>
    </row>
    <row r="7" spans="1:32" ht="12.75">
      <c r="A7" s="20"/>
      <c r="B7" s="20"/>
      <c r="C7" s="12" t="s">
        <v>69</v>
      </c>
      <c r="D7" s="12" t="s">
        <v>70</v>
      </c>
      <c r="E7" s="15">
        <v>38838</v>
      </c>
      <c r="F7" s="15">
        <v>38943</v>
      </c>
      <c r="G7" s="16">
        <v>74</v>
      </c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10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>
        <v>10</v>
      </c>
    </row>
    <row r="8" spans="1:32" ht="12.75">
      <c r="A8" s="20"/>
      <c r="B8" s="20"/>
      <c r="C8" s="12" t="s">
        <v>73</v>
      </c>
      <c r="D8" s="12" t="s">
        <v>74</v>
      </c>
      <c r="E8" s="15">
        <v>38657</v>
      </c>
      <c r="F8" s="15">
        <v>38945</v>
      </c>
      <c r="G8" s="16">
        <v>197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2</v>
      </c>
      <c r="AC8" s="18"/>
      <c r="AD8" s="18"/>
      <c r="AE8" s="18"/>
      <c r="AF8" s="19">
        <v>2</v>
      </c>
    </row>
    <row r="9" spans="1:32" ht="12.75">
      <c r="A9" s="20"/>
      <c r="B9" s="20"/>
      <c r="C9" s="12" t="s">
        <v>85</v>
      </c>
      <c r="D9" s="12" t="s">
        <v>86</v>
      </c>
      <c r="E9" s="15">
        <v>38718</v>
      </c>
      <c r="F9" s="15">
        <v>39353</v>
      </c>
      <c r="G9" s="16">
        <v>171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>
        <v>8</v>
      </c>
      <c r="AC9" s="18"/>
      <c r="AD9" s="18"/>
      <c r="AE9" s="18"/>
      <c r="AF9" s="19">
        <v>8</v>
      </c>
    </row>
    <row r="10" spans="1:32" ht="12.75">
      <c r="A10" s="20"/>
      <c r="B10" s="20"/>
      <c r="C10" s="12" t="s">
        <v>79</v>
      </c>
      <c r="D10" s="12" t="s">
        <v>80</v>
      </c>
      <c r="E10" s="15">
        <v>38838</v>
      </c>
      <c r="F10" s="15">
        <v>39113</v>
      </c>
      <c r="G10" s="16">
        <v>83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16</v>
      </c>
      <c r="AC10" s="18"/>
      <c r="AD10" s="18"/>
      <c r="AE10" s="18"/>
      <c r="AF10" s="19">
        <v>16</v>
      </c>
    </row>
    <row r="11" spans="1:32" ht="12.75">
      <c r="A11" s="20"/>
      <c r="B11" s="20"/>
      <c r="C11" s="12" t="s">
        <v>82</v>
      </c>
      <c r="D11" s="12" t="s">
        <v>83</v>
      </c>
      <c r="E11" s="15">
        <v>39052</v>
      </c>
      <c r="F11" s="15">
        <v>39070</v>
      </c>
      <c r="G11" s="16">
        <v>13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40</v>
      </c>
      <c r="AC11" s="18"/>
      <c r="AD11" s="18"/>
      <c r="AE11" s="18"/>
      <c r="AF11" s="19">
        <v>40</v>
      </c>
    </row>
    <row r="12" spans="1:32" ht="12.75">
      <c r="A12" s="20"/>
      <c r="B12" s="20"/>
      <c r="C12" s="12" t="s">
        <v>76</v>
      </c>
      <c r="D12" s="12" t="s">
        <v>77</v>
      </c>
      <c r="E12" s="15">
        <v>38628</v>
      </c>
      <c r="F12" s="15">
        <v>38947</v>
      </c>
      <c r="G12" s="16">
        <v>220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1.5</v>
      </c>
      <c r="AC12" s="18"/>
      <c r="AD12" s="18"/>
      <c r="AE12" s="18"/>
      <c r="AF12" s="19">
        <v>1.5</v>
      </c>
    </row>
    <row r="13" spans="1:32" ht="12.75">
      <c r="A13" s="12" t="s">
        <v>89</v>
      </c>
      <c r="B13" s="12" t="s">
        <v>156</v>
      </c>
      <c r="C13" s="12" t="s">
        <v>154</v>
      </c>
      <c r="D13" s="12" t="s">
        <v>155</v>
      </c>
      <c r="E13" s="15">
        <v>38749</v>
      </c>
      <c r="F13" s="15">
        <v>39721</v>
      </c>
      <c r="G13" s="16">
        <v>669</v>
      </c>
      <c r="H13" s="17"/>
      <c r="I13" s="18">
        <v>17.82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100.44</v>
      </c>
      <c r="U13" s="18"/>
      <c r="V13" s="18"/>
      <c r="W13" s="18"/>
      <c r="X13" s="18"/>
      <c r="Y13" s="18"/>
      <c r="Z13" s="18"/>
      <c r="AA13" s="18">
        <v>97.2</v>
      </c>
      <c r="AB13" s="18"/>
      <c r="AC13" s="18"/>
      <c r="AD13" s="18"/>
      <c r="AE13" s="18"/>
      <c r="AF13" s="19">
        <v>215.46</v>
      </c>
    </row>
    <row r="14" spans="1:32" ht="12.75">
      <c r="A14" s="20"/>
      <c r="B14" s="12" t="s">
        <v>122</v>
      </c>
      <c r="C14" s="12" t="s">
        <v>151</v>
      </c>
      <c r="D14" s="12" t="s">
        <v>152</v>
      </c>
      <c r="E14" s="15">
        <v>39489</v>
      </c>
      <c r="F14" s="15">
        <v>39612</v>
      </c>
      <c r="G14" s="16">
        <v>89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>
        <v>45</v>
      </c>
      <c r="X14" s="18"/>
      <c r="Y14" s="18"/>
      <c r="Z14" s="18"/>
      <c r="AA14" s="18"/>
      <c r="AB14" s="18"/>
      <c r="AC14" s="18"/>
      <c r="AD14" s="18"/>
      <c r="AE14" s="18"/>
      <c r="AF14" s="19">
        <v>45</v>
      </c>
    </row>
    <row r="15" spans="1:32" ht="12.75">
      <c r="A15" s="20"/>
      <c r="B15" s="20"/>
      <c r="C15" s="12" t="s">
        <v>142</v>
      </c>
      <c r="D15" s="12" t="s">
        <v>143</v>
      </c>
      <c r="E15" s="15">
        <v>39325</v>
      </c>
      <c r="F15" s="15">
        <v>39463</v>
      </c>
      <c r="G15" s="16">
        <v>89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>
        <v>25</v>
      </c>
      <c r="X15" s="18"/>
      <c r="Y15" s="18"/>
      <c r="Z15" s="18"/>
      <c r="AA15" s="18"/>
      <c r="AB15" s="18"/>
      <c r="AC15" s="18"/>
      <c r="AD15" s="18"/>
      <c r="AE15" s="18"/>
      <c r="AF15" s="19">
        <v>25</v>
      </c>
    </row>
    <row r="16" spans="1:32" ht="12.75">
      <c r="A16" s="20"/>
      <c r="B16" s="20"/>
      <c r="C16" s="12" t="s">
        <v>125</v>
      </c>
      <c r="D16" s="12" t="s">
        <v>126</v>
      </c>
      <c r="E16" s="15">
        <v>39041</v>
      </c>
      <c r="F16" s="15">
        <v>39141</v>
      </c>
      <c r="G16" s="16">
        <v>65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3</v>
      </c>
      <c r="X16" s="18"/>
      <c r="Y16" s="18"/>
      <c r="Z16" s="18"/>
      <c r="AA16" s="18"/>
      <c r="AB16" s="18"/>
      <c r="AC16" s="18"/>
      <c r="AD16" s="18"/>
      <c r="AE16" s="18"/>
      <c r="AF16" s="19">
        <v>3</v>
      </c>
    </row>
    <row r="17" spans="1:32" ht="12.75">
      <c r="A17" s="20"/>
      <c r="B17" s="20"/>
      <c r="C17" s="12" t="s">
        <v>133</v>
      </c>
      <c r="D17" s="12" t="s">
        <v>134</v>
      </c>
      <c r="E17" s="15">
        <v>39357</v>
      </c>
      <c r="F17" s="15">
        <v>39549</v>
      </c>
      <c r="G17" s="16">
        <v>130</v>
      </c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>
        <v>55</v>
      </c>
      <c r="X17" s="18"/>
      <c r="Y17" s="18"/>
      <c r="Z17" s="18"/>
      <c r="AA17" s="18"/>
      <c r="AB17" s="18"/>
      <c r="AC17" s="18"/>
      <c r="AD17" s="18"/>
      <c r="AE17" s="18"/>
      <c r="AF17" s="19">
        <v>55</v>
      </c>
    </row>
    <row r="18" spans="1:32" ht="12.75">
      <c r="A18" s="20"/>
      <c r="B18" s="12" t="s">
        <v>114</v>
      </c>
      <c r="C18" s="12" t="s">
        <v>112</v>
      </c>
      <c r="D18" s="12" t="s">
        <v>113</v>
      </c>
      <c r="E18" s="15">
        <v>38992</v>
      </c>
      <c r="F18" s="15">
        <v>39017</v>
      </c>
      <c r="G18" s="16">
        <v>20</v>
      </c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45</v>
      </c>
      <c r="X18" s="18"/>
      <c r="Y18" s="18"/>
      <c r="Z18" s="18"/>
      <c r="AA18" s="18"/>
      <c r="AB18" s="18"/>
      <c r="AC18" s="18"/>
      <c r="AD18" s="18"/>
      <c r="AE18" s="18"/>
      <c r="AF18" s="19">
        <v>45</v>
      </c>
    </row>
    <row r="19" spans="1:32" ht="12.75">
      <c r="A19" s="20"/>
      <c r="B19" s="12" t="s">
        <v>90</v>
      </c>
      <c r="C19" s="12" t="s">
        <v>87</v>
      </c>
      <c r="D19" s="12" t="s">
        <v>88</v>
      </c>
      <c r="E19" s="15">
        <v>38687</v>
      </c>
      <c r="F19" s="15">
        <v>39386</v>
      </c>
      <c r="G19" s="16">
        <v>207</v>
      </c>
      <c r="H19" s="17"/>
      <c r="I19" s="18"/>
      <c r="J19" s="18"/>
      <c r="K19" s="18"/>
      <c r="L19" s="18"/>
      <c r="M19" s="18"/>
      <c r="N19" s="18"/>
      <c r="O19" s="18">
        <v>384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>
        <v>384</v>
      </c>
    </row>
    <row r="20" spans="1:32" ht="12.75">
      <c r="A20" s="20"/>
      <c r="B20" s="12" t="s">
        <v>95</v>
      </c>
      <c r="C20" s="12" t="s">
        <v>101</v>
      </c>
      <c r="D20" s="12" t="s">
        <v>102</v>
      </c>
      <c r="E20" s="15">
        <v>39234</v>
      </c>
      <c r="F20" s="15">
        <v>39318</v>
      </c>
      <c r="G20" s="16">
        <v>60</v>
      </c>
      <c r="H20" s="17"/>
      <c r="I20" s="18"/>
      <c r="J20" s="18"/>
      <c r="K20" s="18"/>
      <c r="L20" s="18"/>
      <c r="M20" s="18"/>
      <c r="N20" s="18"/>
      <c r="O20" s="18">
        <v>400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>
        <v>400</v>
      </c>
    </row>
    <row r="21" spans="1:32" ht="12.75">
      <c r="A21" s="20"/>
      <c r="B21" s="12" t="s">
        <v>106</v>
      </c>
      <c r="C21" s="12" t="s">
        <v>109</v>
      </c>
      <c r="D21" s="12" t="s">
        <v>110</v>
      </c>
      <c r="E21" s="15">
        <v>39297</v>
      </c>
      <c r="F21" s="15">
        <v>39388</v>
      </c>
      <c r="G21" s="16">
        <v>65</v>
      </c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59.67</v>
      </c>
      <c r="X21" s="18"/>
      <c r="Y21" s="18"/>
      <c r="Z21" s="18"/>
      <c r="AA21" s="18"/>
      <c r="AB21" s="18"/>
      <c r="AC21" s="18"/>
      <c r="AD21" s="18"/>
      <c r="AE21" s="18"/>
      <c r="AF21" s="19">
        <v>59.67</v>
      </c>
    </row>
    <row r="22" spans="1:32" ht="12.75">
      <c r="A22" s="20"/>
      <c r="B22" s="12" t="s">
        <v>118</v>
      </c>
      <c r="C22" s="12" t="s">
        <v>116</v>
      </c>
      <c r="D22" s="12" t="s">
        <v>117</v>
      </c>
      <c r="E22" s="15">
        <v>38992</v>
      </c>
      <c r="F22" s="15">
        <v>39085</v>
      </c>
      <c r="G22" s="16">
        <v>60</v>
      </c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2.4</v>
      </c>
      <c r="X22" s="18"/>
      <c r="Y22" s="18"/>
      <c r="Z22" s="18"/>
      <c r="AA22" s="18"/>
      <c r="AB22" s="18"/>
      <c r="AC22" s="18"/>
      <c r="AD22" s="18"/>
      <c r="AE22" s="18"/>
      <c r="AF22" s="19">
        <v>2.4</v>
      </c>
    </row>
    <row r="23" spans="1:32" ht="12.75">
      <c r="A23" s="12" t="s">
        <v>162</v>
      </c>
      <c r="B23" s="12" t="s">
        <v>156</v>
      </c>
      <c r="C23" s="12" t="s">
        <v>195</v>
      </c>
      <c r="D23" s="12" t="s">
        <v>196</v>
      </c>
      <c r="E23" s="15">
        <v>38626</v>
      </c>
      <c r="F23" s="15">
        <v>38989</v>
      </c>
      <c r="G23" s="16">
        <v>249</v>
      </c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v>86.5</v>
      </c>
      <c r="U23" s="18"/>
      <c r="V23" s="18"/>
      <c r="W23" s="18"/>
      <c r="X23" s="18"/>
      <c r="Y23" s="18"/>
      <c r="Z23" s="18"/>
      <c r="AA23" s="18"/>
      <c r="AB23" s="18"/>
      <c r="AC23" s="18"/>
      <c r="AD23" s="18">
        <v>1.3839999999999995</v>
      </c>
      <c r="AE23" s="18"/>
      <c r="AF23" s="19">
        <v>87.884</v>
      </c>
    </row>
    <row r="24" spans="1:32" ht="12.75">
      <c r="A24" s="20"/>
      <c r="B24" s="20"/>
      <c r="C24" s="12" t="s">
        <v>198</v>
      </c>
      <c r="D24" s="12" t="s">
        <v>199</v>
      </c>
      <c r="E24" s="15">
        <v>38734</v>
      </c>
      <c r="F24" s="15">
        <v>38936</v>
      </c>
      <c r="G24" s="16">
        <v>143</v>
      </c>
      <c r="H24" s="17"/>
      <c r="I24" s="18"/>
      <c r="J24" s="18"/>
      <c r="K24" s="18"/>
      <c r="L24" s="18"/>
      <c r="M24" s="18"/>
      <c r="N24" s="18"/>
      <c r="O24" s="18">
        <v>5.599999999999994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>
        <v>5.599999999999994</v>
      </c>
    </row>
    <row r="25" spans="1:32" ht="12.75">
      <c r="A25" s="20"/>
      <c r="B25" s="12" t="s">
        <v>167</v>
      </c>
      <c r="C25" s="12" t="s">
        <v>172</v>
      </c>
      <c r="D25" s="12" t="s">
        <v>173</v>
      </c>
      <c r="E25" s="15">
        <v>38940</v>
      </c>
      <c r="F25" s="15">
        <v>38946</v>
      </c>
      <c r="G25" s="16">
        <v>5</v>
      </c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>
        <v>50</v>
      </c>
      <c r="X25" s="18"/>
      <c r="Y25" s="18"/>
      <c r="Z25" s="18"/>
      <c r="AA25" s="18"/>
      <c r="AB25" s="18"/>
      <c r="AC25" s="18"/>
      <c r="AD25" s="18"/>
      <c r="AE25" s="18"/>
      <c r="AF25" s="19">
        <v>50</v>
      </c>
    </row>
    <row r="26" spans="1:32" ht="12.75">
      <c r="A26" s="20"/>
      <c r="B26" s="20"/>
      <c r="C26" s="12" t="s">
        <v>165</v>
      </c>
      <c r="D26" s="12" t="s">
        <v>166</v>
      </c>
      <c r="E26" s="15">
        <v>38922</v>
      </c>
      <c r="F26" s="15">
        <v>38936</v>
      </c>
      <c r="G26" s="16">
        <v>11</v>
      </c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>
        <v>30</v>
      </c>
      <c r="X26" s="18"/>
      <c r="Y26" s="18"/>
      <c r="Z26" s="18"/>
      <c r="AA26" s="18"/>
      <c r="AB26" s="18"/>
      <c r="AC26" s="18"/>
      <c r="AD26" s="18"/>
      <c r="AE26" s="18"/>
      <c r="AF26" s="19">
        <v>30</v>
      </c>
    </row>
    <row r="27" spans="1:32" ht="12.75">
      <c r="A27" s="20"/>
      <c r="B27" s="20"/>
      <c r="C27" s="12" t="s">
        <v>169</v>
      </c>
      <c r="D27" s="12" t="s">
        <v>170</v>
      </c>
      <c r="E27" s="15">
        <v>38937</v>
      </c>
      <c r="F27" s="15">
        <v>38939</v>
      </c>
      <c r="G27" s="16">
        <v>3</v>
      </c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50</v>
      </c>
      <c r="X27" s="18"/>
      <c r="Y27" s="18"/>
      <c r="Z27" s="18"/>
      <c r="AA27" s="18"/>
      <c r="AB27" s="18"/>
      <c r="AC27" s="18"/>
      <c r="AD27" s="18"/>
      <c r="AE27" s="18"/>
      <c r="AF27" s="19">
        <v>50</v>
      </c>
    </row>
    <row r="28" spans="1:32" ht="12.75">
      <c r="A28" s="20"/>
      <c r="B28" s="20"/>
      <c r="C28" s="12" t="s">
        <v>177</v>
      </c>
      <c r="D28" s="12" t="s">
        <v>178</v>
      </c>
      <c r="E28" s="15">
        <v>38966</v>
      </c>
      <c r="F28" s="15">
        <v>38968</v>
      </c>
      <c r="G28" s="16">
        <v>3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>
        <v>23</v>
      </c>
      <c r="X28" s="18"/>
      <c r="Y28" s="18"/>
      <c r="Z28" s="18"/>
      <c r="AA28" s="18"/>
      <c r="AB28" s="18"/>
      <c r="AC28" s="18"/>
      <c r="AD28" s="18"/>
      <c r="AE28" s="18"/>
      <c r="AF28" s="19">
        <v>23</v>
      </c>
    </row>
    <row r="29" spans="1:32" ht="12.75">
      <c r="A29" s="20"/>
      <c r="B29" s="20"/>
      <c r="C29" s="12" t="s">
        <v>180</v>
      </c>
      <c r="D29" s="12" t="s">
        <v>181</v>
      </c>
      <c r="E29" s="15">
        <v>38971</v>
      </c>
      <c r="F29" s="15">
        <v>38972</v>
      </c>
      <c r="G29" s="16">
        <v>2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>
        <v>22</v>
      </c>
      <c r="X29" s="18"/>
      <c r="Y29" s="18"/>
      <c r="Z29" s="18"/>
      <c r="AA29" s="18"/>
      <c r="AB29" s="18"/>
      <c r="AC29" s="18"/>
      <c r="AD29" s="18"/>
      <c r="AE29" s="18"/>
      <c r="AF29" s="19">
        <v>22</v>
      </c>
    </row>
    <row r="30" spans="1:32" ht="12.75">
      <c r="A30" s="20"/>
      <c r="B30" s="12" t="s">
        <v>190</v>
      </c>
      <c r="C30" s="12" t="s">
        <v>191</v>
      </c>
      <c r="D30" s="12" t="s">
        <v>192</v>
      </c>
      <c r="E30" s="15">
        <v>38901</v>
      </c>
      <c r="F30" s="15">
        <v>38974</v>
      </c>
      <c r="G30" s="16">
        <v>54</v>
      </c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97.2</v>
      </c>
      <c r="X30" s="18"/>
      <c r="Y30" s="18"/>
      <c r="Z30" s="18"/>
      <c r="AA30" s="18"/>
      <c r="AB30" s="18"/>
      <c r="AC30" s="18"/>
      <c r="AD30" s="18"/>
      <c r="AE30" s="18"/>
      <c r="AF30" s="19">
        <v>97.2</v>
      </c>
    </row>
    <row r="31" spans="1:32" ht="12.75">
      <c r="A31" s="12" t="s">
        <v>202</v>
      </c>
      <c r="B31" s="12" t="s">
        <v>203</v>
      </c>
      <c r="C31" s="12" t="s">
        <v>200</v>
      </c>
      <c r="D31" s="12" t="s">
        <v>201</v>
      </c>
      <c r="E31" s="15">
        <v>38412</v>
      </c>
      <c r="F31" s="15">
        <v>38960</v>
      </c>
      <c r="G31" s="16">
        <v>381</v>
      </c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>
        <v>4</v>
      </c>
      <c r="AF31" s="19">
        <v>4</v>
      </c>
    </row>
    <row r="32" spans="1:32" ht="12.75">
      <c r="A32" s="20"/>
      <c r="B32" s="20"/>
      <c r="C32" s="12" t="s">
        <v>206</v>
      </c>
      <c r="D32" s="12" t="s">
        <v>207</v>
      </c>
      <c r="E32" s="15">
        <v>38412</v>
      </c>
      <c r="F32" s="15">
        <v>38960</v>
      </c>
      <c r="G32" s="16">
        <v>381</v>
      </c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32.3</v>
      </c>
      <c r="AC32" s="18"/>
      <c r="AD32" s="18"/>
      <c r="AE32" s="18"/>
      <c r="AF32" s="19">
        <v>32.3</v>
      </c>
    </row>
    <row r="33" spans="1:32" ht="12.75">
      <c r="A33" s="20"/>
      <c r="B33" s="20"/>
      <c r="C33" s="12" t="s">
        <v>208</v>
      </c>
      <c r="D33" s="12" t="s">
        <v>209</v>
      </c>
      <c r="E33" s="15">
        <v>38412</v>
      </c>
      <c r="F33" s="15">
        <v>38960</v>
      </c>
      <c r="G33" s="16">
        <v>381</v>
      </c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v>12</v>
      </c>
      <c r="AC33" s="18"/>
      <c r="AD33" s="18"/>
      <c r="AE33" s="18"/>
      <c r="AF33" s="19">
        <v>12</v>
      </c>
    </row>
    <row r="34" spans="1:32" ht="12.75">
      <c r="A34" s="20"/>
      <c r="B34" s="20"/>
      <c r="C34" s="12" t="s">
        <v>213</v>
      </c>
      <c r="D34" s="12" t="s">
        <v>214</v>
      </c>
      <c r="E34" s="15">
        <v>38201</v>
      </c>
      <c r="F34" s="15">
        <v>39084</v>
      </c>
      <c r="G34" s="16">
        <v>560</v>
      </c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52.7</v>
      </c>
      <c r="T34" s="18"/>
      <c r="U34" s="18"/>
      <c r="V34" s="18"/>
      <c r="W34" s="18"/>
      <c r="X34" s="18"/>
      <c r="Y34" s="18">
        <v>0.5</v>
      </c>
      <c r="Z34" s="18">
        <v>0.4</v>
      </c>
      <c r="AA34" s="18"/>
      <c r="AB34" s="18"/>
      <c r="AC34" s="18"/>
      <c r="AD34" s="18"/>
      <c r="AE34" s="18">
        <v>4</v>
      </c>
      <c r="AF34" s="19">
        <v>57.6</v>
      </c>
    </row>
    <row r="35" spans="1:32" ht="12.75">
      <c r="A35" s="20"/>
      <c r="B35" s="20"/>
      <c r="C35" s="12" t="s">
        <v>222</v>
      </c>
      <c r="D35" s="12" t="s">
        <v>223</v>
      </c>
      <c r="E35" s="15">
        <v>38596</v>
      </c>
      <c r="F35" s="15">
        <v>39084</v>
      </c>
      <c r="G35" s="16">
        <v>288</v>
      </c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>
        <v>18</v>
      </c>
      <c r="AF35" s="19">
        <v>18</v>
      </c>
    </row>
    <row r="36" spans="1:32" ht="12.75">
      <c r="A36" s="20"/>
      <c r="B36" s="20"/>
      <c r="C36" s="12" t="s">
        <v>224</v>
      </c>
      <c r="D36" s="12" t="s">
        <v>225</v>
      </c>
      <c r="E36" s="15">
        <v>38621</v>
      </c>
      <c r="F36" s="15">
        <v>39084</v>
      </c>
      <c r="G36" s="16">
        <v>271</v>
      </c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36</v>
      </c>
      <c r="AF36" s="19">
        <v>36</v>
      </c>
    </row>
    <row r="37" spans="1:32" ht="12.75">
      <c r="A37" s="20"/>
      <c r="B37" s="20"/>
      <c r="C37" s="12" t="s">
        <v>226</v>
      </c>
      <c r="D37" s="12" t="s">
        <v>227</v>
      </c>
      <c r="E37" s="15">
        <v>38992</v>
      </c>
      <c r="F37" s="15">
        <v>39052</v>
      </c>
      <c r="G37" s="16">
        <v>43</v>
      </c>
      <c r="H37" s="17"/>
      <c r="I37" s="18"/>
      <c r="J37" s="18"/>
      <c r="K37" s="18"/>
      <c r="L37" s="18"/>
      <c r="M37" s="18"/>
      <c r="N37" s="18"/>
      <c r="O37" s="18"/>
      <c r="P37" s="18">
        <v>40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>
        <v>40</v>
      </c>
    </row>
    <row r="38" spans="1:32" ht="12.75">
      <c r="A38" s="20"/>
      <c r="B38" s="20"/>
      <c r="C38" s="12" t="s">
        <v>229</v>
      </c>
      <c r="D38" s="12" t="s">
        <v>230</v>
      </c>
      <c r="E38" s="15">
        <v>38992</v>
      </c>
      <c r="F38" s="15">
        <v>39052</v>
      </c>
      <c r="G38" s="16">
        <v>43</v>
      </c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40</v>
      </c>
      <c r="AC38" s="18"/>
      <c r="AD38" s="18"/>
      <c r="AE38" s="18"/>
      <c r="AF38" s="19">
        <v>40</v>
      </c>
    </row>
    <row r="39" spans="1:32" ht="12.75">
      <c r="A39" s="20"/>
      <c r="B39" s="20"/>
      <c r="C39" s="12" t="s">
        <v>210</v>
      </c>
      <c r="D39" s="12" t="s">
        <v>211</v>
      </c>
      <c r="E39" s="15">
        <v>38504</v>
      </c>
      <c r="F39" s="15">
        <v>38960</v>
      </c>
      <c r="G39" s="16">
        <v>316</v>
      </c>
      <c r="H39" s="17">
        <v>10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>
        <v>10</v>
      </c>
    </row>
    <row r="40" spans="1:32" ht="12.75">
      <c r="A40" s="20"/>
      <c r="B40" s="20"/>
      <c r="C40" s="12" t="s">
        <v>231</v>
      </c>
      <c r="D40" s="12" t="s">
        <v>232</v>
      </c>
      <c r="E40" s="15">
        <v>38474</v>
      </c>
      <c r="F40" s="15">
        <v>39084</v>
      </c>
      <c r="G40" s="16">
        <v>374</v>
      </c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32</v>
      </c>
      <c r="AF40" s="19">
        <v>32</v>
      </c>
    </row>
    <row r="41" spans="1:32" ht="12.75">
      <c r="A41" s="20"/>
      <c r="B41" s="20"/>
      <c r="C41" s="12" t="s">
        <v>233</v>
      </c>
      <c r="D41" s="12" t="s">
        <v>234</v>
      </c>
      <c r="E41" s="15">
        <v>38473</v>
      </c>
      <c r="F41" s="15">
        <v>39084</v>
      </c>
      <c r="G41" s="16">
        <v>374</v>
      </c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16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>
        <v>16</v>
      </c>
    </row>
    <row r="42" spans="1:32" ht="12.75">
      <c r="A42" s="20"/>
      <c r="B42" s="20"/>
      <c r="C42" s="12" t="s">
        <v>235</v>
      </c>
      <c r="D42" s="12" t="s">
        <v>236</v>
      </c>
      <c r="E42" s="15">
        <v>38261</v>
      </c>
      <c r="F42" s="15">
        <v>39084</v>
      </c>
      <c r="G42" s="16">
        <v>517</v>
      </c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>
        <v>16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>
        <v>16</v>
      </c>
    </row>
    <row r="43" spans="1:32" ht="12.75">
      <c r="A43" s="20"/>
      <c r="B43" s="20"/>
      <c r="C43" s="12" t="s">
        <v>237</v>
      </c>
      <c r="D43" s="12" t="s">
        <v>238</v>
      </c>
      <c r="E43" s="15">
        <v>38261</v>
      </c>
      <c r="F43" s="15">
        <v>39084</v>
      </c>
      <c r="G43" s="16">
        <v>517</v>
      </c>
      <c r="H43" s="17"/>
      <c r="I43" s="18"/>
      <c r="J43" s="18"/>
      <c r="K43" s="18"/>
      <c r="L43" s="18"/>
      <c r="M43" s="18"/>
      <c r="N43" s="18"/>
      <c r="O43" s="18"/>
      <c r="P43" s="18">
        <v>12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>
        <v>12</v>
      </c>
    </row>
    <row r="44" spans="1:32" ht="12.75">
      <c r="A44" s="12" t="s">
        <v>316</v>
      </c>
      <c r="B44" s="12" t="s">
        <v>317</v>
      </c>
      <c r="C44" s="12" t="s">
        <v>314</v>
      </c>
      <c r="D44" s="12" t="s">
        <v>315</v>
      </c>
      <c r="E44" s="15">
        <v>38626</v>
      </c>
      <c r="F44" s="15">
        <v>39142</v>
      </c>
      <c r="G44" s="16">
        <v>350</v>
      </c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263.04</v>
      </c>
      <c r="V44" s="18"/>
      <c r="W44" s="18"/>
      <c r="X44" s="18"/>
      <c r="Y44" s="18"/>
      <c r="Z44" s="18"/>
      <c r="AA44" s="18"/>
      <c r="AB44" s="18"/>
      <c r="AC44" s="18"/>
      <c r="AD44" s="18">
        <v>10.686</v>
      </c>
      <c r="AE44" s="18">
        <v>43.977</v>
      </c>
      <c r="AF44" s="19">
        <v>317.703</v>
      </c>
    </row>
    <row r="45" spans="1:32" ht="12.75">
      <c r="A45" s="12" t="s">
        <v>243</v>
      </c>
      <c r="B45" s="12" t="s">
        <v>244</v>
      </c>
      <c r="C45" s="12" t="s">
        <v>241</v>
      </c>
      <c r="D45" s="12" t="s">
        <v>242</v>
      </c>
      <c r="E45" s="15">
        <v>38779</v>
      </c>
      <c r="F45" s="15">
        <v>38959</v>
      </c>
      <c r="G45" s="16">
        <v>127</v>
      </c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8</v>
      </c>
      <c r="W45" s="18"/>
      <c r="X45" s="18"/>
      <c r="Y45" s="18"/>
      <c r="Z45" s="18"/>
      <c r="AA45" s="18"/>
      <c r="AB45" s="18"/>
      <c r="AC45" s="18"/>
      <c r="AD45" s="18"/>
      <c r="AE45" s="18"/>
      <c r="AF45" s="19">
        <v>8</v>
      </c>
    </row>
    <row r="46" spans="1:32" ht="12.75">
      <c r="A46" s="20"/>
      <c r="B46" s="20"/>
      <c r="C46" s="12" t="s">
        <v>247</v>
      </c>
      <c r="D46" s="12" t="s">
        <v>248</v>
      </c>
      <c r="E46" s="15">
        <v>38960</v>
      </c>
      <c r="F46" s="15">
        <v>38967</v>
      </c>
      <c r="G46" s="16">
        <v>5</v>
      </c>
      <c r="H46" s="17">
        <v>20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>
        <v>20</v>
      </c>
    </row>
    <row r="47" spans="1:32" ht="12.75">
      <c r="A47" s="20"/>
      <c r="B47" s="20"/>
      <c r="C47" s="12" t="s">
        <v>249</v>
      </c>
      <c r="D47" s="12" t="s">
        <v>250</v>
      </c>
      <c r="E47" s="15">
        <v>38838</v>
      </c>
      <c r="F47" s="15">
        <v>38959</v>
      </c>
      <c r="G47" s="16">
        <v>86</v>
      </c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10</v>
      </c>
      <c r="W47" s="18"/>
      <c r="X47" s="18"/>
      <c r="Y47" s="18"/>
      <c r="Z47" s="18"/>
      <c r="AA47" s="18"/>
      <c r="AB47" s="18"/>
      <c r="AC47" s="18"/>
      <c r="AD47" s="18"/>
      <c r="AE47" s="18"/>
      <c r="AF47" s="19">
        <v>10</v>
      </c>
    </row>
    <row r="48" spans="1:32" ht="12.75">
      <c r="A48" s="20"/>
      <c r="B48" s="20"/>
      <c r="C48" s="12" t="s">
        <v>252</v>
      </c>
      <c r="D48" s="12" t="s">
        <v>253</v>
      </c>
      <c r="E48" s="15">
        <v>38838</v>
      </c>
      <c r="F48" s="15">
        <v>38959</v>
      </c>
      <c r="G48" s="16">
        <v>86</v>
      </c>
      <c r="H48" s="17">
        <v>14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>
        <v>14</v>
      </c>
    </row>
    <row r="49" spans="1:32" ht="12.75">
      <c r="A49" s="20"/>
      <c r="B49" s="20"/>
      <c r="C49" s="12" t="s">
        <v>254</v>
      </c>
      <c r="D49" s="12" t="s">
        <v>255</v>
      </c>
      <c r="E49" s="15">
        <v>38689</v>
      </c>
      <c r="F49" s="15">
        <v>38947</v>
      </c>
      <c r="G49" s="16">
        <v>177</v>
      </c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>
        <v>4</v>
      </c>
      <c r="W49" s="18"/>
      <c r="X49" s="18"/>
      <c r="Y49" s="18"/>
      <c r="Z49" s="18"/>
      <c r="AA49" s="18"/>
      <c r="AB49" s="18"/>
      <c r="AC49" s="18"/>
      <c r="AD49" s="18"/>
      <c r="AE49" s="18"/>
      <c r="AF49" s="19">
        <v>4</v>
      </c>
    </row>
    <row r="50" spans="1:32" ht="12.75">
      <c r="A50" s="20"/>
      <c r="B50" s="20"/>
      <c r="C50" s="12" t="s">
        <v>256</v>
      </c>
      <c r="D50" s="12" t="s">
        <v>257</v>
      </c>
      <c r="E50" s="15">
        <v>38689</v>
      </c>
      <c r="F50" s="15">
        <v>38947</v>
      </c>
      <c r="G50" s="16">
        <v>177</v>
      </c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8</v>
      </c>
      <c r="W50" s="18"/>
      <c r="X50" s="18"/>
      <c r="Y50" s="18"/>
      <c r="Z50" s="18"/>
      <c r="AA50" s="18"/>
      <c r="AB50" s="18"/>
      <c r="AC50" s="18"/>
      <c r="AD50" s="18"/>
      <c r="AE50" s="18"/>
      <c r="AF50" s="19">
        <v>8</v>
      </c>
    </row>
    <row r="51" spans="1:32" ht="12.75">
      <c r="A51" s="20"/>
      <c r="B51" s="20"/>
      <c r="C51" s="12" t="s">
        <v>258</v>
      </c>
      <c r="D51" s="12" t="s">
        <v>259</v>
      </c>
      <c r="E51" s="15">
        <v>38950</v>
      </c>
      <c r="F51" s="15">
        <v>38954</v>
      </c>
      <c r="G51" s="16">
        <v>5</v>
      </c>
      <c r="H51" s="17">
        <v>4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>
        <v>4</v>
      </c>
    </row>
    <row r="52" spans="1:32" ht="12.75">
      <c r="A52" s="20"/>
      <c r="B52" s="20"/>
      <c r="C52" s="12" t="s">
        <v>260</v>
      </c>
      <c r="D52" s="12" t="s">
        <v>261</v>
      </c>
      <c r="E52" s="15">
        <v>38779</v>
      </c>
      <c r="F52" s="15">
        <v>38989</v>
      </c>
      <c r="G52" s="16">
        <v>148</v>
      </c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>
        <v>10</v>
      </c>
      <c r="W52" s="18"/>
      <c r="X52" s="18"/>
      <c r="Y52" s="18"/>
      <c r="Z52" s="18"/>
      <c r="AA52" s="18"/>
      <c r="AB52" s="18"/>
      <c r="AC52" s="18"/>
      <c r="AD52" s="18"/>
      <c r="AE52" s="18"/>
      <c r="AF52" s="19">
        <v>10</v>
      </c>
    </row>
    <row r="53" spans="1:32" ht="12.75">
      <c r="A53" s="20"/>
      <c r="B53" s="20"/>
      <c r="C53" s="12" t="s">
        <v>262</v>
      </c>
      <c r="D53" s="12" t="s">
        <v>263</v>
      </c>
      <c r="E53" s="15">
        <v>38779</v>
      </c>
      <c r="F53" s="15">
        <v>38988</v>
      </c>
      <c r="G53" s="16">
        <v>147</v>
      </c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>
        <v>28</v>
      </c>
      <c r="W53" s="18"/>
      <c r="X53" s="18"/>
      <c r="Y53" s="18"/>
      <c r="Z53" s="18"/>
      <c r="AA53" s="18"/>
      <c r="AB53" s="18"/>
      <c r="AC53" s="18"/>
      <c r="AD53" s="18"/>
      <c r="AE53" s="18"/>
      <c r="AF53" s="19">
        <v>28</v>
      </c>
    </row>
    <row r="54" spans="1:32" ht="12.75">
      <c r="A54" s="20"/>
      <c r="B54" s="20"/>
      <c r="C54" s="12" t="s">
        <v>264</v>
      </c>
      <c r="D54" s="12" t="s">
        <v>265</v>
      </c>
      <c r="E54" s="15">
        <v>38930</v>
      </c>
      <c r="F54" s="15">
        <v>38989</v>
      </c>
      <c r="G54" s="16">
        <v>43</v>
      </c>
      <c r="H54" s="17">
        <v>20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>
        <v>20</v>
      </c>
    </row>
    <row r="55" spans="1:32" ht="12.75">
      <c r="A55" s="20"/>
      <c r="B55" s="20"/>
      <c r="C55" s="12" t="s">
        <v>266</v>
      </c>
      <c r="D55" s="12" t="s">
        <v>267</v>
      </c>
      <c r="E55" s="15">
        <v>38975</v>
      </c>
      <c r="F55" s="15">
        <v>38981</v>
      </c>
      <c r="G55" s="16">
        <v>5</v>
      </c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20</v>
      </c>
      <c r="W55" s="18"/>
      <c r="X55" s="18"/>
      <c r="Y55" s="18"/>
      <c r="Z55" s="18"/>
      <c r="AA55" s="18"/>
      <c r="AB55" s="18"/>
      <c r="AC55" s="18"/>
      <c r="AD55" s="18"/>
      <c r="AE55" s="18"/>
      <c r="AF55" s="19">
        <v>20</v>
      </c>
    </row>
    <row r="56" spans="1:32" ht="12.75">
      <c r="A56" s="20"/>
      <c r="B56" s="20"/>
      <c r="C56" s="12" t="s">
        <v>268</v>
      </c>
      <c r="D56" s="12" t="s">
        <v>269</v>
      </c>
      <c r="E56" s="15">
        <v>38901</v>
      </c>
      <c r="F56" s="15">
        <v>38989</v>
      </c>
      <c r="G56" s="16">
        <v>63</v>
      </c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>
        <v>10</v>
      </c>
      <c r="W56" s="18"/>
      <c r="X56" s="18"/>
      <c r="Y56" s="18"/>
      <c r="Z56" s="18"/>
      <c r="AA56" s="18"/>
      <c r="AB56" s="18"/>
      <c r="AC56" s="18"/>
      <c r="AD56" s="18"/>
      <c r="AE56" s="18"/>
      <c r="AF56" s="19">
        <v>10</v>
      </c>
    </row>
    <row r="57" spans="1:32" ht="12.75">
      <c r="A57" s="20"/>
      <c r="B57" s="20"/>
      <c r="C57" s="12" t="s">
        <v>270</v>
      </c>
      <c r="D57" s="12" t="s">
        <v>271</v>
      </c>
      <c r="E57" s="15">
        <v>38975</v>
      </c>
      <c r="F57" s="15">
        <v>38981</v>
      </c>
      <c r="G57" s="16">
        <v>5</v>
      </c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>
        <v>20</v>
      </c>
      <c r="W57" s="18"/>
      <c r="X57" s="18"/>
      <c r="Y57" s="18"/>
      <c r="Z57" s="18"/>
      <c r="AA57" s="18"/>
      <c r="AB57" s="18"/>
      <c r="AC57" s="18"/>
      <c r="AD57" s="18"/>
      <c r="AE57" s="18"/>
      <c r="AF57" s="19">
        <v>20</v>
      </c>
    </row>
    <row r="58" spans="1:32" ht="12.75">
      <c r="A58" s="20"/>
      <c r="B58" s="20"/>
      <c r="C58" s="12" t="s">
        <v>272</v>
      </c>
      <c r="D58" s="12" t="s">
        <v>273</v>
      </c>
      <c r="E58" s="15">
        <v>38992</v>
      </c>
      <c r="F58" s="15">
        <v>38996</v>
      </c>
      <c r="G58" s="16">
        <v>5</v>
      </c>
      <c r="H58" s="17">
        <v>20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>
        <v>20</v>
      </c>
    </row>
    <row r="59" spans="1:32" ht="12.75">
      <c r="A59" s="20"/>
      <c r="B59" s="20"/>
      <c r="C59" s="12" t="s">
        <v>274</v>
      </c>
      <c r="D59" s="12" t="s">
        <v>275</v>
      </c>
      <c r="E59" s="15">
        <v>38838</v>
      </c>
      <c r="F59" s="15">
        <v>38959</v>
      </c>
      <c r="G59" s="16">
        <v>86</v>
      </c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>
        <v>8</v>
      </c>
      <c r="AF59" s="19">
        <v>8</v>
      </c>
    </row>
    <row r="60" spans="1:32" ht="12.75">
      <c r="A60" s="20"/>
      <c r="B60" s="20"/>
      <c r="C60" s="12" t="s">
        <v>276</v>
      </c>
      <c r="D60" s="12" t="s">
        <v>277</v>
      </c>
      <c r="E60" s="15">
        <v>38960</v>
      </c>
      <c r="F60" s="15">
        <v>38967</v>
      </c>
      <c r="G60" s="16">
        <v>5</v>
      </c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>
        <v>20</v>
      </c>
      <c r="AF60" s="19">
        <v>20</v>
      </c>
    </row>
    <row r="61" spans="1:32" ht="12.75">
      <c r="A61" s="20"/>
      <c r="B61" s="20"/>
      <c r="C61" s="12" t="s">
        <v>278</v>
      </c>
      <c r="D61" s="12" t="s">
        <v>279</v>
      </c>
      <c r="E61" s="15">
        <v>38960</v>
      </c>
      <c r="F61" s="15">
        <v>38967</v>
      </c>
      <c r="G61" s="16">
        <v>5</v>
      </c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>
        <v>20</v>
      </c>
      <c r="AF61" s="19">
        <v>20</v>
      </c>
    </row>
    <row r="62" spans="1:32" ht="12.75">
      <c r="A62" s="20"/>
      <c r="B62" s="20"/>
      <c r="C62" s="12" t="s">
        <v>280</v>
      </c>
      <c r="D62" s="12" t="s">
        <v>281</v>
      </c>
      <c r="E62" s="15">
        <v>38960</v>
      </c>
      <c r="F62" s="15">
        <v>38967</v>
      </c>
      <c r="G62" s="16">
        <v>5</v>
      </c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>
        <v>40</v>
      </c>
      <c r="AF62" s="19">
        <v>40</v>
      </c>
    </row>
    <row r="63" spans="1:32" ht="12.75">
      <c r="A63" s="20"/>
      <c r="B63" s="12" t="s">
        <v>284</v>
      </c>
      <c r="C63" s="12" t="s">
        <v>307</v>
      </c>
      <c r="D63" s="12" t="s">
        <v>242</v>
      </c>
      <c r="E63" s="15">
        <v>38787</v>
      </c>
      <c r="F63" s="15">
        <v>38954</v>
      </c>
      <c r="G63" s="16">
        <v>118</v>
      </c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>
        <v>20</v>
      </c>
      <c r="W63" s="18"/>
      <c r="X63" s="18"/>
      <c r="Y63" s="18"/>
      <c r="Z63" s="18"/>
      <c r="AA63" s="18"/>
      <c r="AB63" s="18"/>
      <c r="AC63" s="18"/>
      <c r="AD63" s="18"/>
      <c r="AE63" s="18"/>
      <c r="AF63" s="19">
        <v>20</v>
      </c>
    </row>
    <row r="64" spans="1:32" ht="12.75">
      <c r="A64" s="20"/>
      <c r="B64" s="20"/>
      <c r="C64" s="12" t="s">
        <v>308</v>
      </c>
      <c r="D64" s="12" t="s">
        <v>248</v>
      </c>
      <c r="E64" s="15">
        <v>38957</v>
      </c>
      <c r="F64" s="15">
        <v>38961</v>
      </c>
      <c r="G64" s="16">
        <v>5</v>
      </c>
      <c r="H64" s="17">
        <v>19.99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9">
        <v>19.99</v>
      </c>
    </row>
    <row r="65" spans="1:32" ht="12.75">
      <c r="A65" s="20"/>
      <c r="B65" s="20"/>
      <c r="C65" s="12" t="s">
        <v>310</v>
      </c>
      <c r="D65" s="12" t="s">
        <v>311</v>
      </c>
      <c r="E65" s="15">
        <v>38777</v>
      </c>
      <c r="F65" s="12" t="s">
        <v>494</v>
      </c>
      <c r="G65" s="16">
        <v>107</v>
      </c>
      <c r="H65" s="17">
        <v>3.9979999999999976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9">
        <v>3.9979999999999976</v>
      </c>
    </row>
    <row r="66" spans="1:32" ht="12.75">
      <c r="A66" s="20"/>
      <c r="B66" s="20"/>
      <c r="C66" s="12" t="s">
        <v>312</v>
      </c>
      <c r="D66" s="12" t="s">
        <v>250</v>
      </c>
      <c r="E66" s="15">
        <v>38930</v>
      </c>
      <c r="F66" s="15">
        <v>38936</v>
      </c>
      <c r="G66" s="16">
        <v>5</v>
      </c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>
        <v>19.99</v>
      </c>
      <c r="W66" s="18"/>
      <c r="X66" s="18"/>
      <c r="Y66" s="18"/>
      <c r="Z66" s="18"/>
      <c r="AA66" s="18"/>
      <c r="AB66" s="18"/>
      <c r="AC66" s="18"/>
      <c r="AD66" s="18"/>
      <c r="AE66" s="18"/>
      <c r="AF66" s="19">
        <v>19.99</v>
      </c>
    </row>
    <row r="67" spans="1:32" ht="12.75">
      <c r="A67" s="20"/>
      <c r="B67" s="20"/>
      <c r="C67" s="12" t="s">
        <v>313</v>
      </c>
      <c r="D67" s="12" t="s">
        <v>253</v>
      </c>
      <c r="E67" s="15">
        <v>38937</v>
      </c>
      <c r="F67" s="15">
        <v>38943</v>
      </c>
      <c r="G67" s="16">
        <v>5</v>
      </c>
      <c r="H67" s="17">
        <v>19.99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9">
        <v>19.99</v>
      </c>
    </row>
    <row r="68" spans="1:32" ht="12.75">
      <c r="A68" s="20"/>
      <c r="B68" s="20"/>
      <c r="C68" s="12" t="s">
        <v>304</v>
      </c>
      <c r="D68" s="12" t="s">
        <v>255</v>
      </c>
      <c r="E68" s="15">
        <v>38779</v>
      </c>
      <c r="F68" s="15">
        <v>38989</v>
      </c>
      <c r="G68" s="16">
        <v>148</v>
      </c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>
        <v>9.995</v>
      </c>
      <c r="W68" s="18"/>
      <c r="X68" s="18"/>
      <c r="Y68" s="18"/>
      <c r="Z68" s="18"/>
      <c r="AA68" s="18"/>
      <c r="AB68" s="18"/>
      <c r="AC68" s="18"/>
      <c r="AD68" s="18"/>
      <c r="AE68" s="18"/>
      <c r="AF68" s="19">
        <v>9.995</v>
      </c>
    </row>
    <row r="69" spans="1:32" ht="12.75">
      <c r="A69" s="20"/>
      <c r="B69" s="20"/>
      <c r="C69" s="12" t="s">
        <v>306</v>
      </c>
      <c r="D69" s="12" t="s">
        <v>257</v>
      </c>
      <c r="E69" s="15">
        <v>38779</v>
      </c>
      <c r="F69" s="15">
        <v>38989</v>
      </c>
      <c r="G69" s="16">
        <v>148</v>
      </c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>
        <v>20</v>
      </c>
      <c r="W69" s="18"/>
      <c r="X69" s="18"/>
      <c r="Y69" s="18"/>
      <c r="Z69" s="18"/>
      <c r="AA69" s="18"/>
      <c r="AB69" s="18"/>
      <c r="AC69" s="18"/>
      <c r="AD69" s="18"/>
      <c r="AE69" s="18"/>
      <c r="AF69" s="19">
        <v>20</v>
      </c>
    </row>
    <row r="70" spans="1:32" ht="12.75">
      <c r="A70" s="20"/>
      <c r="B70" s="20"/>
      <c r="C70" s="12" t="s">
        <v>282</v>
      </c>
      <c r="D70" s="12" t="s">
        <v>283</v>
      </c>
      <c r="E70" s="15">
        <v>38930</v>
      </c>
      <c r="F70" s="15">
        <v>38940</v>
      </c>
      <c r="G70" s="16">
        <v>9</v>
      </c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v>40</v>
      </c>
      <c r="AC70" s="18"/>
      <c r="AD70" s="18"/>
      <c r="AE70" s="18"/>
      <c r="AF70" s="19">
        <v>40</v>
      </c>
    </row>
    <row r="71" spans="1:32" ht="12.75">
      <c r="A71" s="20"/>
      <c r="B71" s="20"/>
      <c r="C71" s="12" t="s">
        <v>285</v>
      </c>
      <c r="D71" s="12" t="s">
        <v>259</v>
      </c>
      <c r="E71" s="15">
        <v>38930</v>
      </c>
      <c r="F71" s="15">
        <v>38954</v>
      </c>
      <c r="G71" s="16">
        <v>19</v>
      </c>
      <c r="H71" s="17">
        <v>20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9">
        <v>20</v>
      </c>
    </row>
    <row r="72" spans="1:32" ht="12.75">
      <c r="A72" s="20"/>
      <c r="B72" s="20"/>
      <c r="C72" s="12" t="s">
        <v>286</v>
      </c>
      <c r="D72" s="12" t="s">
        <v>261</v>
      </c>
      <c r="E72" s="15">
        <v>38957</v>
      </c>
      <c r="F72" s="15">
        <v>38961</v>
      </c>
      <c r="G72" s="16">
        <v>5</v>
      </c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>
        <v>19.99</v>
      </c>
      <c r="W72" s="18"/>
      <c r="X72" s="18"/>
      <c r="Y72" s="18"/>
      <c r="Z72" s="18"/>
      <c r="AA72" s="18"/>
      <c r="AB72" s="18"/>
      <c r="AC72" s="18"/>
      <c r="AD72" s="18"/>
      <c r="AE72" s="18"/>
      <c r="AF72" s="19">
        <v>19.99</v>
      </c>
    </row>
    <row r="73" spans="1:32" ht="12.75">
      <c r="A73" s="20"/>
      <c r="B73" s="20"/>
      <c r="C73" s="12" t="s">
        <v>287</v>
      </c>
      <c r="D73" s="12" t="s">
        <v>263</v>
      </c>
      <c r="E73" s="15">
        <v>38965</v>
      </c>
      <c r="F73" s="15">
        <v>38971</v>
      </c>
      <c r="G73" s="16">
        <v>5</v>
      </c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>
        <v>40</v>
      </c>
      <c r="W73" s="18"/>
      <c r="X73" s="18"/>
      <c r="Y73" s="18"/>
      <c r="Z73" s="18"/>
      <c r="AA73" s="18"/>
      <c r="AB73" s="18"/>
      <c r="AC73" s="18"/>
      <c r="AD73" s="18"/>
      <c r="AE73" s="18"/>
      <c r="AF73" s="19">
        <v>40</v>
      </c>
    </row>
    <row r="74" spans="1:32" ht="12.75">
      <c r="A74" s="20"/>
      <c r="B74" s="20"/>
      <c r="C74" s="12" t="s">
        <v>288</v>
      </c>
      <c r="D74" s="12" t="s">
        <v>265</v>
      </c>
      <c r="E74" s="15">
        <v>38930</v>
      </c>
      <c r="F74" s="15">
        <v>38954</v>
      </c>
      <c r="G74" s="16">
        <v>19</v>
      </c>
      <c r="H74" s="17">
        <v>20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9">
        <v>20</v>
      </c>
    </row>
    <row r="75" spans="1:32" ht="12.75">
      <c r="A75" s="20"/>
      <c r="B75" s="20"/>
      <c r="C75" s="12" t="s">
        <v>289</v>
      </c>
      <c r="D75" s="12" t="s">
        <v>267</v>
      </c>
      <c r="E75" s="15">
        <v>38933</v>
      </c>
      <c r="F75" s="15">
        <v>38939</v>
      </c>
      <c r="G75" s="16">
        <v>5</v>
      </c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>
        <v>19.99</v>
      </c>
      <c r="W75" s="18"/>
      <c r="X75" s="18"/>
      <c r="Y75" s="18"/>
      <c r="Z75" s="18"/>
      <c r="AA75" s="18"/>
      <c r="AB75" s="18"/>
      <c r="AC75" s="18"/>
      <c r="AD75" s="18"/>
      <c r="AE75" s="18"/>
      <c r="AF75" s="19">
        <v>19.99</v>
      </c>
    </row>
    <row r="76" spans="1:32" ht="12.75">
      <c r="A76" s="20"/>
      <c r="B76" s="20"/>
      <c r="C76" s="12" t="s">
        <v>290</v>
      </c>
      <c r="D76" s="12" t="s">
        <v>269</v>
      </c>
      <c r="E76" s="15">
        <v>38940</v>
      </c>
      <c r="F76" s="15">
        <v>38946</v>
      </c>
      <c r="G76" s="16">
        <v>5</v>
      </c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>
        <v>19.99</v>
      </c>
      <c r="W76" s="18"/>
      <c r="X76" s="18"/>
      <c r="Y76" s="18"/>
      <c r="Z76" s="18"/>
      <c r="AA76" s="18"/>
      <c r="AB76" s="18"/>
      <c r="AC76" s="18"/>
      <c r="AD76" s="18"/>
      <c r="AE76" s="18"/>
      <c r="AF76" s="19">
        <v>19.99</v>
      </c>
    </row>
    <row r="77" spans="1:32" ht="12.75">
      <c r="A77" s="20"/>
      <c r="B77" s="20"/>
      <c r="C77" s="12" t="s">
        <v>291</v>
      </c>
      <c r="D77" s="12" t="s">
        <v>271</v>
      </c>
      <c r="E77" s="15">
        <v>38947</v>
      </c>
      <c r="F77" s="15">
        <v>38953</v>
      </c>
      <c r="G77" s="16">
        <v>5</v>
      </c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>
        <v>19.99</v>
      </c>
      <c r="W77" s="18"/>
      <c r="X77" s="18"/>
      <c r="Y77" s="18"/>
      <c r="Z77" s="18"/>
      <c r="AA77" s="18"/>
      <c r="AB77" s="18"/>
      <c r="AC77" s="18"/>
      <c r="AD77" s="18"/>
      <c r="AE77" s="18"/>
      <c r="AF77" s="19">
        <v>19.99</v>
      </c>
    </row>
    <row r="78" spans="1:32" ht="12.75">
      <c r="A78" s="20"/>
      <c r="B78" s="20"/>
      <c r="C78" s="12" t="s">
        <v>292</v>
      </c>
      <c r="D78" s="12" t="s">
        <v>273</v>
      </c>
      <c r="E78" s="15">
        <v>38954</v>
      </c>
      <c r="F78" s="15">
        <v>38960</v>
      </c>
      <c r="G78" s="16">
        <v>5</v>
      </c>
      <c r="H78" s="17">
        <v>19.99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9">
        <v>19.99</v>
      </c>
    </row>
    <row r="79" spans="1:32" ht="12.75">
      <c r="A79" s="20"/>
      <c r="B79" s="20"/>
      <c r="C79" s="12" t="s">
        <v>293</v>
      </c>
      <c r="D79" s="12" t="s">
        <v>294</v>
      </c>
      <c r="E79" s="15">
        <v>38961</v>
      </c>
      <c r="F79" s="15">
        <v>38968</v>
      </c>
      <c r="G79" s="16">
        <v>5</v>
      </c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>
        <v>40</v>
      </c>
      <c r="AF79" s="19">
        <v>40</v>
      </c>
    </row>
    <row r="80" spans="1:32" ht="12.75">
      <c r="A80" s="20"/>
      <c r="B80" s="20"/>
      <c r="C80" s="12" t="s">
        <v>295</v>
      </c>
      <c r="D80" s="12" t="s">
        <v>296</v>
      </c>
      <c r="E80" s="15">
        <v>38971</v>
      </c>
      <c r="F80" s="15">
        <v>38975</v>
      </c>
      <c r="G80" s="16">
        <v>5</v>
      </c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>
        <v>19.99</v>
      </c>
      <c r="AF80" s="19">
        <v>19.99</v>
      </c>
    </row>
    <row r="81" spans="1:32" ht="12.75">
      <c r="A81" s="20"/>
      <c r="B81" s="20"/>
      <c r="C81" s="12" t="s">
        <v>297</v>
      </c>
      <c r="D81" s="12" t="s">
        <v>279</v>
      </c>
      <c r="E81" s="15">
        <v>38978</v>
      </c>
      <c r="F81" s="15">
        <v>38982</v>
      </c>
      <c r="G81" s="16">
        <v>5</v>
      </c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>
        <v>19.99</v>
      </c>
      <c r="AF81" s="19">
        <v>19.99</v>
      </c>
    </row>
    <row r="82" spans="1:32" ht="12.75">
      <c r="A82" s="20"/>
      <c r="B82" s="20"/>
      <c r="C82" s="12" t="s">
        <v>298</v>
      </c>
      <c r="D82" s="12" t="s">
        <v>299</v>
      </c>
      <c r="E82" s="15">
        <v>38985</v>
      </c>
      <c r="F82" s="15">
        <v>38989</v>
      </c>
      <c r="G82" s="16">
        <v>5</v>
      </c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>
        <v>40</v>
      </c>
      <c r="AF82" s="19">
        <v>40</v>
      </c>
    </row>
    <row r="83" spans="1:32" ht="12.75">
      <c r="A83" s="20"/>
      <c r="B83" s="20"/>
      <c r="C83" s="12" t="s">
        <v>302</v>
      </c>
      <c r="D83" s="12" t="s">
        <v>303</v>
      </c>
      <c r="E83" s="15">
        <v>39085</v>
      </c>
      <c r="F83" s="15">
        <v>39098</v>
      </c>
      <c r="G83" s="16">
        <v>10</v>
      </c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>
        <v>70</v>
      </c>
      <c r="AF83" s="19">
        <v>70</v>
      </c>
    </row>
    <row r="84" spans="1:32" ht="12.75">
      <c r="A84" s="12" t="s">
        <v>341</v>
      </c>
      <c r="B84" s="12" t="s">
        <v>348</v>
      </c>
      <c r="C84" s="12" t="s">
        <v>346</v>
      </c>
      <c r="D84" s="12" t="s">
        <v>347</v>
      </c>
      <c r="E84" s="15">
        <v>38957</v>
      </c>
      <c r="F84" s="15">
        <v>38978</v>
      </c>
      <c r="G84" s="16">
        <v>15</v>
      </c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>
        <v>40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>
        <v>0</v>
      </c>
      <c r="AF84" s="19">
        <v>40</v>
      </c>
    </row>
    <row r="85" spans="1:32" ht="12.75">
      <c r="A85" s="20"/>
      <c r="B85" s="20"/>
      <c r="C85" s="12" t="s">
        <v>349</v>
      </c>
      <c r="D85" s="12" t="s">
        <v>350</v>
      </c>
      <c r="E85" s="12" t="s">
        <v>494</v>
      </c>
      <c r="F85" s="15">
        <v>38978</v>
      </c>
      <c r="G85" s="16">
        <v>0</v>
      </c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>
        <v>0</v>
      </c>
      <c r="AF85" s="19">
        <v>0</v>
      </c>
    </row>
    <row r="86" spans="1:32" ht="12.75">
      <c r="A86" s="20"/>
      <c r="B86" s="20"/>
      <c r="C86" s="12" t="s">
        <v>351</v>
      </c>
      <c r="D86" s="12" t="s">
        <v>352</v>
      </c>
      <c r="E86" s="12" t="s">
        <v>494</v>
      </c>
      <c r="F86" s="15">
        <v>38978</v>
      </c>
      <c r="G86" s="16">
        <v>0</v>
      </c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>
        <v>0</v>
      </c>
      <c r="AF86" s="19">
        <v>0</v>
      </c>
    </row>
    <row r="87" spans="1:32" ht="12.75">
      <c r="A87" s="20"/>
      <c r="B87" s="20"/>
      <c r="C87" s="12" t="s">
        <v>353</v>
      </c>
      <c r="D87" s="12" t="s">
        <v>354</v>
      </c>
      <c r="E87" s="15">
        <v>38979</v>
      </c>
      <c r="F87" s="15">
        <v>39027</v>
      </c>
      <c r="G87" s="16">
        <v>35</v>
      </c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>
        <v>16</v>
      </c>
      <c r="U87" s="18"/>
      <c r="V87" s="18"/>
      <c r="W87" s="18"/>
      <c r="X87" s="18">
        <v>120</v>
      </c>
      <c r="Y87" s="18"/>
      <c r="Z87" s="18"/>
      <c r="AA87" s="18"/>
      <c r="AB87" s="18"/>
      <c r="AC87" s="18"/>
      <c r="AD87" s="18"/>
      <c r="AE87" s="18">
        <v>0</v>
      </c>
      <c r="AF87" s="19">
        <v>136</v>
      </c>
    </row>
    <row r="88" spans="1:32" ht="12.75">
      <c r="A88" s="20"/>
      <c r="B88" s="20"/>
      <c r="C88" s="12" t="s">
        <v>356</v>
      </c>
      <c r="D88" s="12" t="s">
        <v>357</v>
      </c>
      <c r="E88" s="12" t="s">
        <v>494</v>
      </c>
      <c r="F88" s="15">
        <v>39027</v>
      </c>
      <c r="G88" s="16">
        <v>0</v>
      </c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>
        <v>0</v>
      </c>
      <c r="AF88" s="19">
        <v>0</v>
      </c>
    </row>
    <row r="89" spans="1:32" ht="12.75">
      <c r="A89" s="20"/>
      <c r="B89" s="12" t="s">
        <v>360</v>
      </c>
      <c r="C89" s="12" t="s">
        <v>358</v>
      </c>
      <c r="D89" s="12" t="s">
        <v>359</v>
      </c>
      <c r="E89" s="15">
        <v>38957</v>
      </c>
      <c r="F89" s="15">
        <v>38992</v>
      </c>
      <c r="G89" s="16">
        <v>25</v>
      </c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>
        <v>40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>
        <v>0</v>
      </c>
      <c r="AF89" s="19">
        <v>40</v>
      </c>
    </row>
    <row r="90" spans="1:32" ht="12.75">
      <c r="A90" s="20"/>
      <c r="B90" s="20"/>
      <c r="C90" s="12" t="s">
        <v>361</v>
      </c>
      <c r="D90" s="12" t="s">
        <v>362</v>
      </c>
      <c r="E90" s="12" t="s">
        <v>494</v>
      </c>
      <c r="F90" s="15">
        <v>38992</v>
      </c>
      <c r="G90" s="16">
        <v>0</v>
      </c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>
        <v>0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>
        <v>0</v>
      </c>
      <c r="AF90" s="19">
        <v>0</v>
      </c>
    </row>
    <row r="91" spans="1:32" ht="12.75">
      <c r="A91" s="20"/>
      <c r="B91" s="20"/>
      <c r="C91" s="12" t="s">
        <v>363</v>
      </c>
      <c r="D91" s="12" t="s">
        <v>364</v>
      </c>
      <c r="E91" s="15">
        <v>38950</v>
      </c>
      <c r="F91" s="15">
        <v>39020</v>
      </c>
      <c r="G91" s="16">
        <v>50</v>
      </c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>
        <v>120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>
        <v>40</v>
      </c>
      <c r="AF91" s="19">
        <v>160</v>
      </c>
    </row>
    <row r="92" spans="1:32" ht="12.75">
      <c r="A92" s="20"/>
      <c r="B92" s="20"/>
      <c r="C92" s="12" t="s">
        <v>365</v>
      </c>
      <c r="D92" s="12" t="s">
        <v>352</v>
      </c>
      <c r="E92" s="12" t="s">
        <v>494</v>
      </c>
      <c r="F92" s="15">
        <v>39020</v>
      </c>
      <c r="G92" s="16">
        <v>0</v>
      </c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>
        <v>0</v>
      </c>
      <c r="AF92" s="19">
        <v>0</v>
      </c>
    </row>
    <row r="93" spans="1:32" ht="12.75">
      <c r="A93" s="20"/>
      <c r="B93" s="20"/>
      <c r="C93" s="12" t="s">
        <v>366</v>
      </c>
      <c r="D93" s="12" t="s">
        <v>354</v>
      </c>
      <c r="E93" s="15">
        <v>39021</v>
      </c>
      <c r="F93" s="15">
        <v>39071</v>
      </c>
      <c r="G93" s="16">
        <v>35</v>
      </c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>
        <v>200</v>
      </c>
      <c r="Y93" s="18"/>
      <c r="Z93" s="18"/>
      <c r="AA93" s="18"/>
      <c r="AB93" s="18"/>
      <c r="AC93" s="18"/>
      <c r="AD93" s="18"/>
      <c r="AE93" s="18">
        <v>0</v>
      </c>
      <c r="AF93" s="19">
        <v>200</v>
      </c>
    </row>
    <row r="94" spans="1:32" ht="12.75">
      <c r="A94" s="20"/>
      <c r="B94" s="20"/>
      <c r="C94" s="12" t="s">
        <v>367</v>
      </c>
      <c r="D94" s="12" t="s">
        <v>357</v>
      </c>
      <c r="E94" s="12" t="s">
        <v>494</v>
      </c>
      <c r="F94" s="15">
        <v>39071</v>
      </c>
      <c r="G94" s="16">
        <v>0</v>
      </c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>
        <v>0</v>
      </c>
      <c r="AF94" s="19">
        <v>0</v>
      </c>
    </row>
    <row r="95" spans="1:32" ht="12.75">
      <c r="A95" s="20"/>
      <c r="B95" s="12" t="s">
        <v>369</v>
      </c>
      <c r="C95" s="12" t="s">
        <v>368</v>
      </c>
      <c r="D95" s="12" t="s">
        <v>359</v>
      </c>
      <c r="E95" s="15">
        <v>38957</v>
      </c>
      <c r="F95" s="15">
        <v>38978</v>
      </c>
      <c r="G95" s="16">
        <v>15</v>
      </c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>
        <v>40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>
        <v>0</v>
      </c>
      <c r="AF95" s="19">
        <v>40</v>
      </c>
    </row>
    <row r="96" spans="1:32" ht="12.75">
      <c r="A96" s="20"/>
      <c r="B96" s="20"/>
      <c r="C96" s="12" t="s">
        <v>370</v>
      </c>
      <c r="D96" s="12" t="s">
        <v>371</v>
      </c>
      <c r="E96" s="15">
        <v>38965</v>
      </c>
      <c r="F96" s="15">
        <v>38978</v>
      </c>
      <c r="G96" s="16">
        <v>10</v>
      </c>
      <c r="H96" s="17">
        <v>20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>
        <v>40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>
        <v>0</v>
      </c>
      <c r="AF96" s="19">
        <v>60</v>
      </c>
    </row>
    <row r="97" spans="1:32" ht="12.75">
      <c r="A97" s="20"/>
      <c r="B97" s="20"/>
      <c r="C97" s="12" t="s">
        <v>372</v>
      </c>
      <c r="D97" s="12" t="s">
        <v>352</v>
      </c>
      <c r="E97" s="12" t="s">
        <v>494</v>
      </c>
      <c r="F97" s="15">
        <v>38978</v>
      </c>
      <c r="G97" s="16">
        <v>0</v>
      </c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>
        <v>0</v>
      </c>
      <c r="AF97" s="19">
        <v>0</v>
      </c>
    </row>
    <row r="98" spans="1:32" ht="12.75">
      <c r="A98" s="20"/>
      <c r="B98" s="20"/>
      <c r="C98" s="12" t="s">
        <v>373</v>
      </c>
      <c r="D98" s="12" t="s">
        <v>374</v>
      </c>
      <c r="E98" s="15">
        <v>38979</v>
      </c>
      <c r="F98" s="15">
        <v>39020</v>
      </c>
      <c r="G98" s="16">
        <v>30</v>
      </c>
      <c r="H98" s="17">
        <v>80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>
        <v>20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>
        <v>0</v>
      </c>
      <c r="AF98" s="19">
        <v>100</v>
      </c>
    </row>
    <row r="99" spans="1:32" ht="12.75">
      <c r="A99" s="20"/>
      <c r="B99" s="20"/>
      <c r="C99" s="12" t="s">
        <v>375</v>
      </c>
      <c r="D99" s="12" t="s">
        <v>376</v>
      </c>
      <c r="E99" s="12" t="s">
        <v>494</v>
      </c>
      <c r="F99" s="15">
        <v>39020</v>
      </c>
      <c r="G99" s="16">
        <v>0</v>
      </c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>
        <v>0</v>
      </c>
      <c r="AF99" s="19">
        <v>0</v>
      </c>
    </row>
    <row r="100" spans="1:32" ht="12.75">
      <c r="A100" s="20"/>
      <c r="B100" s="12" t="s">
        <v>379</v>
      </c>
      <c r="C100" s="12" t="s">
        <v>377</v>
      </c>
      <c r="D100" s="12" t="s">
        <v>378</v>
      </c>
      <c r="E100" s="15">
        <v>38957</v>
      </c>
      <c r="F100" s="15">
        <v>38985</v>
      </c>
      <c r="G100" s="16">
        <v>20</v>
      </c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>
        <v>80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>
        <v>0</v>
      </c>
      <c r="AF100" s="19">
        <v>80</v>
      </c>
    </row>
    <row r="101" spans="1:32" ht="12.75">
      <c r="A101" s="20"/>
      <c r="B101" s="20"/>
      <c r="C101" s="12" t="s">
        <v>380</v>
      </c>
      <c r="D101" s="12" t="s">
        <v>381</v>
      </c>
      <c r="E101" s="15">
        <v>38965</v>
      </c>
      <c r="F101" s="15">
        <v>38978</v>
      </c>
      <c r="G101" s="16">
        <v>10</v>
      </c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>
        <v>20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>
        <v>40</v>
      </c>
      <c r="AF101" s="19">
        <v>60</v>
      </c>
    </row>
    <row r="102" spans="1:32" ht="12.75">
      <c r="A102" s="20"/>
      <c r="B102" s="20"/>
      <c r="C102" s="12" t="s">
        <v>382</v>
      </c>
      <c r="D102" s="12" t="s">
        <v>383</v>
      </c>
      <c r="E102" s="12" t="s">
        <v>494</v>
      </c>
      <c r="F102" s="15">
        <v>38985</v>
      </c>
      <c r="G102" s="16">
        <v>0</v>
      </c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>
        <v>0</v>
      </c>
      <c r="AF102" s="19">
        <v>0</v>
      </c>
    </row>
    <row r="103" spans="1:32" ht="12.75">
      <c r="A103" s="20"/>
      <c r="B103" s="20"/>
      <c r="C103" s="12" t="s">
        <v>384</v>
      </c>
      <c r="D103" s="12" t="s">
        <v>354</v>
      </c>
      <c r="E103" s="15">
        <v>38972</v>
      </c>
      <c r="F103" s="15">
        <v>39013</v>
      </c>
      <c r="G103" s="16">
        <v>30</v>
      </c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>
        <v>240</v>
      </c>
      <c r="W103" s="18"/>
      <c r="X103" s="18"/>
      <c r="Y103" s="18"/>
      <c r="Z103" s="18"/>
      <c r="AA103" s="18"/>
      <c r="AB103" s="18"/>
      <c r="AC103" s="18"/>
      <c r="AD103" s="18"/>
      <c r="AE103" s="18">
        <v>0</v>
      </c>
      <c r="AF103" s="19">
        <v>240</v>
      </c>
    </row>
    <row r="104" spans="1:32" ht="12.75">
      <c r="A104" s="20"/>
      <c r="B104" s="20"/>
      <c r="C104" s="12" t="s">
        <v>385</v>
      </c>
      <c r="D104" s="12" t="s">
        <v>357</v>
      </c>
      <c r="E104" s="12" t="s">
        <v>494</v>
      </c>
      <c r="F104" s="15">
        <v>39013</v>
      </c>
      <c r="G104" s="16">
        <v>0</v>
      </c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>
        <v>0</v>
      </c>
      <c r="AF104" s="19">
        <v>0</v>
      </c>
    </row>
    <row r="105" spans="1:32" ht="12.75">
      <c r="A105" s="20"/>
      <c r="B105" s="12" t="s">
        <v>388</v>
      </c>
      <c r="C105" s="12" t="s">
        <v>386</v>
      </c>
      <c r="D105" s="12" t="s">
        <v>387</v>
      </c>
      <c r="E105" s="15">
        <v>38999</v>
      </c>
      <c r="F105" s="15">
        <v>39024</v>
      </c>
      <c r="G105" s="16">
        <v>20</v>
      </c>
      <c r="H105" s="17">
        <v>16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>
        <v>0</v>
      </c>
      <c r="AF105" s="19">
        <v>16</v>
      </c>
    </row>
    <row r="106" spans="1:32" ht="12.75">
      <c r="A106" s="20"/>
      <c r="B106" s="20"/>
      <c r="C106" s="12" t="s">
        <v>389</v>
      </c>
      <c r="D106" s="12" t="s">
        <v>390</v>
      </c>
      <c r="E106" s="15">
        <v>39006</v>
      </c>
      <c r="F106" s="15">
        <v>39031</v>
      </c>
      <c r="G106" s="16">
        <v>20</v>
      </c>
      <c r="H106" s="17">
        <v>40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>
        <v>0</v>
      </c>
      <c r="AF106" s="19">
        <v>40</v>
      </c>
    </row>
    <row r="107" spans="1:32" ht="12.75">
      <c r="A107" s="20"/>
      <c r="B107" s="20"/>
      <c r="C107" s="12" t="s">
        <v>391</v>
      </c>
      <c r="D107" s="12" t="s">
        <v>392</v>
      </c>
      <c r="E107" s="12" t="s">
        <v>494</v>
      </c>
      <c r="F107" s="15">
        <v>39031</v>
      </c>
      <c r="G107" s="16">
        <v>0</v>
      </c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>
        <v>0</v>
      </c>
      <c r="AF107" s="19">
        <v>0</v>
      </c>
    </row>
    <row r="108" spans="1:32" ht="12.75">
      <c r="A108" s="20"/>
      <c r="B108" s="20"/>
      <c r="C108" s="12" t="s">
        <v>393</v>
      </c>
      <c r="D108" s="12" t="s">
        <v>394</v>
      </c>
      <c r="E108" s="15">
        <v>39041</v>
      </c>
      <c r="F108" s="15">
        <v>39070</v>
      </c>
      <c r="G108" s="16">
        <v>20</v>
      </c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>
        <v>160</v>
      </c>
      <c r="W108" s="18"/>
      <c r="X108" s="18">
        <v>160</v>
      </c>
      <c r="Y108" s="18"/>
      <c r="Z108" s="18"/>
      <c r="AA108" s="18"/>
      <c r="AB108" s="18"/>
      <c r="AC108" s="18"/>
      <c r="AD108" s="18"/>
      <c r="AE108" s="18">
        <v>0</v>
      </c>
      <c r="AF108" s="19">
        <v>320</v>
      </c>
    </row>
    <row r="109" spans="1:32" ht="12.75">
      <c r="A109" s="20"/>
      <c r="B109" s="20"/>
      <c r="C109" s="12" t="s">
        <v>395</v>
      </c>
      <c r="D109" s="12" t="s">
        <v>396</v>
      </c>
      <c r="E109" s="15">
        <v>39057</v>
      </c>
      <c r="F109" s="15">
        <v>39092</v>
      </c>
      <c r="G109" s="16">
        <v>20</v>
      </c>
      <c r="H109" s="17">
        <v>40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>
        <v>0</v>
      </c>
      <c r="AF109" s="19">
        <v>40</v>
      </c>
    </row>
    <row r="110" spans="1:32" ht="12.75">
      <c r="A110" s="20"/>
      <c r="B110" s="20"/>
      <c r="C110" s="12" t="s">
        <v>397</v>
      </c>
      <c r="D110" s="12" t="s">
        <v>398</v>
      </c>
      <c r="E110" s="15">
        <v>39064</v>
      </c>
      <c r="F110" s="15">
        <v>39092</v>
      </c>
      <c r="G110" s="16">
        <v>15</v>
      </c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>
        <v>0</v>
      </c>
      <c r="AF110" s="19">
        <v>0</v>
      </c>
    </row>
    <row r="111" spans="1:32" ht="12.75">
      <c r="A111" s="20"/>
      <c r="B111" s="12" t="s">
        <v>401</v>
      </c>
      <c r="C111" s="12" t="s">
        <v>399</v>
      </c>
      <c r="D111" s="12" t="s">
        <v>400</v>
      </c>
      <c r="E111" s="15">
        <v>38971</v>
      </c>
      <c r="F111" s="15">
        <v>38996</v>
      </c>
      <c r="G111" s="16">
        <v>20</v>
      </c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>
        <v>16</v>
      </c>
      <c r="AF111" s="19">
        <v>16</v>
      </c>
    </row>
    <row r="112" spans="1:32" ht="12.75">
      <c r="A112" s="20"/>
      <c r="B112" s="20"/>
      <c r="C112" s="12" t="s">
        <v>402</v>
      </c>
      <c r="D112" s="12" t="s">
        <v>403</v>
      </c>
      <c r="E112" s="15">
        <v>38978</v>
      </c>
      <c r="F112" s="15">
        <v>38996</v>
      </c>
      <c r="G112" s="16">
        <v>15</v>
      </c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>
        <v>16</v>
      </c>
      <c r="AF112" s="19">
        <v>16</v>
      </c>
    </row>
    <row r="113" spans="1:32" ht="12.75">
      <c r="A113" s="20"/>
      <c r="B113" s="20"/>
      <c r="C113" s="12" t="s">
        <v>404</v>
      </c>
      <c r="D113" s="12" t="s">
        <v>352</v>
      </c>
      <c r="E113" s="12" t="s">
        <v>494</v>
      </c>
      <c r="F113" s="15">
        <v>38996</v>
      </c>
      <c r="G113" s="16">
        <v>0</v>
      </c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>
        <v>0</v>
      </c>
      <c r="AF113" s="19">
        <v>0</v>
      </c>
    </row>
    <row r="114" spans="1:32" ht="12.75">
      <c r="A114" s="20"/>
      <c r="B114" s="20"/>
      <c r="C114" s="12" t="s">
        <v>405</v>
      </c>
      <c r="D114" s="12" t="s">
        <v>354</v>
      </c>
      <c r="E114" s="15">
        <v>38999</v>
      </c>
      <c r="F114" s="15">
        <v>39031</v>
      </c>
      <c r="G114" s="16">
        <v>25</v>
      </c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>
        <v>80</v>
      </c>
      <c r="W114" s="18"/>
      <c r="X114" s="18"/>
      <c r="Y114" s="18"/>
      <c r="Z114" s="18"/>
      <c r="AA114" s="18"/>
      <c r="AB114" s="18"/>
      <c r="AC114" s="18"/>
      <c r="AD114" s="18"/>
      <c r="AE114" s="18">
        <v>0</v>
      </c>
      <c r="AF114" s="19">
        <v>80</v>
      </c>
    </row>
    <row r="115" spans="1:32" ht="12.75">
      <c r="A115" s="20"/>
      <c r="B115" s="20"/>
      <c r="C115" s="12" t="s">
        <v>406</v>
      </c>
      <c r="D115" s="12" t="s">
        <v>357</v>
      </c>
      <c r="E115" s="12" t="s">
        <v>494</v>
      </c>
      <c r="F115" s="15">
        <v>39031</v>
      </c>
      <c r="G115" s="16">
        <v>0</v>
      </c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>
        <v>0</v>
      </c>
      <c r="AF115" s="19">
        <v>0</v>
      </c>
    </row>
    <row r="116" spans="1:32" ht="12.75">
      <c r="A116" s="12" t="s">
        <v>409</v>
      </c>
      <c r="B116" s="12" t="s">
        <v>348</v>
      </c>
      <c r="C116" s="12" t="s">
        <v>407</v>
      </c>
      <c r="D116" s="12" t="s">
        <v>408</v>
      </c>
      <c r="E116" s="15">
        <v>39028</v>
      </c>
      <c r="F116" s="15">
        <v>39121</v>
      </c>
      <c r="G116" s="16">
        <v>60</v>
      </c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>
        <v>0</v>
      </c>
      <c r="AF116" s="19">
        <v>0</v>
      </c>
    </row>
    <row r="117" spans="1:32" ht="12.75">
      <c r="A117" s="20"/>
      <c r="B117" s="20"/>
      <c r="C117" s="12" t="s">
        <v>410</v>
      </c>
      <c r="D117" s="12" t="s">
        <v>411</v>
      </c>
      <c r="E117" s="12" t="s">
        <v>494</v>
      </c>
      <c r="F117" s="15">
        <v>39121</v>
      </c>
      <c r="G117" s="16">
        <v>0</v>
      </c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>
        <v>0</v>
      </c>
      <c r="AF117" s="19">
        <v>0</v>
      </c>
    </row>
    <row r="118" spans="1:32" ht="12.75">
      <c r="A118" s="20"/>
      <c r="B118" s="12" t="s">
        <v>360</v>
      </c>
      <c r="C118" s="12" t="s">
        <v>412</v>
      </c>
      <c r="D118" s="12" t="s">
        <v>413</v>
      </c>
      <c r="E118" s="15">
        <v>39072</v>
      </c>
      <c r="F118" s="15">
        <v>39128</v>
      </c>
      <c r="G118" s="16">
        <v>35</v>
      </c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>
        <v>60</v>
      </c>
      <c r="X118" s="18"/>
      <c r="Y118" s="18"/>
      <c r="Z118" s="18"/>
      <c r="AA118" s="18"/>
      <c r="AB118" s="18"/>
      <c r="AC118" s="18"/>
      <c r="AD118" s="18"/>
      <c r="AE118" s="18"/>
      <c r="AF118" s="19">
        <v>60</v>
      </c>
    </row>
    <row r="119" spans="1:32" ht="12.75">
      <c r="A119" s="20"/>
      <c r="B119" s="20"/>
      <c r="C119" s="12" t="s">
        <v>416</v>
      </c>
      <c r="D119" s="12" t="s">
        <v>417</v>
      </c>
      <c r="E119" s="12" t="s">
        <v>494</v>
      </c>
      <c r="F119" s="15">
        <v>39128</v>
      </c>
      <c r="G119" s="16">
        <v>0</v>
      </c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>
        <v>0</v>
      </c>
      <c r="AF119" s="19">
        <v>0</v>
      </c>
    </row>
    <row r="120" spans="1:32" ht="12.75">
      <c r="A120" s="20"/>
      <c r="B120" s="12" t="s">
        <v>369</v>
      </c>
      <c r="C120" s="12" t="s">
        <v>419</v>
      </c>
      <c r="D120" s="12" t="s">
        <v>420</v>
      </c>
      <c r="E120" s="15">
        <v>39021</v>
      </c>
      <c r="F120" s="15">
        <v>39114</v>
      </c>
      <c r="G120" s="16">
        <v>60</v>
      </c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>
        <v>0</v>
      </c>
      <c r="AF120" s="19">
        <v>0</v>
      </c>
    </row>
    <row r="121" spans="1:32" ht="12.75">
      <c r="A121" s="20"/>
      <c r="B121" s="20"/>
      <c r="C121" s="12" t="s">
        <v>421</v>
      </c>
      <c r="D121" s="12" t="s">
        <v>422</v>
      </c>
      <c r="E121" s="12" t="s">
        <v>494</v>
      </c>
      <c r="F121" s="15">
        <v>39114</v>
      </c>
      <c r="G121" s="16">
        <v>0</v>
      </c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>
        <v>0</v>
      </c>
      <c r="AF121" s="19">
        <v>0</v>
      </c>
    </row>
    <row r="122" spans="1:32" ht="12.75">
      <c r="A122" s="20"/>
      <c r="B122" s="12" t="s">
        <v>379</v>
      </c>
      <c r="C122" s="12" t="s">
        <v>425</v>
      </c>
      <c r="D122" s="12" t="s">
        <v>426</v>
      </c>
      <c r="E122" s="15">
        <v>39014</v>
      </c>
      <c r="F122" s="15">
        <v>39107</v>
      </c>
      <c r="G122" s="16">
        <v>60</v>
      </c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>
        <v>138</v>
      </c>
      <c r="X122" s="18"/>
      <c r="Y122" s="18"/>
      <c r="Z122" s="18"/>
      <c r="AA122" s="18"/>
      <c r="AB122" s="18"/>
      <c r="AC122" s="18"/>
      <c r="AD122" s="18"/>
      <c r="AE122" s="18"/>
      <c r="AF122" s="19">
        <v>138</v>
      </c>
    </row>
    <row r="123" spans="1:32" ht="12.75">
      <c r="A123" s="20"/>
      <c r="B123" s="20"/>
      <c r="C123" s="12" t="s">
        <v>427</v>
      </c>
      <c r="D123" s="12" t="s">
        <v>428</v>
      </c>
      <c r="E123" s="15">
        <v>39014</v>
      </c>
      <c r="F123" s="15">
        <v>39107</v>
      </c>
      <c r="G123" s="16">
        <v>60</v>
      </c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>
        <v>52</v>
      </c>
      <c r="X123" s="18"/>
      <c r="Y123" s="18"/>
      <c r="Z123" s="18"/>
      <c r="AA123" s="18"/>
      <c r="AB123" s="18"/>
      <c r="AC123" s="18"/>
      <c r="AD123" s="18"/>
      <c r="AE123" s="18"/>
      <c r="AF123" s="19">
        <v>52</v>
      </c>
    </row>
    <row r="124" spans="1:32" ht="12.75">
      <c r="A124" s="20"/>
      <c r="B124" s="20"/>
      <c r="C124" s="12" t="s">
        <v>423</v>
      </c>
      <c r="D124" s="12" t="s">
        <v>424</v>
      </c>
      <c r="E124" s="12" t="s">
        <v>494</v>
      </c>
      <c r="F124" s="15">
        <v>39107</v>
      </c>
      <c r="G124" s="16">
        <v>0</v>
      </c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>
        <v>0</v>
      </c>
      <c r="AF124" s="19">
        <v>0</v>
      </c>
    </row>
    <row r="125" spans="1:32" ht="12.75">
      <c r="A125" s="20"/>
      <c r="B125" s="12" t="s">
        <v>388</v>
      </c>
      <c r="C125" s="12" t="s">
        <v>429</v>
      </c>
      <c r="D125" s="12" t="s">
        <v>430</v>
      </c>
      <c r="E125" s="15">
        <v>39034</v>
      </c>
      <c r="F125" s="15">
        <v>39113</v>
      </c>
      <c r="G125" s="16">
        <v>50</v>
      </c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>
        <v>449</v>
      </c>
      <c r="X125" s="18"/>
      <c r="Y125" s="18"/>
      <c r="Z125" s="18"/>
      <c r="AA125" s="18"/>
      <c r="AB125" s="18"/>
      <c r="AC125" s="18"/>
      <c r="AD125" s="18"/>
      <c r="AE125" s="18"/>
      <c r="AF125" s="19">
        <v>449</v>
      </c>
    </row>
    <row r="126" spans="1:32" ht="12.75">
      <c r="A126" s="20"/>
      <c r="B126" s="20"/>
      <c r="C126" s="12" t="s">
        <v>431</v>
      </c>
      <c r="D126" s="12" t="s">
        <v>432</v>
      </c>
      <c r="E126" s="12" t="s">
        <v>494</v>
      </c>
      <c r="F126" s="15">
        <v>39113</v>
      </c>
      <c r="G126" s="16">
        <v>0</v>
      </c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>
        <v>0</v>
      </c>
      <c r="AF126" s="19">
        <v>0</v>
      </c>
    </row>
    <row r="127" spans="1:32" ht="12.75">
      <c r="A127" s="20"/>
      <c r="B127" s="12" t="s">
        <v>401</v>
      </c>
      <c r="C127" s="12" t="s">
        <v>433</v>
      </c>
      <c r="D127" s="12" t="s">
        <v>434</v>
      </c>
      <c r="E127" s="15">
        <v>39034</v>
      </c>
      <c r="F127" s="15">
        <v>39113</v>
      </c>
      <c r="G127" s="16">
        <v>50</v>
      </c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>
        <v>0</v>
      </c>
      <c r="AF127" s="19">
        <v>0</v>
      </c>
    </row>
    <row r="128" spans="1:32" ht="12.75">
      <c r="A128" s="20"/>
      <c r="B128" s="20"/>
      <c r="C128" s="12" t="s">
        <v>435</v>
      </c>
      <c r="D128" s="12" t="s">
        <v>436</v>
      </c>
      <c r="E128" s="12" t="s">
        <v>494</v>
      </c>
      <c r="F128" s="15">
        <v>39113</v>
      </c>
      <c r="G128" s="16">
        <v>0</v>
      </c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>
        <v>0</v>
      </c>
      <c r="AF128" s="19">
        <v>0</v>
      </c>
    </row>
    <row r="129" spans="1:32" ht="12.75">
      <c r="A129" s="12" t="s">
        <v>336</v>
      </c>
      <c r="B129" s="12" t="s">
        <v>337</v>
      </c>
      <c r="C129" s="12" t="s">
        <v>334</v>
      </c>
      <c r="D129" s="12" t="s">
        <v>335</v>
      </c>
      <c r="E129" s="15">
        <v>38635</v>
      </c>
      <c r="F129" s="15">
        <v>39412</v>
      </c>
      <c r="G129" s="16">
        <v>534</v>
      </c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>
        <v>24.96</v>
      </c>
      <c r="AE129" s="18">
        <v>566.9664</v>
      </c>
      <c r="AF129" s="19">
        <v>591.9264000000001</v>
      </c>
    </row>
    <row r="130" spans="1:32" ht="12.75">
      <c r="A130" s="12" t="s">
        <v>323</v>
      </c>
      <c r="B130" s="12" t="s">
        <v>156</v>
      </c>
      <c r="C130" s="12" t="s">
        <v>321</v>
      </c>
      <c r="D130" s="12" t="s">
        <v>322</v>
      </c>
      <c r="E130" s="15">
        <v>38992</v>
      </c>
      <c r="F130" s="15">
        <v>39092</v>
      </c>
      <c r="G130" s="16">
        <v>65</v>
      </c>
      <c r="H130" s="17"/>
      <c r="I130" s="18"/>
      <c r="J130" s="18"/>
      <c r="K130" s="18">
        <v>160</v>
      </c>
      <c r="L130" s="18"/>
      <c r="M130" s="18"/>
      <c r="N130" s="18"/>
      <c r="O130" s="18">
        <v>316</v>
      </c>
      <c r="P130" s="18"/>
      <c r="Q130" s="18"/>
      <c r="R130" s="18"/>
      <c r="S130" s="18"/>
      <c r="T130" s="18"/>
      <c r="U130" s="18"/>
      <c r="V130" s="18"/>
      <c r="W130" s="18">
        <v>13</v>
      </c>
      <c r="X130" s="18"/>
      <c r="Y130" s="18"/>
      <c r="Z130" s="18"/>
      <c r="AA130" s="18"/>
      <c r="AB130" s="18"/>
      <c r="AC130" s="18"/>
      <c r="AD130" s="18"/>
      <c r="AE130" s="18"/>
      <c r="AF130" s="19">
        <v>489</v>
      </c>
    </row>
    <row r="131" spans="1:32" ht="12.75">
      <c r="A131" s="12" t="s">
        <v>327</v>
      </c>
      <c r="B131" s="12" t="s">
        <v>156</v>
      </c>
      <c r="C131" s="12" t="s">
        <v>325</v>
      </c>
      <c r="D131" s="12" t="s">
        <v>326</v>
      </c>
      <c r="E131" s="15">
        <v>39022</v>
      </c>
      <c r="F131" s="15">
        <v>39052</v>
      </c>
      <c r="G131" s="16">
        <v>21</v>
      </c>
      <c r="H131" s="17"/>
      <c r="I131" s="18"/>
      <c r="J131" s="18"/>
      <c r="K131" s="18"/>
      <c r="L131" s="18">
        <v>149</v>
      </c>
      <c r="M131" s="18">
        <v>99</v>
      </c>
      <c r="N131" s="18">
        <v>149</v>
      </c>
      <c r="O131" s="18">
        <v>297</v>
      </c>
      <c r="P131" s="18"/>
      <c r="Q131" s="18"/>
      <c r="R131" s="18"/>
      <c r="S131" s="18"/>
      <c r="T131" s="18"/>
      <c r="U131" s="18"/>
      <c r="V131" s="18"/>
      <c r="W131" s="18">
        <v>25</v>
      </c>
      <c r="X131" s="18"/>
      <c r="Y131" s="18"/>
      <c r="Z131" s="18"/>
      <c r="AA131" s="18"/>
      <c r="AB131" s="18"/>
      <c r="AC131" s="18"/>
      <c r="AD131" s="18"/>
      <c r="AE131" s="18"/>
      <c r="AF131" s="19">
        <v>719</v>
      </c>
    </row>
    <row r="132" spans="1:32" ht="12.75">
      <c r="A132" s="20"/>
      <c r="B132" s="20"/>
      <c r="C132" s="12" t="s">
        <v>330</v>
      </c>
      <c r="D132" s="12" t="s">
        <v>331</v>
      </c>
      <c r="E132" s="15">
        <v>39055</v>
      </c>
      <c r="F132" s="15">
        <v>39091</v>
      </c>
      <c r="G132" s="16">
        <v>21</v>
      </c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>
        <v>437</v>
      </c>
      <c r="AC132" s="18"/>
      <c r="AD132" s="18"/>
      <c r="AE132" s="18"/>
      <c r="AF132" s="19">
        <v>437</v>
      </c>
    </row>
    <row r="133" spans="1:32" ht="12.75">
      <c r="A133" s="20"/>
      <c r="B133" s="20"/>
      <c r="C133" s="12" t="s">
        <v>332</v>
      </c>
      <c r="D133" s="12" t="s">
        <v>333</v>
      </c>
      <c r="E133" s="15">
        <v>39092</v>
      </c>
      <c r="F133" s="15">
        <v>39120</v>
      </c>
      <c r="G133" s="16">
        <v>21</v>
      </c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>
        <v>175</v>
      </c>
      <c r="AC133" s="18"/>
      <c r="AD133" s="18"/>
      <c r="AE133" s="18"/>
      <c r="AF133" s="19">
        <v>175</v>
      </c>
    </row>
    <row r="134" spans="1:32" ht="12.75">
      <c r="A134" s="12" t="s">
        <v>439</v>
      </c>
      <c r="B134" s="12" t="s">
        <v>440</v>
      </c>
      <c r="C134" s="12" t="s">
        <v>437</v>
      </c>
      <c r="D134" s="12" t="s">
        <v>438</v>
      </c>
      <c r="E134" s="15">
        <v>39265</v>
      </c>
      <c r="F134" s="15">
        <v>39357</v>
      </c>
      <c r="G134" s="16">
        <v>65</v>
      </c>
      <c r="H134" s="17"/>
      <c r="I134" s="18"/>
      <c r="J134" s="18">
        <v>80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>
        <v>251</v>
      </c>
      <c r="AF134" s="19">
        <v>331</v>
      </c>
    </row>
    <row r="135" spans="1:32" ht="12.75">
      <c r="A135" s="20"/>
      <c r="B135" s="20"/>
      <c r="C135" s="12" t="s">
        <v>441</v>
      </c>
      <c r="D135" s="12" t="s">
        <v>442</v>
      </c>
      <c r="E135" s="15">
        <v>39358</v>
      </c>
      <c r="F135" s="15">
        <v>39454</v>
      </c>
      <c r="G135" s="16">
        <v>60</v>
      </c>
      <c r="H135" s="17"/>
      <c r="I135" s="18"/>
      <c r="J135" s="18">
        <v>160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>
        <v>503</v>
      </c>
      <c r="AF135" s="19">
        <v>663</v>
      </c>
    </row>
    <row r="136" spans="1:32" ht="12.75">
      <c r="A136" s="20"/>
      <c r="B136" s="20"/>
      <c r="C136" s="12" t="s">
        <v>443</v>
      </c>
      <c r="D136" s="12" t="s">
        <v>444</v>
      </c>
      <c r="E136" s="15">
        <v>39455</v>
      </c>
      <c r="F136" s="15">
        <v>39862</v>
      </c>
      <c r="G136" s="16">
        <v>280</v>
      </c>
      <c r="H136" s="17"/>
      <c r="I136" s="18"/>
      <c r="J136" s="18">
        <v>8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>
        <v>86</v>
      </c>
      <c r="AF136" s="19">
        <v>94</v>
      </c>
    </row>
    <row r="137" spans="1:32" ht="12.75">
      <c r="A137" s="20"/>
      <c r="B137" s="20"/>
      <c r="C137" s="12" t="s">
        <v>445</v>
      </c>
      <c r="D137" s="12" t="s">
        <v>446</v>
      </c>
      <c r="E137" s="15">
        <v>39455</v>
      </c>
      <c r="F137" s="15">
        <v>39638</v>
      </c>
      <c r="G137" s="16">
        <v>130</v>
      </c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>
        <v>52.95</v>
      </c>
      <c r="X137" s="18"/>
      <c r="Y137" s="18"/>
      <c r="Z137" s="18"/>
      <c r="AA137" s="18"/>
      <c r="AB137" s="18"/>
      <c r="AC137" s="18"/>
      <c r="AD137" s="18"/>
      <c r="AE137" s="18"/>
      <c r="AF137" s="19">
        <v>52.95</v>
      </c>
    </row>
    <row r="138" spans="1:32" ht="12.75">
      <c r="A138" s="20"/>
      <c r="B138" s="20"/>
      <c r="C138" s="12" t="s">
        <v>447</v>
      </c>
      <c r="D138" s="12" t="s">
        <v>448</v>
      </c>
      <c r="E138" s="15">
        <v>39639</v>
      </c>
      <c r="F138" s="15">
        <v>39730</v>
      </c>
      <c r="G138" s="16">
        <v>65</v>
      </c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v>44.36</v>
      </c>
      <c r="X138" s="18"/>
      <c r="Y138" s="18"/>
      <c r="Z138" s="18"/>
      <c r="AA138" s="18"/>
      <c r="AB138" s="18"/>
      <c r="AC138" s="18"/>
      <c r="AD138" s="18"/>
      <c r="AE138" s="18"/>
      <c r="AF138" s="19">
        <v>44.36</v>
      </c>
    </row>
    <row r="139" spans="1:32" ht="12.75">
      <c r="A139" s="20"/>
      <c r="B139" s="20"/>
      <c r="C139" s="12" t="s">
        <v>449</v>
      </c>
      <c r="D139" s="12" t="s">
        <v>450</v>
      </c>
      <c r="E139" s="15">
        <v>39639</v>
      </c>
      <c r="F139" s="15">
        <v>39730</v>
      </c>
      <c r="G139" s="16">
        <v>65</v>
      </c>
      <c r="H139" s="17"/>
      <c r="I139" s="18"/>
      <c r="J139" s="18"/>
      <c r="K139" s="18"/>
      <c r="L139" s="18"/>
      <c r="M139" s="18"/>
      <c r="N139" s="18"/>
      <c r="O139" s="18"/>
      <c r="P139" s="18"/>
      <c r="Q139" s="18">
        <v>71</v>
      </c>
      <c r="R139" s="18">
        <v>284</v>
      </c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9">
        <v>355</v>
      </c>
    </row>
    <row r="140" spans="1:32" ht="12.75">
      <c r="A140" s="20"/>
      <c r="B140" s="20"/>
      <c r="C140" s="12" t="s">
        <v>454</v>
      </c>
      <c r="D140" s="12" t="s">
        <v>455</v>
      </c>
      <c r="E140" s="15">
        <v>39639</v>
      </c>
      <c r="F140" s="15">
        <v>39730</v>
      </c>
      <c r="G140" s="16">
        <v>65</v>
      </c>
      <c r="H140" s="17"/>
      <c r="I140" s="18"/>
      <c r="J140" s="18"/>
      <c r="K140" s="18"/>
      <c r="L140" s="18"/>
      <c r="M140" s="18"/>
      <c r="N140" s="18"/>
      <c r="O140" s="18"/>
      <c r="P140" s="18"/>
      <c r="Q140" s="18">
        <v>23</v>
      </c>
      <c r="R140" s="18">
        <v>90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9">
        <v>113</v>
      </c>
    </row>
    <row r="141" spans="1:32" ht="12.75">
      <c r="A141" s="20"/>
      <c r="B141" s="12" t="s">
        <v>458</v>
      </c>
      <c r="C141" s="12" t="s">
        <v>456</v>
      </c>
      <c r="D141" s="12" t="s">
        <v>457</v>
      </c>
      <c r="E141" s="15">
        <v>39265</v>
      </c>
      <c r="F141" s="15">
        <v>39737</v>
      </c>
      <c r="G141" s="16">
        <v>325</v>
      </c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>
        <v>200</v>
      </c>
      <c r="AB141" s="18"/>
      <c r="AC141" s="18"/>
      <c r="AD141" s="18"/>
      <c r="AE141" s="18">
        <v>20</v>
      </c>
      <c r="AF141" s="19">
        <v>220</v>
      </c>
    </row>
    <row r="142" spans="1:32" ht="12.75">
      <c r="A142" s="20"/>
      <c r="B142" s="20"/>
      <c r="C142" s="12" t="s">
        <v>459</v>
      </c>
      <c r="D142" s="12" t="s">
        <v>460</v>
      </c>
      <c r="E142" s="15">
        <v>39265</v>
      </c>
      <c r="F142" s="15">
        <v>39461</v>
      </c>
      <c r="G142" s="16">
        <v>130</v>
      </c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>
        <v>20</v>
      </c>
      <c r="AB142" s="18"/>
      <c r="AC142" s="18"/>
      <c r="AD142" s="18"/>
      <c r="AE142" s="18">
        <v>869</v>
      </c>
      <c r="AF142" s="19">
        <v>889</v>
      </c>
    </row>
    <row r="143" spans="1:32" ht="12.75">
      <c r="A143" s="20"/>
      <c r="B143" s="20"/>
      <c r="C143" s="12" t="s">
        <v>461</v>
      </c>
      <c r="D143" s="12" t="s">
        <v>462</v>
      </c>
      <c r="E143" s="15">
        <v>39462</v>
      </c>
      <c r="F143" s="15">
        <v>39645</v>
      </c>
      <c r="G143" s="16">
        <v>130</v>
      </c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>
        <v>20</v>
      </c>
      <c r="AB143" s="18"/>
      <c r="AC143" s="18"/>
      <c r="AD143" s="18"/>
      <c r="AE143" s="18">
        <v>869</v>
      </c>
      <c r="AF143" s="19">
        <v>889</v>
      </c>
    </row>
    <row r="144" spans="1:32" ht="12.75">
      <c r="A144" s="20"/>
      <c r="B144" s="20"/>
      <c r="C144" s="12" t="s">
        <v>463</v>
      </c>
      <c r="D144" s="12" t="s">
        <v>464</v>
      </c>
      <c r="E144" s="15">
        <v>39646</v>
      </c>
      <c r="F144" s="15">
        <v>39730</v>
      </c>
      <c r="G144" s="16">
        <v>60</v>
      </c>
      <c r="H144" s="17"/>
      <c r="I144" s="18"/>
      <c r="J144" s="18"/>
      <c r="K144" s="18"/>
      <c r="L144" s="18"/>
      <c r="M144" s="18"/>
      <c r="N144" s="18"/>
      <c r="O144" s="18"/>
      <c r="P144" s="18"/>
      <c r="Q144" s="18">
        <v>8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>
        <v>98</v>
      </c>
      <c r="AF144" s="19">
        <v>106</v>
      </c>
    </row>
    <row r="145" spans="1:32" ht="12.75">
      <c r="A145" s="20"/>
      <c r="B145" s="20"/>
      <c r="C145" s="12" t="s">
        <v>465</v>
      </c>
      <c r="D145" s="12" t="s">
        <v>466</v>
      </c>
      <c r="E145" s="15">
        <v>39646</v>
      </c>
      <c r="F145" s="15">
        <v>39730</v>
      </c>
      <c r="G145" s="16">
        <v>60</v>
      </c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>
        <v>223.62</v>
      </c>
      <c r="X145" s="18"/>
      <c r="Y145" s="18"/>
      <c r="Z145" s="18"/>
      <c r="AA145" s="18"/>
      <c r="AB145" s="18"/>
      <c r="AC145" s="18"/>
      <c r="AD145" s="18"/>
      <c r="AE145" s="18"/>
      <c r="AF145" s="19">
        <v>223.62</v>
      </c>
    </row>
    <row r="146" spans="1:32" ht="12.75">
      <c r="A146" s="20"/>
      <c r="B146" s="12" t="s">
        <v>469</v>
      </c>
      <c r="C146" s="12" t="s">
        <v>467</v>
      </c>
      <c r="D146" s="12" t="s">
        <v>468</v>
      </c>
      <c r="E146" s="15">
        <v>39356</v>
      </c>
      <c r="F146" s="15">
        <v>39457</v>
      </c>
      <c r="G146" s="16">
        <v>65</v>
      </c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>
        <v>80</v>
      </c>
      <c r="AB146" s="18"/>
      <c r="AC146" s="18">
        <v>80</v>
      </c>
      <c r="AD146" s="18"/>
      <c r="AE146" s="18">
        <v>82</v>
      </c>
      <c r="AF146" s="19">
        <v>242</v>
      </c>
    </row>
    <row r="147" spans="1:32" ht="12.75">
      <c r="A147" s="20"/>
      <c r="B147" s="20"/>
      <c r="C147" s="12" t="s">
        <v>471</v>
      </c>
      <c r="D147" s="12" t="s">
        <v>472</v>
      </c>
      <c r="E147" s="15">
        <v>39458</v>
      </c>
      <c r="F147" s="15">
        <v>39513</v>
      </c>
      <c r="G147" s="16">
        <v>40</v>
      </c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>
        <v>80</v>
      </c>
      <c r="AB147" s="18"/>
      <c r="AC147" s="18">
        <v>80</v>
      </c>
      <c r="AD147" s="18"/>
      <c r="AE147" s="18">
        <v>82</v>
      </c>
      <c r="AF147" s="19">
        <v>242</v>
      </c>
    </row>
    <row r="148" spans="1:32" ht="12.75">
      <c r="A148" s="12" t="s">
        <v>475</v>
      </c>
      <c r="B148" s="12" t="s">
        <v>476</v>
      </c>
      <c r="C148" s="12" t="s">
        <v>473</v>
      </c>
      <c r="D148" s="12" t="s">
        <v>474</v>
      </c>
      <c r="E148" s="15">
        <v>38628</v>
      </c>
      <c r="F148" s="15">
        <v>38989</v>
      </c>
      <c r="G148" s="16">
        <v>249</v>
      </c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>
        <v>190.3</v>
      </c>
      <c r="AA148" s="18"/>
      <c r="AB148" s="18"/>
      <c r="AC148" s="18"/>
      <c r="AD148" s="18">
        <v>2.0760000000000005</v>
      </c>
      <c r="AE148" s="18"/>
      <c r="AF148" s="19">
        <v>192.376</v>
      </c>
    </row>
    <row r="149" spans="1:32" ht="12.75">
      <c r="A149" s="20"/>
      <c r="B149" s="20"/>
      <c r="C149" s="12" t="s">
        <v>477</v>
      </c>
      <c r="D149" s="12" t="s">
        <v>478</v>
      </c>
      <c r="E149" s="15">
        <v>38993</v>
      </c>
      <c r="F149" s="15">
        <v>39352</v>
      </c>
      <c r="G149" s="16">
        <v>247</v>
      </c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>
        <v>1100</v>
      </c>
      <c r="AA149" s="18"/>
      <c r="AB149" s="18"/>
      <c r="AC149" s="18"/>
      <c r="AD149" s="18">
        <v>12</v>
      </c>
      <c r="AE149" s="18"/>
      <c r="AF149" s="19">
        <v>1112</v>
      </c>
    </row>
    <row r="150" spans="1:32" ht="12.75">
      <c r="A150" s="20"/>
      <c r="B150" s="20"/>
      <c r="C150" s="12" t="s">
        <v>479</v>
      </c>
      <c r="D150" s="12" t="s">
        <v>480</v>
      </c>
      <c r="E150" s="15">
        <v>39358</v>
      </c>
      <c r="F150" s="15">
        <v>39720</v>
      </c>
      <c r="G150" s="16">
        <v>247</v>
      </c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>
        <v>488</v>
      </c>
      <c r="AA150" s="18"/>
      <c r="AB150" s="18"/>
      <c r="AC150" s="18"/>
      <c r="AD150" s="18">
        <v>12</v>
      </c>
      <c r="AE150" s="18"/>
      <c r="AF150" s="19">
        <v>500</v>
      </c>
    </row>
    <row r="151" spans="1:32" ht="12.75">
      <c r="A151" s="20"/>
      <c r="B151" s="20"/>
      <c r="C151" s="12" t="s">
        <v>481</v>
      </c>
      <c r="D151" s="12" t="s">
        <v>482</v>
      </c>
      <c r="E151" s="15">
        <v>39724</v>
      </c>
      <c r="F151" s="15">
        <v>39918</v>
      </c>
      <c r="G151" s="16">
        <v>130</v>
      </c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>
        <v>244</v>
      </c>
      <c r="AA151" s="18"/>
      <c r="AB151" s="18"/>
      <c r="AC151" s="18"/>
      <c r="AD151" s="18">
        <v>6</v>
      </c>
      <c r="AE151" s="18"/>
      <c r="AF151" s="19">
        <v>250</v>
      </c>
    </row>
    <row r="152" spans="1:32" ht="12.75">
      <c r="A152" s="20"/>
      <c r="B152" s="12" t="s">
        <v>485</v>
      </c>
      <c r="C152" s="12" t="s">
        <v>483</v>
      </c>
      <c r="D152" s="12" t="s">
        <v>484</v>
      </c>
      <c r="E152" s="15">
        <v>38628</v>
      </c>
      <c r="F152" s="15">
        <v>38989</v>
      </c>
      <c r="G152" s="16">
        <v>249</v>
      </c>
      <c r="H152" s="17">
        <v>276.8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>
        <v>5.164050000000003</v>
      </c>
      <c r="X152" s="18"/>
      <c r="Y152" s="18"/>
      <c r="Z152" s="18"/>
      <c r="AA152" s="18"/>
      <c r="AB152" s="18"/>
      <c r="AC152" s="18"/>
      <c r="AD152" s="18">
        <v>2.0760000000000005</v>
      </c>
      <c r="AE152" s="18"/>
      <c r="AF152" s="19">
        <v>284.04005000000006</v>
      </c>
    </row>
    <row r="153" spans="1:32" ht="12.75">
      <c r="A153" s="20"/>
      <c r="B153" s="20"/>
      <c r="C153" s="12" t="s">
        <v>487</v>
      </c>
      <c r="D153" s="12" t="s">
        <v>488</v>
      </c>
      <c r="E153" s="15">
        <v>38993</v>
      </c>
      <c r="F153" s="15">
        <v>39345</v>
      </c>
      <c r="G153" s="16">
        <v>242</v>
      </c>
      <c r="H153" s="17">
        <v>667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>
        <v>29.95</v>
      </c>
      <c r="X153" s="18"/>
      <c r="Y153" s="18"/>
      <c r="Z153" s="18"/>
      <c r="AA153" s="18"/>
      <c r="AB153" s="18"/>
      <c r="AC153" s="18"/>
      <c r="AD153" s="18">
        <v>12</v>
      </c>
      <c r="AE153" s="18"/>
      <c r="AF153" s="19">
        <v>708.95</v>
      </c>
    </row>
    <row r="154" spans="1:32" ht="12.75">
      <c r="A154" s="20"/>
      <c r="B154" s="20"/>
      <c r="C154" s="12" t="s">
        <v>489</v>
      </c>
      <c r="D154" s="12" t="s">
        <v>490</v>
      </c>
      <c r="E154" s="15">
        <v>39358</v>
      </c>
      <c r="F154" s="15">
        <v>39713</v>
      </c>
      <c r="G154" s="16">
        <v>242</v>
      </c>
      <c r="H154" s="17">
        <v>600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>
        <v>29.95</v>
      </c>
      <c r="X154" s="18"/>
      <c r="Y154" s="18"/>
      <c r="Z154" s="18"/>
      <c r="AA154" s="18"/>
      <c r="AB154" s="18"/>
      <c r="AC154" s="18"/>
      <c r="AD154" s="18">
        <v>12</v>
      </c>
      <c r="AE154" s="18"/>
      <c r="AF154" s="19">
        <v>641.95</v>
      </c>
    </row>
    <row r="155" spans="1:32" ht="12.75">
      <c r="A155" s="20"/>
      <c r="B155" s="20"/>
      <c r="C155" s="12" t="s">
        <v>491</v>
      </c>
      <c r="D155" s="12" t="s">
        <v>492</v>
      </c>
      <c r="E155" s="15">
        <v>39722</v>
      </c>
      <c r="F155" s="15">
        <v>39916</v>
      </c>
      <c r="G155" s="16">
        <v>130</v>
      </c>
      <c r="H155" s="17">
        <v>400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>
        <v>20</v>
      </c>
      <c r="X155" s="18"/>
      <c r="Y155" s="18"/>
      <c r="Z155" s="18"/>
      <c r="AA155" s="18"/>
      <c r="AB155" s="18"/>
      <c r="AC155" s="18"/>
      <c r="AD155" s="18">
        <v>6</v>
      </c>
      <c r="AE155" s="18"/>
      <c r="AF155" s="19">
        <v>426</v>
      </c>
    </row>
    <row r="156" spans="1:32" ht="12.75">
      <c r="A156" s="21" t="s">
        <v>35</v>
      </c>
      <c r="B156" s="22"/>
      <c r="C156" s="22"/>
      <c r="D156" s="22"/>
      <c r="E156" s="22"/>
      <c r="F156" s="22"/>
      <c r="G156" s="22"/>
      <c r="H156" s="23">
        <v>2331.768</v>
      </c>
      <c r="I156" s="24">
        <v>17.82</v>
      </c>
      <c r="J156" s="24">
        <v>249</v>
      </c>
      <c r="K156" s="24">
        <v>160</v>
      </c>
      <c r="L156" s="24">
        <v>149</v>
      </c>
      <c r="M156" s="24">
        <v>99</v>
      </c>
      <c r="N156" s="24">
        <v>149</v>
      </c>
      <c r="O156" s="24">
        <v>1402.6</v>
      </c>
      <c r="P156" s="24">
        <v>52</v>
      </c>
      <c r="Q156" s="24">
        <v>102</v>
      </c>
      <c r="R156" s="24">
        <v>374</v>
      </c>
      <c r="S156" s="24">
        <v>264.7</v>
      </c>
      <c r="T156" s="24">
        <v>432.94</v>
      </c>
      <c r="U156" s="24">
        <v>263.04</v>
      </c>
      <c r="V156" s="24">
        <v>787.945</v>
      </c>
      <c r="W156" s="24">
        <v>1650.26405</v>
      </c>
      <c r="X156" s="24">
        <v>480</v>
      </c>
      <c r="Y156" s="24">
        <v>0.5</v>
      </c>
      <c r="Z156" s="24">
        <v>2022.7</v>
      </c>
      <c r="AA156" s="24">
        <v>497.2</v>
      </c>
      <c r="AB156" s="24">
        <v>831.24</v>
      </c>
      <c r="AC156" s="24">
        <v>160</v>
      </c>
      <c r="AD156" s="24">
        <v>101.18199999999999</v>
      </c>
      <c r="AE156" s="24">
        <v>3954.9234</v>
      </c>
      <c r="AF156" s="25">
        <v>16532.82245</v>
      </c>
    </row>
  </sheetData>
  <printOptions gridLines="1"/>
  <pageMargins left="0.75" right="0.75" top="1" bottom="1" header="0.5" footer="0.5"/>
  <pageSetup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workbookViewId="0" topLeftCell="A1">
      <selection activeCell="A1" sqref="A1:P239"/>
    </sheetView>
  </sheetViews>
  <sheetFormatPr defaultColWidth="9.140625" defaultRowHeight="12.75"/>
  <cols>
    <col min="4" max="4" width="17.140625" style="0" bestFit="1" customWidth="1"/>
    <col min="5" max="5" width="3.421875" style="0" customWidth="1"/>
    <col min="6" max="6" width="17.140625" style="0" bestFit="1" customWidth="1"/>
  </cols>
  <sheetData>
    <row r="1" spans="1:16" ht="12.75">
      <c r="A1" s="2" t="s">
        <v>38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42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</row>
    <row r="2" spans="1:16" ht="12.75">
      <c r="A2" s="3" t="s">
        <v>116</v>
      </c>
      <c r="B2" s="3" t="s">
        <v>117</v>
      </c>
      <c r="C2" s="4">
        <v>60</v>
      </c>
      <c r="D2" s="5">
        <f>DATE(106,10,2)</f>
        <v>38992</v>
      </c>
      <c r="E2" s="3" t="s">
        <v>56</v>
      </c>
      <c r="F2" s="5">
        <f>DATE(107,1,3)</f>
        <v>39085</v>
      </c>
      <c r="G2" s="3" t="s">
        <v>56</v>
      </c>
      <c r="H2" s="3" t="s">
        <v>57</v>
      </c>
      <c r="I2" s="3" t="s">
        <v>89</v>
      </c>
      <c r="J2" s="3" t="s">
        <v>118</v>
      </c>
      <c r="K2" s="3" t="s">
        <v>119</v>
      </c>
      <c r="L2" s="3" t="s">
        <v>111</v>
      </c>
      <c r="M2" s="3" t="s">
        <v>415</v>
      </c>
      <c r="N2" s="7">
        <v>0</v>
      </c>
      <c r="O2" s="7">
        <v>2.4</v>
      </c>
      <c r="P2" s="8">
        <f aca="true" t="shared" si="0" ref="P2:P65">+O2-N2</f>
        <v>2.4</v>
      </c>
    </row>
    <row r="3" spans="1:16" ht="12.75">
      <c r="A3" s="3" t="s">
        <v>125</v>
      </c>
      <c r="B3" s="3" t="s">
        <v>126</v>
      </c>
      <c r="C3" s="4">
        <v>65</v>
      </c>
      <c r="D3" s="5">
        <f>DATE(106,11,20)</f>
        <v>39041</v>
      </c>
      <c r="E3" s="3" t="s">
        <v>56</v>
      </c>
      <c r="F3" s="5">
        <f>DATE(107,2,28)</f>
        <v>39141</v>
      </c>
      <c r="G3" s="3" t="s">
        <v>56</v>
      </c>
      <c r="H3" s="3" t="s">
        <v>57</v>
      </c>
      <c r="I3" s="3" t="s">
        <v>89</v>
      </c>
      <c r="J3" s="3" t="s">
        <v>122</v>
      </c>
      <c r="K3" s="3" t="s">
        <v>127</v>
      </c>
      <c r="L3" s="3" t="s">
        <v>111</v>
      </c>
      <c r="M3" s="3" t="s">
        <v>415</v>
      </c>
      <c r="N3" s="7">
        <v>0</v>
      </c>
      <c r="O3" s="7">
        <v>3</v>
      </c>
      <c r="P3" s="8">
        <f t="shared" si="0"/>
        <v>3</v>
      </c>
    </row>
    <row r="4" spans="1:16" ht="12.75">
      <c r="A4" s="3" t="s">
        <v>133</v>
      </c>
      <c r="B4" s="3" t="s">
        <v>134</v>
      </c>
      <c r="C4" s="4">
        <v>130</v>
      </c>
      <c r="D4" s="5">
        <f>DATE(107,10,2)</f>
        <v>39357</v>
      </c>
      <c r="E4" s="3" t="s">
        <v>56</v>
      </c>
      <c r="F4" s="5">
        <f>DATE(108,4,11)</f>
        <v>39549</v>
      </c>
      <c r="G4" s="3" t="s">
        <v>56</v>
      </c>
      <c r="H4" s="3" t="s">
        <v>57</v>
      </c>
      <c r="I4" s="3" t="s">
        <v>89</v>
      </c>
      <c r="J4" s="3" t="s">
        <v>122</v>
      </c>
      <c r="K4" s="3" t="s">
        <v>135</v>
      </c>
      <c r="L4" s="3" t="s">
        <v>111</v>
      </c>
      <c r="M4" s="3" t="s">
        <v>415</v>
      </c>
      <c r="N4" s="7">
        <v>0</v>
      </c>
      <c r="O4" s="7">
        <v>55</v>
      </c>
      <c r="P4" s="8">
        <f t="shared" si="0"/>
        <v>55</v>
      </c>
    </row>
    <row r="5" spans="1:16" ht="12.75">
      <c r="A5" s="3" t="s">
        <v>142</v>
      </c>
      <c r="B5" s="3" t="s">
        <v>143</v>
      </c>
      <c r="C5" s="4">
        <v>89</v>
      </c>
      <c r="D5" s="5">
        <f>DATE(107,8,31)</f>
        <v>39325</v>
      </c>
      <c r="E5" s="3" t="s">
        <v>56</v>
      </c>
      <c r="F5" s="5">
        <f>DATE(108,1,16)</f>
        <v>39463</v>
      </c>
      <c r="G5" s="3" t="s">
        <v>56</v>
      </c>
      <c r="H5" s="3" t="s">
        <v>57</v>
      </c>
      <c r="I5" s="3" t="s">
        <v>89</v>
      </c>
      <c r="J5" s="3" t="s">
        <v>122</v>
      </c>
      <c r="K5" s="3" t="s">
        <v>144</v>
      </c>
      <c r="L5" s="3" t="s">
        <v>111</v>
      </c>
      <c r="M5" s="3" t="s">
        <v>415</v>
      </c>
      <c r="N5" s="7">
        <v>0</v>
      </c>
      <c r="O5" s="7">
        <v>25</v>
      </c>
      <c r="P5" s="8">
        <f t="shared" si="0"/>
        <v>25</v>
      </c>
    </row>
    <row r="6" spans="1:16" ht="12.75">
      <c r="A6" s="3" t="s">
        <v>151</v>
      </c>
      <c r="B6" s="3" t="s">
        <v>152</v>
      </c>
      <c r="C6" s="4">
        <v>89</v>
      </c>
      <c r="D6" s="5">
        <f>DATE(108,2,11)</f>
        <v>39489</v>
      </c>
      <c r="E6" s="3" t="s">
        <v>56</v>
      </c>
      <c r="F6" s="5">
        <f>DATE(108,6,13)</f>
        <v>39612</v>
      </c>
      <c r="G6" s="3" t="s">
        <v>56</v>
      </c>
      <c r="H6" s="3" t="s">
        <v>57</v>
      </c>
      <c r="I6" s="3" t="s">
        <v>89</v>
      </c>
      <c r="J6" s="3" t="s">
        <v>122</v>
      </c>
      <c r="K6" s="3" t="s">
        <v>153</v>
      </c>
      <c r="L6" s="3" t="s">
        <v>111</v>
      </c>
      <c r="M6" s="3" t="s">
        <v>415</v>
      </c>
      <c r="N6" s="7">
        <v>0</v>
      </c>
      <c r="O6" s="7">
        <v>45</v>
      </c>
      <c r="P6" s="8">
        <f t="shared" si="0"/>
        <v>45</v>
      </c>
    </row>
    <row r="7" spans="1:16" ht="12.75">
      <c r="A7" s="3" t="s">
        <v>321</v>
      </c>
      <c r="B7" s="3" t="s">
        <v>322</v>
      </c>
      <c r="C7" s="4">
        <v>65</v>
      </c>
      <c r="D7" s="5">
        <f>DATE(106,10,2)</f>
        <v>38992</v>
      </c>
      <c r="E7" s="3" t="s">
        <v>56</v>
      </c>
      <c r="F7" s="5">
        <f>DATE(107,1,10)</f>
        <v>39092</v>
      </c>
      <c r="G7" s="3" t="s">
        <v>56</v>
      </c>
      <c r="H7" s="3" t="s">
        <v>91</v>
      </c>
      <c r="I7" s="3" t="s">
        <v>323</v>
      </c>
      <c r="J7" s="3" t="s">
        <v>156</v>
      </c>
      <c r="K7" s="3" t="s">
        <v>305</v>
      </c>
      <c r="L7" s="3" t="s">
        <v>111</v>
      </c>
      <c r="M7" s="3" t="s">
        <v>415</v>
      </c>
      <c r="N7" s="7">
        <v>0</v>
      </c>
      <c r="O7" s="7">
        <v>13</v>
      </c>
      <c r="P7" s="8">
        <f t="shared" si="0"/>
        <v>13</v>
      </c>
    </row>
    <row r="8" spans="1:16" ht="12.75">
      <c r="A8" s="3" t="s">
        <v>325</v>
      </c>
      <c r="B8" s="3" t="s">
        <v>326</v>
      </c>
      <c r="C8" s="4">
        <v>21</v>
      </c>
      <c r="D8" s="5">
        <f>DATE(106,11,1)</f>
        <v>39022</v>
      </c>
      <c r="E8" s="3" t="s">
        <v>56</v>
      </c>
      <c r="F8" s="5">
        <f>DATE(106,12,1)</f>
        <v>39052</v>
      </c>
      <c r="G8" s="3" t="s">
        <v>56</v>
      </c>
      <c r="H8" s="3" t="s">
        <v>91</v>
      </c>
      <c r="I8" s="3" t="s">
        <v>327</v>
      </c>
      <c r="J8" s="3" t="s">
        <v>156</v>
      </c>
      <c r="K8" s="3" t="s">
        <v>305</v>
      </c>
      <c r="L8" s="3" t="s">
        <v>111</v>
      </c>
      <c r="M8" s="3" t="s">
        <v>415</v>
      </c>
      <c r="N8" s="7">
        <v>0</v>
      </c>
      <c r="O8" s="7">
        <v>25</v>
      </c>
      <c r="P8" s="8">
        <f t="shared" si="0"/>
        <v>25</v>
      </c>
    </row>
    <row r="9" spans="1:16" ht="12.75">
      <c r="A9" s="3" t="s">
        <v>445</v>
      </c>
      <c r="B9" s="3" t="s">
        <v>446</v>
      </c>
      <c r="C9" s="4">
        <v>130</v>
      </c>
      <c r="D9" s="5">
        <f>DATE(108,1,8)</f>
        <v>39455</v>
      </c>
      <c r="E9" s="3" t="s">
        <v>56</v>
      </c>
      <c r="F9" s="5">
        <f>DATE(108,7,9)</f>
        <v>39638</v>
      </c>
      <c r="G9" s="3" t="s">
        <v>56</v>
      </c>
      <c r="H9" s="3" t="s">
        <v>174</v>
      </c>
      <c r="I9" s="3" t="s">
        <v>439</v>
      </c>
      <c r="J9" s="3" t="s">
        <v>440</v>
      </c>
      <c r="K9" s="3" t="s">
        <v>164</v>
      </c>
      <c r="L9" s="3" t="s">
        <v>111</v>
      </c>
      <c r="M9" s="3" t="s">
        <v>415</v>
      </c>
      <c r="N9" s="7">
        <v>0</v>
      </c>
      <c r="O9" s="7">
        <v>52.95</v>
      </c>
      <c r="P9" s="8">
        <f t="shared" si="0"/>
        <v>52.95</v>
      </c>
    </row>
    <row r="10" spans="1:16" ht="12.75">
      <c r="A10" s="3" t="s">
        <v>447</v>
      </c>
      <c r="B10" s="3" t="s">
        <v>448</v>
      </c>
      <c r="C10" s="4">
        <v>65</v>
      </c>
      <c r="D10" s="5">
        <f>DATE(108,7,10)</f>
        <v>39639</v>
      </c>
      <c r="E10" s="3" t="s">
        <v>56</v>
      </c>
      <c r="F10" s="5">
        <f>DATE(108,10,9)</f>
        <v>39730</v>
      </c>
      <c r="G10" s="3" t="s">
        <v>56</v>
      </c>
      <c r="H10" s="3" t="s">
        <v>174</v>
      </c>
      <c r="I10" s="3" t="s">
        <v>439</v>
      </c>
      <c r="J10" s="3" t="s">
        <v>440</v>
      </c>
      <c r="K10" s="3" t="s">
        <v>164</v>
      </c>
      <c r="L10" s="3" t="s">
        <v>111</v>
      </c>
      <c r="M10" s="3" t="s">
        <v>415</v>
      </c>
      <c r="N10" s="7">
        <v>0</v>
      </c>
      <c r="O10" s="7">
        <v>44.36</v>
      </c>
      <c r="P10" s="8">
        <f t="shared" si="0"/>
        <v>44.36</v>
      </c>
    </row>
    <row r="11" spans="1:16" ht="12.75">
      <c r="A11" s="3" t="s">
        <v>465</v>
      </c>
      <c r="B11" s="3" t="s">
        <v>466</v>
      </c>
      <c r="C11" s="4">
        <v>60</v>
      </c>
      <c r="D11" s="5">
        <f>DATE(108,7,17)</f>
        <v>39646</v>
      </c>
      <c r="E11" s="3" t="s">
        <v>56</v>
      </c>
      <c r="F11" s="5">
        <f>DATE(108,10,9)</f>
        <v>39730</v>
      </c>
      <c r="G11" s="3" t="s">
        <v>56</v>
      </c>
      <c r="H11" s="3" t="s">
        <v>174</v>
      </c>
      <c r="I11" s="3" t="s">
        <v>439</v>
      </c>
      <c r="J11" s="3" t="s">
        <v>458</v>
      </c>
      <c r="K11" s="3" t="s">
        <v>245</v>
      </c>
      <c r="L11" s="3" t="s">
        <v>111</v>
      </c>
      <c r="M11" s="3" t="s">
        <v>415</v>
      </c>
      <c r="N11" s="7">
        <v>0</v>
      </c>
      <c r="O11" s="7">
        <v>223.62</v>
      </c>
      <c r="P11" s="8">
        <f t="shared" si="0"/>
        <v>223.62</v>
      </c>
    </row>
    <row r="12" spans="1:16" ht="12.75">
      <c r="A12" s="3" t="s">
        <v>165</v>
      </c>
      <c r="B12" s="3" t="s">
        <v>166</v>
      </c>
      <c r="C12" s="4">
        <v>11</v>
      </c>
      <c r="D12" s="5">
        <f>DATE(106,7,24)</f>
        <v>38922</v>
      </c>
      <c r="E12" s="3" t="s">
        <v>55</v>
      </c>
      <c r="F12" s="5">
        <f>DATE(106,8,7)</f>
        <v>38936</v>
      </c>
      <c r="G12" s="3" t="s">
        <v>56</v>
      </c>
      <c r="H12" s="3" t="s">
        <v>57</v>
      </c>
      <c r="I12" s="3" t="s">
        <v>162</v>
      </c>
      <c r="J12" s="3" t="s">
        <v>167</v>
      </c>
      <c r="K12" s="3" t="s">
        <v>91</v>
      </c>
      <c r="L12" s="3" t="s">
        <v>168</v>
      </c>
      <c r="M12" s="3" t="s">
        <v>415</v>
      </c>
      <c r="N12" s="7">
        <v>30</v>
      </c>
      <c r="O12" s="7">
        <v>60</v>
      </c>
      <c r="P12" s="8">
        <f t="shared" si="0"/>
        <v>30</v>
      </c>
    </row>
    <row r="13" spans="1:16" ht="12.75">
      <c r="A13" s="3" t="s">
        <v>169</v>
      </c>
      <c r="B13" s="3" t="s">
        <v>170</v>
      </c>
      <c r="C13" s="4">
        <v>3</v>
      </c>
      <c r="D13" s="5">
        <f>DATE(106,8,8)</f>
        <v>38937</v>
      </c>
      <c r="E13" s="3" t="s">
        <v>56</v>
      </c>
      <c r="F13" s="5">
        <f>DATE(106,8,10)</f>
        <v>38939</v>
      </c>
      <c r="G13" s="3" t="s">
        <v>56</v>
      </c>
      <c r="H13" s="3" t="s">
        <v>57</v>
      </c>
      <c r="I13" s="3" t="s">
        <v>162</v>
      </c>
      <c r="J13" s="3" t="s">
        <v>167</v>
      </c>
      <c r="K13" s="3" t="s">
        <v>171</v>
      </c>
      <c r="L13" s="3" t="s">
        <v>168</v>
      </c>
      <c r="M13" s="3" t="s">
        <v>415</v>
      </c>
      <c r="N13" s="7">
        <v>0</v>
      </c>
      <c r="O13" s="7">
        <v>50</v>
      </c>
      <c r="P13" s="8">
        <f t="shared" si="0"/>
        <v>50</v>
      </c>
    </row>
    <row r="14" spans="1:16" ht="12.75">
      <c r="A14" s="3" t="s">
        <v>172</v>
      </c>
      <c r="B14" s="3" t="s">
        <v>173</v>
      </c>
      <c r="C14" s="4">
        <v>5</v>
      </c>
      <c r="D14" s="5">
        <f>DATE(106,8,11)</f>
        <v>38940</v>
      </c>
      <c r="E14" s="3" t="s">
        <v>56</v>
      </c>
      <c r="F14" s="5">
        <f>DATE(106,8,17)</f>
        <v>38946</v>
      </c>
      <c r="G14" s="3" t="s">
        <v>56</v>
      </c>
      <c r="H14" s="3" t="s">
        <v>57</v>
      </c>
      <c r="I14" s="3" t="s">
        <v>162</v>
      </c>
      <c r="J14" s="3" t="s">
        <v>167</v>
      </c>
      <c r="K14" s="3" t="s">
        <v>174</v>
      </c>
      <c r="L14" s="3" t="s">
        <v>168</v>
      </c>
      <c r="M14" s="3" t="s">
        <v>415</v>
      </c>
      <c r="N14" s="7">
        <v>0</v>
      </c>
      <c r="O14" s="7">
        <v>50</v>
      </c>
      <c r="P14" s="8">
        <f t="shared" si="0"/>
        <v>50</v>
      </c>
    </row>
    <row r="15" spans="1:16" ht="12.75">
      <c r="A15" s="3" t="s">
        <v>177</v>
      </c>
      <c r="B15" s="3" t="s">
        <v>178</v>
      </c>
      <c r="C15" s="4">
        <v>3</v>
      </c>
      <c r="D15" s="5">
        <f>DATE(106,9,6)</f>
        <v>38966</v>
      </c>
      <c r="E15" s="3" t="s">
        <v>56</v>
      </c>
      <c r="F15" s="5">
        <f>DATE(106,9,8)</f>
        <v>38968</v>
      </c>
      <c r="G15" s="3" t="s">
        <v>56</v>
      </c>
      <c r="H15" s="3" t="s">
        <v>57</v>
      </c>
      <c r="I15" s="3" t="s">
        <v>162</v>
      </c>
      <c r="J15" s="3" t="s">
        <v>167</v>
      </c>
      <c r="K15" s="3" t="s">
        <v>179</v>
      </c>
      <c r="L15" s="3" t="s">
        <v>168</v>
      </c>
      <c r="M15" s="3" t="s">
        <v>415</v>
      </c>
      <c r="N15" s="7">
        <v>0</v>
      </c>
      <c r="O15" s="7">
        <v>23</v>
      </c>
      <c r="P15" s="8">
        <f t="shared" si="0"/>
        <v>23</v>
      </c>
    </row>
    <row r="16" spans="1:16" ht="12.75">
      <c r="A16" s="3" t="s">
        <v>180</v>
      </c>
      <c r="B16" s="3" t="s">
        <v>181</v>
      </c>
      <c r="C16" s="4">
        <v>2</v>
      </c>
      <c r="D16" s="5">
        <f>DATE(106,9,11)</f>
        <v>38971</v>
      </c>
      <c r="E16" s="3" t="s">
        <v>56</v>
      </c>
      <c r="F16" s="5">
        <f>DATE(106,9,12)</f>
        <v>38972</v>
      </c>
      <c r="G16" s="3" t="s">
        <v>56</v>
      </c>
      <c r="H16" s="3" t="s">
        <v>57</v>
      </c>
      <c r="I16" s="3" t="s">
        <v>162</v>
      </c>
      <c r="J16" s="3" t="s">
        <v>167</v>
      </c>
      <c r="K16" s="3" t="s">
        <v>182</v>
      </c>
      <c r="L16" s="3" t="s">
        <v>168</v>
      </c>
      <c r="M16" s="3" t="s">
        <v>415</v>
      </c>
      <c r="N16" s="7">
        <v>0</v>
      </c>
      <c r="O16" s="7">
        <v>22</v>
      </c>
      <c r="P16" s="8">
        <f t="shared" si="0"/>
        <v>22</v>
      </c>
    </row>
    <row r="17" spans="1:16" ht="12.75">
      <c r="A17" s="3" t="s">
        <v>191</v>
      </c>
      <c r="B17" s="3" t="s">
        <v>192</v>
      </c>
      <c r="C17" s="4">
        <v>54</v>
      </c>
      <c r="D17" s="5">
        <f>DATE(106,7,3)</f>
        <v>38901</v>
      </c>
      <c r="E17" s="3" t="s">
        <v>55</v>
      </c>
      <c r="F17" s="5">
        <f>DATE(106,9,14)</f>
        <v>38974</v>
      </c>
      <c r="G17" s="3" t="s">
        <v>56</v>
      </c>
      <c r="H17" s="3" t="s">
        <v>57</v>
      </c>
      <c r="I17" s="3" t="s">
        <v>162</v>
      </c>
      <c r="J17" s="3" t="s">
        <v>190</v>
      </c>
      <c r="K17" s="3" t="s">
        <v>84</v>
      </c>
      <c r="L17" s="3" t="s">
        <v>168</v>
      </c>
      <c r="M17" s="3" t="s">
        <v>415</v>
      </c>
      <c r="N17" s="7">
        <v>388.8</v>
      </c>
      <c r="O17" s="7">
        <v>486</v>
      </c>
      <c r="P17" s="8">
        <f t="shared" si="0"/>
        <v>97.19999999999999</v>
      </c>
    </row>
    <row r="18" spans="1:16" ht="12.75">
      <c r="A18" s="3" t="s">
        <v>93</v>
      </c>
      <c r="B18" s="3" t="s">
        <v>94</v>
      </c>
      <c r="C18" s="4">
        <v>43</v>
      </c>
      <c r="D18" s="5">
        <f>DATE(107,4,2)</f>
        <v>39174</v>
      </c>
      <c r="E18" s="3" t="s">
        <v>56</v>
      </c>
      <c r="F18" s="5">
        <f>DATE(107,5,31)</f>
        <v>39233</v>
      </c>
      <c r="G18" s="3" t="s">
        <v>56</v>
      </c>
      <c r="H18" s="3" t="s">
        <v>57</v>
      </c>
      <c r="I18" s="3" t="s">
        <v>89</v>
      </c>
      <c r="J18" s="3" t="s">
        <v>95</v>
      </c>
      <c r="K18" s="3" t="s">
        <v>96</v>
      </c>
      <c r="L18" s="3" t="s">
        <v>97</v>
      </c>
      <c r="M18" s="3" t="s">
        <v>68</v>
      </c>
      <c r="N18" s="7">
        <v>0</v>
      </c>
      <c r="O18" s="7">
        <v>0</v>
      </c>
      <c r="P18" s="8">
        <f t="shared" si="0"/>
        <v>0</v>
      </c>
    </row>
    <row r="19" spans="1:16" ht="12.75">
      <c r="A19" s="3" t="s">
        <v>98</v>
      </c>
      <c r="B19" s="3" t="s">
        <v>99</v>
      </c>
      <c r="C19" s="4">
        <v>0</v>
      </c>
      <c r="D19" s="5"/>
      <c r="E19" s="3" t="s">
        <v>56</v>
      </c>
      <c r="F19" s="5">
        <f>DATE(107,5,31)</f>
        <v>39233</v>
      </c>
      <c r="G19" s="3" t="s">
        <v>56</v>
      </c>
      <c r="H19" s="3" t="s">
        <v>57</v>
      </c>
      <c r="I19" s="3" t="s">
        <v>89</v>
      </c>
      <c r="J19" s="3" t="s">
        <v>95</v>
      </c>
      <c r="K19" s="3" t="s">
        <v>100</v>
      </c>
      <c r="L19" s="3" t="s">
        <v>97</v>
      </c>
      <c r="M19" s="3" t="s">
        <v>68</v>
      </c>
      <c r="N19" s="7">
        <v>0</v>
      </c>
      <c r="O19" s="7">
        <v>0</v>
      </c>
      <c r="P19" s="8">
        <f t="shared" si="0"/>
        <v>0</v>
      </c>
    </row>
    <row r="20" spans="1:16" ht="12.75">
      <c r="A20" s="3" t="s">
        <v>104</v>
      </c>
      <c r="B20" s="3" t="s">
        <v>105</v>
      </c>
      <c r="C20" s="4">
        <v>43</v>
      </c>
      <c r="D20" s="5">
        <f>DATE(107,6,4)</f>
        <v>39237</v>
      </c>
      <c r="E20" s="3" t="s">
        <v>56</v>
      </c>
      <c r="F20" s="5">
        <f>DATE(107,8,2)</f>
        <v>39296</v>
      </c>
      <c r="G20" s="3" t="s">
        <v>56</v>
      </c>
      <c r="H20" s="3" t="s">
        <v>57</v>
      </c>
      <c r="I20" s="3" t="s">
        <v>89</v>
      </c>
      <c r="J20" s="3" t="s">
        <v>106</v>
      </c>
      <c r="K20" s="3" t="s">
        <v>96</v>
      </c>
      <c r="L20" s="3" t="s">
        <v>97</v>
      </c>
      <c r="M20" s="3" t="s">
        <v>68</v>
      </c>
      <c r="N20" s="7">
        <v>0</v>
      </c>
      <c r="O20" s="7">
        <v>0</v>
      </c>
      <c r="P20" s="8">
        <f t="shared" si="0"/>
        <v>0</v>
      </c>
    </row>
    <row r="21" spans="1:16" ht="12.75">
      <c r="A21" s="3" t="s">
        <v>107</v>
      </c>
      <c r="B21" s="3" t="s">
        <v>108</v>
      </c>
      <c r="C21" s="4">
        <v>0</v>
      </c>
      <c r="D21" s="5"/>
      <c r="E21" s="3" t="s">
        <v>56</v>
      </c>
      <c r="F21" s="5">
        <f>DATE(107,8,2)</f>
        <v>39296</v>
      </c>
      <c r="G21" s="3" t="s">
        <v>56</v>
      </c>
      <c r="H21" s="3" t="s">
        <v>57</v>
      </c>
      <c r="I21" s="3" t="s">
        <v>89</v>
      </c>
      <c r="J21" s="3" t="s">
        <v>106</v>
      </c>
      <c r="K21" s="3" t="s">
        <v>100</v>
      </c>
      <c r="L21" s="3" t="s">
        <v>97</v>
      </c>
      <c r="M21" s="3" t="s">
        <v>68</v>
      </c>
      <c r="N21" s="7">
        <v>0</v>
      </c>
      <c r="O21" s="7">
        <v>0</v>
      </c>
      <c r="P21" s="8">
        <f t="shared" si="0"/>
        <v>0</v>
      </c>
    </row>
    <row r="22" spans="1:16" ht="12.75">
      <c r="A22" s="3" t="s">
        <v>120</v>
      </c>
      <c r="B22" s="3" t="s">
        <v>121</v>
      </c>
      <c r="C22" s="4">
        <v>35</v>
      </c>
      <c r="D22" s="5">
        <f>DATE(106,10,2)</f>
        <v>38992</v>
      </c>
      <c r="E22" s="3" t="s">
        <v>56</v>
      </c>
      <c r="F22" s="5">
        <f>DATE(106,11,17)</f>
        <v>39038</v>
      </c>
      <c r="G22" s="3" t="s">
        <v>56</v>
      </c>
      <c r="H22" s="3" t="s">
        <v>57</v>
      </c>
      <c r="I22" s="3" t="s">
        <v>89</v>
      </c>
      <c r="J22" s="3" t="s">
        <v>122</v>
      </c>
      <c r="K22" s="3" t="s">
        <v>84</v>
      </c>
      <c r="L22" s="3" t="s">
        <v>97</v>
      </c>
      <c r="M22" s="3" t="s">
        <v>68</v>
      </c>
      <c r="N22" s="7">
        <v>0</v>
      </c>
      <c r="O22" s="7">
        <v>0</v>
      </c>
      <c r="P22" s="8">
        <f t="shared" si="0"/>
        <v>0</v>
      </c>
    </row>
    <row r="23" spans="1:16" ht="12.75">
      <c r="A23" s="3" t="s">
        <v>123</v>
      </c>
      <c r="B23" s="3" t="s">
        <v>124</v>
      </c>
      <c r="C23" s="4">
        <v>0</v>
      </c>
      <c r="D23" s="5"/>
      <c r="E23" s="3" t="s">
        <v>56</v>
      </c>
      <c r="F23" s="5">
        <f>DATE(106,11,17)</f>
        <v>39038</v>
      </c>
      <c r="G23" s="3" t="s">
        <v>56</v>
      </c>
      <c r="H23" s="3" t="s">
        <v>57</v>
      </c>
      <c r="I23" s="3" t="s">
        <v>89</v>
      </c>
      <c r="J23" s="3" t="s">
        <v>122</v>
      </c>
      <c r="K23" s="3" t="s">
        <v>57</v>
      </c>
      <c r="L23" s="3" t="s">
        <v>97</v>
      </c>
      <c r="M23" s="3" t="s">
        <v>68</v>
      </c>
      <c r="N23" s="7">
        <v>0</v>
      </c>
      <c r="O23" s="7">
        <v>0</v>
      </c>
      <c r="P23" s="8">
        <f t="shared" si="0"/>
        <v>0</v>
      </c>
    </row>
    <row r="24" spans="1:16" ht="12.75">
      <c r="A24" s="3" t="s">
        <v>128</v>
      </c>
      <c r="B24" s="3" t="s">
        <v>129</v>
      </c>
      <c r="C24" s="4">
        <v>43</v>
      </c>
      <c r="D24" s="5">
        <f>DATE(107,8,1)</f>
        <v>39295</v>
      </c>
      <c r="E24" s="3" t="s">
        <v>56</v>
      </c>
      <c r="F24" s="5">
        <f>DATE(107,10,1)</f>
        <v>39356</v>
      </c>
      <c r="G24" s="3" t="s">
        <v>56</v>
      </c>
      <c r="H24" s="3" t="s">
        <v>57</v>
      </c>
      <c r="I24" s="3" t="s">
        <v>89</v>
      </c>
      <c r="J24" s="3" t="s">
        <v>122</v>
      </c>
      <c r="K24" s="3" t="s">
        <v>103</v>
      </c>
      <c r="L24" s="3" t="s">
        <v>97</v>
      </c>
      <c r="M24" s="3" t="s">
        <v>68</v>
      </c>
      <c r="N24" s="7">
        <v>0</v>
      </c>
      <c r="O24" s="7">
        <v>0</v>
      </c>
      <c r="P24" s="8">
        <f t="shared" si="0"/>
        <v>0</v>
      </c>
    </row>
    <row r="25" spans="1:16" ht="12.75">
      <c r="A25" s="3" t="s">
        <v>130</v>
      </c>
      <c r="B25" s="3" t="s">
        <v>131</v>
      </c>
      <c r="C25" s="4">
        <v>0</v>
      </c>
      <c r="D25" s="5"/>
      <c r="E25" s="3" t="s">
        <v>56</v>
      </c>
      <c r="F25" s="5">
        <f>DATE(107,10,1)</f>
        <v>39356</v>
      </c>
      <c r="G25" s="3" t="s">
        <v>56</v>
      </c>
      <c r="H25" s="3" t="s">
        <v>57</v>
      </c>
      <c r="I25" s="3" t="s">
        <v>89</v>
      </c>
      <c r="J25" s="3" t="s">
        <v>122</v>
      </c>
      <c r="K25" s="3" t="s">
        <v>132</v>
      </c>
      <c r="L25" s="3" t="s">
        <v>97</v>
      </c>
      <c r="M25" s="3" t="s">
        <v>68</v>
      </c>
      <c r="N25" s="7">
        <v>0</v>
      </c>
      <c r="O25" s="7">
        <v>0</v>
      </c>
      <c r="P25" s="8">
        <f t="shared" si="0"/>
        <v>0</v>
      </c>
    </row>
    <row r="26" spans="1:16" ht="12.75">
      <c r="A26" s="3" t="s">
        <v>136</v>
      </c>
      <c r="B26" s="3" t="s">
        <v>137</v>
      </c>
      <c r="C26" s="4">
        <v>43</v>
      </c>
      <c r="D26" s="5">
        <f>DATE(107,7,2)</f>
        <v>39265</v>
      </c>
      <c r="E26" s="3" t="s">
        <v>56</v>
      </c>
      <c r="F26" s="5">
        <f>DATE(107,8,30)</f>
        <v>39324</v>
      </c>
      <c r="G26" s="3" t="s">
        <v>56</v>
      </c>
      <c r="H26" s="3" t="s">
        <v>57</v>
      </c>
      <c r="I26" s="3" t="s">
        <v>89</v>
      </c>
      <c r="J26" s="3" t="s">
        <v>122</v>
      </c>
      <c r="K26" s="3" t="s">
        <v>138</v>
      </c>
      <c r="L26" s="3" t="s">
        <v>97</v>
      </c>
      <c r="M26" s="3" t="s">
        <v>68</v>
      </c>
      <c r="N26" s="7">
        <v>0</v>
      </c>
      <c r="O26" s="7">
        <v>0</v>
      </c>
      <c r="P26" s="8">
        <f t="shared" si="0"/>
        <v>0</v>
      </c>
    </row>
    <row r="27" spans="1:16" ht="12.75">
      <c r="A27" s="3" t="s">
        <v>139</v>
      </c>
      <c r="B27" s="3" t="s">
        <v>140</v>
      </c>
      <c r="C27" s="4">
        <v>0</v>
      </c>
      <c r="D27" s="5"/>
      <c r="E27" s="3" t="s">
        <v>56</v>
      </c>
      <c r="F27" s="5">
        <f>DATE(107,8,30)</f>
        <v>39324</v>
      </c>
      <c r="G27" s="3" t="s">
        <v>56</v>
      </c>
      <c r="H27" s="3" t="s">
        <v>57</v>
      </c>
      <c r="I27" s="3" t="s">
        <v>89</v>
      </c>
      <c r="J27" s="3" t="s">
        <v>122</v>
      </c>
      <c r="K27" s="3" t="s">
        <v>141</v>
      </c>
      <c r="L27" s="3" t="s">
        <v>97</v>
      </c>
      <c r="M27" s="3" t="s">
        <v>68</v>
      </c>
      <c r="N27" s="7">
        <v>0</v>
      </c>
      <c r="O27" s="7">
        <v>0</v>
      </c>
      <c r="P27" s="8">
        <f t="shared" si="0"/>
        <v>0</v>
      </c>
    </row>
    <row r="28" spans="1:16" ht="12.75">
      <c r="A28" s="3" t="s">
        <v>145</v>
      </c>
      <c r="B28" s="3" t="s">
        <v>146</v>
      </c>
      <c r="C28" s="4">
        <v>43</v>
      </c>
      <c r="D28" s="5">
        <f>DATE(107,12,3)</f>
        <v>39419</v>
      </c>
      <c r="E28" s="3" t="s">
        <v>56</v>
      </c>
      <c r="F28" s="5">
        <f>DATE(108,2,8)</f>
        <v>39486</v>
      </c>
      <c r="G28" s="3" t="s">
        <v>56</v>
      </c>
      <c r="H28" s="3" t="s">
        <v>57</v>
      </c>
      <c r="I28" s="3" t="s">
        <v>89</v>
      </c>
      <c r="J28" s="3" t="s">
        <v>122</v>
      </c>
      <c r="K28" s="3" t="s">
        <v>147</v>
      </c>
      <c r="L28" s="3" t="s">
        <v>97</v>
      </c>
      <c r="M28" s="3" t="s">
        <v>68</v>
      </c>
      <c r="N28" s="7">
        <v>0</v>
      </c>
      <c r="O28" s="7">
        <v>0</v>
      </c>
      <c r="P28" s="8">
        <f t="shared" si="0"/>
        <v>0</v>
      </c>
    </row>
    <row r="29" spans="1:16" ht="12.75">
      <c r="A29" s="3" t="s">
        <v>148</v>
      </c>
      <c r="B29" s="3" t="s">
        <v>149</v>
      </c>
      <c r="C29" s="4">
        <v>0</v>
      </c>
      <c r="D29" s="5"/>
      <c r="E29" s="3" t="s">
        <v>56</v>
      </c>
      <c r="F29" s="5">
        <f>DATE(108,2,8)</f>
        <v>39486</v>
      </c>
      <c r="G29" s="3" t="s">
        <v>56</v>
      </c>
      <c r="H29" s="3" t="s">
        <v>57</v>
      </c>
      <c r="I29" s="3" t="s">
        <v>89</v>
      </c>
      <c r="J29" s="3" t="s">
        <v>122</v>
      </c>
      <c r="K29" s="3" t="s">
        <v>150</v>
      </c>
      <c r="L29" s="3" t="s">
        <v>97</v>
      </c>
      <c r="M29" s="3" t="s">
        <v>68</v>
      </c>
      <c r="N29" s="7">
        <v>0</v>
      </c>
      <c r="O29" s="7">
        <v>0</v>
      </c>
      <c r="P29" s="8">
        <f t="shared" si="0"/>
        <v>0</v>
      </c>
    </row>
    <row r="30" spans="1:16" ht="12.75">
      <c r="A30" s="3" t="s">
        <v>160</v>
      </c>
      <c r="B30" s="3" t="s">
        <v>161</v>
      </c>
      <c r="C30" s="4">
        <v>433</v>
      </c>
      <c r="D30" s="5">
        <f>DATE(104,11,29)</f>
        <v>38320</v>
      </c>
      <c r="E30" s="3" t="s">
        <v>55</v>
      </c>
      <c r="F30" s="5"/>
      <c r="G30" s="3" t="s">
        <v>56</v>
      </c>
      <c r="H30" s="3" t="s">
        <v>57</v>
      </c>
      <c r="I30" s="3" t="s">
        <v>162</v>
      </c>
      <c r="J30" s="3" t="s">
        <v>163</v>
      </c>
      <c r="K30" s="3" t="s">
        <v>164</v>
      </c>
      <c r="L30" s="3" t="s">
        <v>97</v>
      </c>
      <c r="M30" s="3" t="s">
        <v>68</v>
      </c>
      <c r="N30" s="7">
        <v>0</v>
      </c>
      <c r="O30" s="7">
        <v>0</v>
      </c>
      <c r="P30" s="8">
        <f t="shared" si="0"/>
        <v>0</v>
      </c>
    </row>
    <row r="31" spans="1:16" ht="12.75">
      <c r="A31" s="3" t="s">
        <v>175</v>
      </c>
      <c r="B31" s="3" t="s">
        <v>176</v>
      </c>
      <c r="C31" s="4">
        <v>13</v>
      </c>
      <c r="D31" s="5">
        <f>DATE(106,8,18)</f>
        <v>38947</v>
      </c>
      <c r="E31" s="3" t="s">
        <v>56</v>
      </c>
      <c r="F31" s="5">
        <f>DATE(106,9,5)</f>
        <v>38965</v>
      </c>
      <c r="G31" s="3" t="s">
        <v>56</v>
      </c>
      <c r="H31" s="3" t="s">
        <v>57</v>
      </c>
      <c r="I31" s="3" t="s">
        <v>162</v>
      </c>
      <c r="J31" s="3" t="s">
        <v>167</v>
      </c>
      <c r="K31" s="3" t="s">
        <v>174</v>
      </c>
      <c r="L31" s="3" t="s">
        <v>97</v>
      </c>
      <c r="M31" s="3" t="s">
        <v>68</v>
      </c>
      <c r="N31" s="7">
        <v>0</v>
      </c>
      <c r="O31" s="7">
        <v>0</v>
      </c>
      <c r="P31" s="8">
        <f t="shared" si="0"/>
        <v>0</v>
      </c>
    </row>
    <row r="32" spans="1:16" ht="12.75">
      <c r="A32" s="3" t="s">
        <v>183</v>
      </c>
      <c r="B32" s="3" t="s">
        <v>184</v>
      </c>
      <c r="C32" s="4">
        <v>0</v>
      </c>
      <c r="D32" s="5"/>
      <c r="E32" s="3" t="s">
        <v>56</v>
      </c>
      <c r="F32" s="5">
        <f>DATE(106,9,12)</f>
        <v>38972</v>
      </c>
      <c r="G32" s="3" t="s">
        <v>56</v>
      </c>
      <c r="H32" s="3" t="s">
        <v>57</v>
      </c>
      <c r="I32" s="3" t="s">
        <v>162</v>
      </c>
      <c r="J32" s="3" t="s">
        <v>167</v>
      </c>
      <c r="K32" s="3" t="s">
        <v>185</v>
      </c>
      <c r="L32" s="3" t="s">
        <v>97</v>
      </c>
      <c r="M32" s="3" t="s">
        <v>68</v>
      </c>
      <c r="N32" s="7">
        <v>0</v>
      </c>
      <c r="O32" s="7">
        <v>0</v>
      </c>
      <c r="P32" s="8">
        <f t="shared" si="0"/>
        <v>0</v>
      </c>
    </row>
    <row r="33" spans="1:16" ht="12.75">
      <c r="A33" s="3" t="s">
        <v>186</v>
      </c>
      <c r="B33" s="3" t="s">
        <v>187</v>
      </c>
      <c r="C33" s="4">
        <v>0</v>
      </c>
      <c r="D33" s="5"/>
      <c r="E33" s="3" t="s">
        <v>56</v>
      </c>
      <c r="F33" s="5">
        <f>DATE(106,9,12)</f>
        <v>38972</v>
      </c>
      <c r="G33" s="3" t="s">
        <v>56</v>
      </c>
      <c r="H33" s="3" t="s">
        <v>57</v>
      </c>
      <c r="I33" s="3" t="s">
        <v>162</v>
      </c>
      <c r="J33" s="3" t="s">
        <v>167</v>
      </c>
      <c r="K33" s="3" t="s">
        <v>96</v>
      </c>
      <c r="L33" s="3" t="s">
        <v>97</v>
      </c>
      <c r="M33" s="3" t="s">
        <v>68</v>
      </c>
      <c r="N33" s="7">
        <v>0</v>
      </c>
      <c r="O33" s="7">
        <v>0</v>
      </c>
      <c r="P33" s="8">
        <f t="shared" si="0"/>
        <v>0</v>
      </c>
    </row>
    <row r="34" spans="1:16" ht="12.75">
      <c r="A34" s="3" t="s">
        <v>188</v>
      </c>
      <c r="B34" s="3" t="s">
        <v>189</v>
      </c>
      <c r="C34" s="4">
        <v>1</v>
      </c>
      <c r="D34" s="5">
        <f>DATE(106,9,11)</f>
        <v>38971</v>
      </c>
      <c r="E34" s="3" t="s">
        <v>56</v>
      </c>
      <c r="F34" s="5">
        <f>DATE(106,9,11)</f>
        <v>38971</v>
      </c>
      <c r="G34" s="3" t="s">
        <v>56</v>
      </c>
      <c r="H34" s="3" t="s">
        <v>57</v>
      </c>
      <c r="I34" s="3" t="s">
        <v>162</v>
      </c>
      <c r="J34" s="3" t="s">
        <v>190</v>
      </c>
      <c r="K34" s="3" t="s">
        <v>81</v>
      </c>
      <c r="L34" s="3" t="s">
        <v>97</v>
      </c>
      <c r="M34" s="3" t="s">
        <v>68</v>
      </c>
      <c r="N34" s="7">
        <v>0</v>
      </c>
      <c r="O34" s="7">
        <v>0</v>
      </c>
      <c r="P34" s="8">
        <f t="shared" si="0"/>
        <v>0</v>
      </c>
    </row>
    <row r="35" spans="1:16" ht="12.75">
      <c r="A35" s="3" t="s">
        <v>193</v>
      </c>
      <c r="B35" s="3" t="s">
        <v>194</v>
      </c>
      <c r="C35" s="4">
        <v>0</v>
      </c>
      <c r="D35" s="5"/>
      <c r="E35" s="3" t="s">
        <v>56</v>
      </c>
      <c r="F35" s="5">
        <f>DATE(106,9,14)</f>
        <v>38974</v>
      </c>
      <c r="G35" s="3" t="s">
        <v>56</v>
      </c>
      <c r="H35" s="3" t="s">
        <v>57</v>
      </c>
      <c r="I35" s="3" t="s">
        <v>162</v>
      </c>
      <c r="J35" s="3" t="s">
        <v>190</v>
      </c>
      <c r="K35" s="3" t="s">
        <v>57</v>
      </c>
      <c r="L35" s="3" t="s">
        <v>97</v>
      </c>
      <c r="M35" s="3" t="s">
        <v>68</v>
      </c>
      <c r="N35" s="7">
        <v>0</v>
      </c>
      <c r="O35" s="7">
        <v>0</v>
      </c>
      <c r="P35" s="8">
        <f t="shared" si="0"/>
        <v>0</v>
      </c>
    </row>
    <row r="36" spans="1:16" ht="12.75">
      <c r="A36" s="3" t="s">
        <v>220</v>
      </c>
      <c r="B36" s="3" t="s">
        <v>221</v>
      </c>
      <c r="C36" s="4">
        <v>43</v>
      </c>
      <c r="D36" s="5">
        <f>DATE(106,10,2)</f>
        <v>38992</v>
      </c>
      <c r="E36" s="3" t="s">
        <v>56</v>
      </c>
      <c r="F36" s="5">
        <f>DATE(106,12,1)</f>
        <v>39052</v>
      </c>
      <c r="G36" s="3" t="s">
        <v>56</v>
      </c>
      <c r="H36" s="3" t="s">
        <v>91</v>
      </c>
      <c r="I36" s="3" t="s">
        <v>202</v>
      </c>
      <c r="J36" s="3" t="s">
        <v>203</v>
      </c>
      <c r="K36" s="3" t="s">
        <v>215</v>
      </c>
      <c r="L36" s="3" t="s">
        <v>97</v>
      </c>
      <c r="M36" s="3" t="s">
        <v>68</v>
      </c>
      <c r="N36" s="7">
        <v>0</v>
      </c>
      <c r="O36" s="7">
        <v>0</v>
      </c>
      <c r="P36" s="8">
        <f t="shared" si="0"/>
        <v>0</v>
      </c>
    </row>
    <row r="37" spans="1:16" ht="12.75">
      <c r="A37" s="3" t="s">
        <v>239</v>
      </c>
      <c r="B37" s="3" t="s">
        <v>240</v>
      </c>
      <c r="C37" s="4">
        <v>43</v>
      </c>
      <c r="D37" s="5">
        <f>DATE(106,7,3)</f>
        <v>38901</v>
      </c>
      <c r="E37" s="3" t="s">
        <v>55</v>
      </c>
      <c r="F37" s="5">
        <f>DATE(106,8,31)</f>
        <v>38960</v>
      </c>
      <c r="G37" s="3" t="s">
        <v>56</v>
      </c>
      <c r="H37" s="3" t="s">
        <v>91</v>
      </c>
      <c r="I37" s="3" t="s">
        <v>202</v>
      </c>
      <c r="J37" s="3" t="s">
        <v>203</v>
      </c>
      <c r="K37" s="3" t="s">
        <v>215</v>
      </c>
      <c r="L37" s="3" t="s">
        <v>97</v>
      </c>
      <c r="M37" s="3" t="s">
        <v>68</v>
      </c>
      <c r="N37" s="7">
        <v>0</v>
      </c>
      <c r="O37" s="7">
        <v>0</v>
      </c>
      <c r="P37" s="8">
        <f t="shared" si="0"/>
        <v>0</v>
      </c>
    </row>
    <row r="38" spans="1:16" ht="12.75">
      <c r="A38" s="3" t="s">
        <v>300</v>
      </c>
      <c r="B38" s="3" t="s">
        <v>301</v>
      </c>
      <c r="C38" s="4">
        <v>0</v>
      </c>
      <c r="D38" s="5"/>
      <c r="E38" s="3" t="s">
        <v>56</v>
      </c>
      <c r="F38" s="5">
        <f>DATE(107,1,2)</f>
        <v>39084</v>
      </c>
      <c r="G38" s="3" t="s">
        <v>56</v>
      </c>
      <c r="H38" s="3" t="s">
        <v>91</v>
      </c>
      <c r="I38" s="3" t="s">
        <v>243</v>
      </c>
      <c r="J38" s="3" t="s">
        <v>284</v>
      </c>
      <c r="K38" s="3" t="s">
        <v>164</v>
      </c>
      <c r="L38" s="3" t="s">
        <v>97</v>
      </c>
      <c r="M38" s="3" t="s">
        <v>68</v>
      </c>
      <c r="N38" s="7">
        <v>0</v>
      </c>
      <c r="O38" s="7">
        <v>0</v>
      </c>
      <c r="P38" s="8">
        <f t="shared" si="0"/>
        <v>0</v>
      </c>
    </row>
    <row r="39" spans="1:16" ht="12.75">
      <c r="A39" s="3" t="s">
        <v>339</v>
      </c>
      <c r="B39" s="3" t="s">
        <v>340</v>
      </c>
      <c r="C39" s="4">
        <v>0</v>
      </c>
      <c r="D39" s="5"/>
      <c r="E39" s="3" t="s">
        <v>56</v>
      </c>
      <c r="F39" s="5">
        <f>DATE(106,10,30)</f>
        <v>39020</v>
      </c>
      <c r="G39" s="3" t="s">
        <v>56</v>
      </c>
      <c r="H39" s="3" t="s">
        <v>91</v>
      </c>
      <c r="I39" s="3" t="s">
        <v>341</v>
      </c>
      <c r="J39" s="3" t="s">
        <v>342</v>
      </c>
      <c r="K39" s="3" t="s">
        <v>343</v>
      </c>
      <c r="L39" s="3" t="s">
        <v>97</v>
      </c>
      <c r="M39" s="3" t="s">
        <v>68</v>
      </c>
      <c r="N39" s="7">
        <v>0</v>
      </c>
      <c r="O39" s="7">
        <v>0</v>
      </c>
      <c r="P39" s="8">
        <f t="shared" si="0"/>
        <v>0</v>
      </c>
    </row>
    <row r="40" spans="1:16" ht="12.75">
      <c r="A40" s="3" t="s">
        <v>344</v>
      </c>
      <c r="B40" s="3" t="s">
        <v>345</v>
      </c>
      <c r="C40" s="4">
        <v>0</v>
      </c>
      <c r="D40" s="5"/>
      <c r="E40" s="3" t="s">
        <v>56</v>
      </c>
      <c r="F40" s="5">
        <f>DATE(106,11,27)</f>
        <v>39048</v>
      </c>
      <c r="G40" s="3" t="s">
        <v>56</v>
      </c>
      <c r="H40" s="3" t="s">
        <v>91</v>
      </c>
      <c r="I40" s="3" t="s">
        <v>341</v>
      </c>
      <c r="J40" s="3" t="s">
        <v>342</v>
      </c>
      <c r="K40" s="3" t="s">
        <v>157</v>
      </c>
      <c r="L40" s="3" t="s">
        <v>97</v>
      </c>
      <c r="M40" s="3" t="s">
        <v>68</v>
      </c>
      <c r="N40" s="7">
        <v>0</v>
      </c>
      <c r="O40" s="7">
        <v>0</v>
      </c>
      <c r="P40" s="8">
        <f t="shared" si="0"/>
        <v>0</v>
      </c>
    </row>
    <row r="41" spans="1:16" ht="12.75">
      <c r="A41" s="3" t="s">
        <v>63</v>
      </c>
      <c r="B41" s="3" t="s">
        <v>64</v>
      </c>
      <c r="C41" s="4">
        <v>238</v>
      </c>
      <c r="D41" s="5">
        <f>DATE(105,9,1)</f>
        <v>38596</v>
      </c>
      <c r="E41" s="3" t="s">
        <v>55</v>
      </c>
      <c r="F41" s="5">
        <f>DATE(106,8,14)</f>
        <v>38943</v>
      </c>
      <c r="G41" s="3" t="s">
        <v>56</v>
      </c>
      <c r="H41" s="3" t="s">
        <v>57</v>
      </c>
      <c r="I41" s="3" t="s">
        <v>65</v>
      </c>
      <c r="J41" s="3" t="s">
        <v>59</v>
      </c>
      <c r="K41" s="3" t="s">
        <v>66</v>
      </c>
      <c r="L41" s="3" t="s">
        <v>67</v>
      </c>
      <c r="M41" s="3" t="s">
        <v>67</v>
      </c>
      <c r="N41" s="7">
        <v>19</v>
      </c>
      <c r="O41" s="7">
        <v>20</v>
      </c>
      <c r="P41" s="8">
        <f t="shared" si="0"/>
        <v>1</v>
      </c>
    </row>
    <row r="42" spans="1:16" ht="12.75">
      <c r="A42" s="3" t="s">
        <v>321</v>
      </c>
      <c r="B42" s="3" t="s">
        <v>322</v>
      </c>
      <c r="C42" s="4">
        <v>65</v>
      </c>
      <c r="D42" s="5">
        <f>DATE(106,10,2)</f>
        <v>38992</v>
      </c>
      <c r="E42" s="3" t="s">
        <v>56</v>
      </c>
      <c r="F42" s="5">
        <f>DATE(107,1,10)</f>
        <v>39092</v>
      </c>
      <c r="G42" s="3" t="s">
        <v>56</v>
      </c>
      <c r="H42" s="3" t="s">
        <v>91</v>
      </c>
      <c r="I42" s="3" t="s">
        <v>323</v>
      </c>
      <c r="J42" s="3" t="s">
        <v>156</v>
      </c>
      <c r="K42" s="3" t="s">
        <v>305</v>
      </c>
      <c r="L42" s="3" t="s">
        <v>324</v>
      </c>
      <c r="M42" s="3" t="s">
        <v>324</v>
      </c>
      <c r="N42" s="7">
        <v>0</v>
      </c>
      <c r="O42" s="7">
        <v>160</v>
      </c>
      <c r="P42" s="8">
        <f t="shared" si="0"/>
        <v>160</v>
      </c>
    </row>
    <row r="43" spans="1:16" ht="12.75">
      <c r="A43" s="3" t="s">
        <v>325</v>
      </c>
      <c r="B43" s="3" t="s">
        <v>326</v>
      </c>
      <c r="C43" s="4">
        <v>21</v>
      </c>
      <c r="D43" s="5">
        <f>DATE(106,11,1)</f>
        <v>39022</v>
      </c>
      <c r="E43" s="3" t="s">
        <v>56</v>
      </c>
      <c r="F43" s="5">
        <f>DATE(106,12,1)</f>
        <v>39052</v>
      </c>
      <c r="G43" s="3" t="s">
        <v>56</v>
      </c>
      <c r="H43" s="3" t="s">
        <v>91</v>
      </c>
      <c r="I43" s="3" t="s">
        <v>327</v>
      </c>
      <c r="J43" s="3" t="s">
        <v>156</v>
      </c>
      <c r="K43" s="3" t="s">
        <v>305</v>
      </c>
      <c r="L43" s="3" t="s">
        <v>328</v>
      </c>
      <c r="M43" s="3" t="s">
        <v>328</v>
      </c>
      <c r="N43" s="7">
        <v>0</v>
      </c>
      <c r="O43" s="7">
        <v>149</v>
      </c>
      <c r="P43" s="8">
        <f t="shared" si="0"/>
        <v>149</v>
      </c>
    </row>
    <row r="44" spans="1:16" ht="12.75">
      <c r="A44" s="3" t="s">
        <v>325</v>
      </c>
      <c r="B44" s="3" t="s">
        <v>326</v>
      </c>
      <c r="C44" s="4">
        <v>21</v>
      </c>
      <c r="D44" s="5">
        <f>DATE(106,11,1)</f>
        <v>39022</v>
      </c>
      <c r="E44" s="3" t="s">
        <v>56</v>
      </c>
      <c r="F44" s="5">
        <f>DATE(106,12,1)</f>
        <v>39052</v>
      </c>
      <c r="G44" s="3" t="s">
        <v>56</v>
      </c>
      <c r="H44" s="3" t="s">
        <v>91</v>
      </c>
      <c r="I44" s="3" t="s">
        <v>327</v>
      </c>
      <c r="J44" s="3" t="s">
        <v>156</v>
      </c>
      <c r="K44" s="3" t="s">
        <v>305</v>
      </c>
      <c r="L44" s="3" t="s">
        <v>329</v>
      </c>
      <c r="M44" s="3" t="s">
        <v>329</v>
      </c>
      <c r="N44" s="7">
        <v>0</v>
      </c>
      <c r="O44" s="7">
        <v>99</v>
      </c>
      <c r="P44" s="8">
        <f t="shared" si="0"/>
        <v>99</v>
      </c>
    </row>
    <row r="45" spans="1:16" ht="12.75">
      <c r="A45" s="3" t="s">
        <v>325</v>
      </c>
      <c r="B45" s="3" t="s">
        <v>326</v>
      </c>
      <c r="C45" s="4">
        <v>21</v>
      </c>
      <c r="D45" s="5">
        <f>DATE(106,11,1)</f>
        <v>39022</v>
      </c>
      <c r="E45" s="3" t="s">
        <v>56</v>
      </c>
      <c r="F45" s="5">
        <f>DATE(106,12,1)</f>
        <v>39052</v>
      </c>
      <c r="G45" s="3" t="s">
        <v>56</v>
      </c>
      <c r="H45" s="3" t="s">
        <v>91</v>
      </c>
      <c r="I45" s="3" t="s">
        <v>327</v>
      </c>
      <c r="J45" s="3" t="s">
        <v>156</v>
      </c>
      <c r="K45" s="3" t="s">
        <v>305</v>
      </c>
      <c r="L45" s="3" t="s">
        <v>158</v>
      </c>
      <c r="M45" s="3" t="s">
        <v>158</v>
      </c>
      <c r="N45" s="7">
        <v>0</v>
      </c>
      <c r="O45" s="7">
        <v>149</v>
      </c>
      <c r="P45" s="8">
        <f t="shared" si="0"/>
        <v>149</v>
      </c>
    </row>
    <row r="46" spans="1:16" ht="12.75">
      <c r="A46" s="3" t="s">
        <v>87</v>
      </c>
      <c r="B46" s="3" t="s">
        <v>88</v>
      </c>
      <c r="C46" s="4">
        <v>207</v>
      </c>
      <c r="D46" s="5">
        <f>DATE(105,12,1)</f>
        <v>38687</v>
      </c>
      <c r="E46" s="3" t="s">
        <v>55</v>
      </c>
      <c r="F46" s="5">
        <f>DATE(107,10,31)</f>
        <v>39386</v>
      </c>
      <c r="G46" s="3" t="s">
        <v>56</v>
      </c>
      <c r="H46" s="3" t="s">
        <v>57</v>
      </c>
      <c r="I46" s="3" t="s">
        <v>89</v>
      </c>
      <c r="J46" s="3" t="s">
        <v>90</v>
      </c>
      <c r="K46" s="3" t="s">
        <v>91</v>
      </c>
      <c r="L46" s="3" t="s">
        <v>92</v>
      </c>
      <c r="M46" s="3" t="s">
        <v>92</v>
      </c>
      <c r="N46" s="7">
        <v>384</v>
      </c>
      <c r="O46" s="7">
        <v>768</v>
      </c>
      <c r="P46" s="8">
        <f t="shared" si="0"/>
        <v>384</v>
      </c>
    </row>
    <row r="47" spans="1:16" ht="12.75">
      <c r="A47" s="3" t="s">
        <v>101</v>
      </c>
      <c r="B47" s="3" t="s">
        <v>102</v>
      </c>
      <c r="C47" s="4">
        <v>60</v>
      </c>
      <c r="D47" s="5">
        <f>DATE(107,6,1)</f>
        <v>39234</v>
      </c>
      <c r="E47" s="3" t="s">
        <v>56</v>
      </c>
      <c r="F47" s="5">
        <f>DATE(107,8,24)</f>
        <v>39318</v>
      </c>
      <c r="G47" s="3" t="s">
        <v>56</v>
      </c>
      <c r="H47" s="3" t="s">
        <v>57</v>
      </c>
      <c r="I47" s="3" t="s">
        <v>89</v>
      </c>
      <c r="J47" s="3" t="s">
        <v>95</v>
      </c>
      <c r="K47" s="3" t="s">
        <v>103</v>
      </c>
      <c r="L47" s="3" t="s">
        <v>92</v>
      </c>
      <c r="M47" s="3" t="s">
        <v>92</v>
      </c>
      <c r="N47" s="7">
        <v>0</v>
      </c>
      <c r="O47" s="7">
        <v>400</v>
      </c>
      <c r="P47" s="8">
        <f t="shared" si="0"/>
        <v>400</v>
      </c>
    </row>
    <row r="48" spans="1:16" ht="12.75">
      <c r="A48" s="3" t="s">
        <v>198</v>
      </c>
      <c r="B48" s="3" t="s">
        <v>199</v>
      </c>
      <c r="C48" s="4">
        <v>143</v>
      </c>
      <c r="D48" s="5">
        <f>DATE(106,1,17)</f>
        <v>38734</v>
      </c>
      <c r="E48" s="3" t="s">
        <v>55</v>
      </c>
      <c r="F48" s="5">
        <f>DATE(106,8,7)</f>
        <v>38936</v>
      </c>
      <c r="G48" s="3" t="s">
        <v>56</v>
      </c>
      <c r="H48" s="3" t="s">
        <v>57</v>
      </c>
      <c r="I48" s="3" t="s">
        <v>162</v>
      </c>
      <c r="J48" s="3" t="s">
        <v>156</v>
      </c>
      <c r="K48" s="3" t="s">
        <v>78</v>
      </c>
      <c r="L48" s="3" t="s">
        <v>92</v>
      </c>
      <c r="M48" s="3" t="s">
        <v>92</v>
      </c>
      <c r="N48" s="7">
        <v>154.4</v>
      </c>
      <c r="O48" s="7">
        <v>160</v>
      </c>
      <c r="P48" s="8">
        <f t="shared" si="0"/>
        <v>5.599999999999994</v>
      </c>
    </row>
    <row r="49" spans="1:16" ht="12.75">
      <c r="A49" s="3" t="s">
        <v>321</v>
      </c>
      <c r="B49" s="3" t="s">
        <v>322</v>
      </c>
      <c r="C49" s="4">
        <v>65</v>
      </c>
      <c r="D49" s="5">
        <f>DATE(106,10,2)</f>
        <v>38992</v>
      </c>
      <c r="E49" s="3" t="s">
        <v>56</v>
      </c>
      <c r="F49" s="5">
        <f>DATE(107,1,10)</f>
        <v>39092</v>
      </c>
      <c r="G49" s="3" t="s">
        <v>56</v>
      </c>
      <c r="H49" s="3" t="s">
        <v>91</v>
      </c>
      <c r="I49" s="3" t="s">
        <v>323</v>
      </c>
      <c r="J49" s="3" t="s">
        <v>156</v>
      </c>
      <c r="K49" s="3" t="s">
        <v>305</v>
      </c>
      <c r="L49" s="3" t="s">
        <v>92</v>
      </c>
      <c r="M49" s="3" t="s">
        <v>92</v>
      </c>
      <c r="N49" s="7">
        <v>0</v>
      </c>
      <c r="O49" s="7">
        <v>316</v>
      </c>
      <c r="P49" s="8">
        <f t="shared" si="0"/>
        <v>316</v>
      </c>
    </row>
    <row r="50" spans="1:16" ht="12.75">
      <c r="A50" s="3" t="s">
        <v>325</v>
      </c>
      <c r="B50" s="3" t="s">
        <v>326</v>
      </c>
      <c r="C50" s="4">
        <v>21</v>
      </c>
      <c r="D50" s="5">
        <f>DATE(106,11,1)</f>
        <v>39022</v>
      </c>
      <c r="E50" s="3" t="s">
        <v>56</v>
      </c>
      <c r="F50" s="5">
        <f>DATE(106,12,1)</f>
        <v>39052</v>
      </c>
      <c r="G50" s="3" t="s">
        <v>56</v>
      </c>
      <c r="H50" s="3" t="s">
        <v>91</v>
      </c>
      <c r="I50" s="3" t="s">
        <v>327</v>
      </c>
      <c r="J50" s="3" t="s">
        <v>156</v>
      </c>
      <c r="K50" s="3" t="s">
        <v>305</v>
      </c>
      <c r="L50" s="3" t="s">
        <v>92</v>
      </c>
      <c r="M50" s="3" t="s">
        <v>92</v>
      </c>
      <c r="N50" s="7">
        <v>0</v>
      </c>
      <c r="O50" s="7">
        <v>297</v>
      </c>
      <c r="P50" s="8">
        <f t="shared" si="0"/>
        <v>297</v>
      </c>
    </row>
    <row r="51" spans="1:16" ht="12.75">
      <c r="A51" s="3" t="s">
        <v>195</v>
      </c>
      <c r="B51" s="3" t="s">
        <v>196</v>
      </c>
      <c r="C51" s="4">
        <v>249</v>
      </c>
      <c r="D51" s="5">
        <f>DATE(105,10,1)</f>
        <v>38626</v>
      </c>
      <c r="E51" s="3" t="s">
        <v>55</v>
      </c>
      <c r="F51" s="5">
        <f>DATE(106,9,29)</f>
        <v>38989</v>
      </c>
      <c r="G51" s="3" t="s">
        <v>56</v>
      </c>
      <c r="H51" s="3" t="s">
        <v>57</v>
      </c>
      <c r="I51" s="3" t="s">
        <v>162</v>
      </c>
      <c r="J51" s="3" t="s">
        <v>156</v>
      </c>
      <c r="K51" s="3" t="s">
        <v>75</v>
      </c>
      <c r="L51" s="3" t="s">
        <v>197</v>
      </c>
      <c r="M51" s="3" t="s">
        <v>320</v>
      </c>
      <c r="N51" s="7">
        <v>6.6160000000000005</v>
      </c>
      <c r="O51" s="7">
        <v>8</v>
      </c>
      <c r="P51" s="8">
        <f t="shared" si="0"/>
        <v>1.3839999999999995</v>
      </c>
    </row>
    <row r="52" spans="1:16" ht="12.75">
      <c r="A52" s="3" t="s">
        <v>314</v>
      </c>
      <c r="B52" s="3" t="s">
        <v>315</v>
      </c>
      <c r="C52" s="4">
        <v>350</v>
      </c>
      <c r="D52" s="5">
        <f>DATE(105,10,1)</f>
        <v>38626</v>
      </c>
      <c r="E52" s="3" t="s">
        <v>55</v>
      </c>
      <c r="F52" s="5">
        <f>DATE(107,3,1)</f>
        <v>39142</v>
      </c>
      <c r="G52" s="3" t="s">
        <v>56</v>
      </c>
      <c r="H52" s="3" t="s">
        <v>91</v>
      </c>
      <c r="I52" s="3" t="s">
        <v>316</v>
      </c>
      <c r="J52" s="3" t="s">
        <v>317</v>
      </c>
      <c r="K52" s="3" t="s">
        <v>81</v>
      </c>
      <c r="L52" s="3" t="s">
        <v>197</v>
      </c>
      <c r="M52" s="3" t="s">
        <v>320</v>
      </c>
      <c r="N52" s="7">
        <v>7.068</v>
      </c>
      <c r="O52" s="7">
        <v>12</v>
      </c>
      <c r="P52" s="8">
        <f t="shared" si="0"/>
        <v>4.932</v>
      </c>
    </row>
    <row r="53" spans="1:16" ht="12.75">
      <c r="A53" s="3" t="s">
        <v>473</v>
      </c>
      <c r="B53" s="3" t="s">
        <v>474</v>
      </c>
      <c r="C53" s="4">
        <v>249</v>
      </c>
      <c r="D53" s="5">
        <f>DATE(105,10,3)</f>
        <v>38628</v>
      </c>
      <c r="E53" s="3" t="s">
        <v>55</v>
      </c>
      <c r="F53" s="5">
        <f>DATE(106,9,29)</f>
        <v>38989</v>
      </c>
      <c r="G53" s="3" t="s">
        <v>56</v>
      </c>
      <c r="H53" s="3" t="s">
        <v>185</v>
      </c>
      <c r="I53" s="3" t="s">
        <v>475</v>
      </c>
      <c r="J53" s="3" t="s">
        <v>476</v>
      </c>
      <c r="K53" s="3" t="s">
        <v>251</v>
      </c>
      <c r="L53" s="3" t="s">
        <v>197</v>
      </c>
      <c r="M53" s="3" t="s">
        <v>320</v>
      </c>
      <c r="N53" s="7">
        <v>9.924</v>
      </c>
      <c r="O53" s="7">
        <v>12</v>
      </c>
      <c r="P53" s="8">
        <f t="shared" si="0"/>
        <v>2.0760000000000005</v>
      </c>
    </row>
    <row r="54" spans="1:16" ht="12.75">
      <c r="A54" s="3" t="s">
        <v>477</v>
      </c>
      <c r="B54" s="3" t="s">
        <v>478</v>
      </c>
      <c r="C54" s="4">
        <v>247</v>
      </c>
      <c r="D54" s="5">
        <f>DATE(106,10,3)</f>
        <v>38993</v>
      </c>
      <c r="E54" s="3" t="s">
        <v>56</v>
      </c>
      <c r="F54" s="5">
        <f>DATE(107,9,27)</f>
        <v>39352</v>
      </c>
      <c r="G54" s="3" t="s">
        <v>56</v>
      </c>
      <c r="H54" s="3" t="s">
        <v>185</v>
      </c>
      <c r="I54" s="3" t="s">
        <v>475</v>
      </c>
      <c r="J54" s="3" t="s">
        <v>476</v>
      </c>
      <c r="K54" s="3" t="s">
        <v>251</v>
      </c>
      <c r="L54" s="3" t="s">
        <v>197</v>
      </c>
      <c r="M54" s="3" t="s">
        <v>320</v>
      </c>
      <c r="N54" s="7">
        <v>0</v>
      </c>
      <c r="O54" s="7">
        <v>12</v>
      </c>
      <c r="P54" s="8">
        <f t="shared" si="0"/>
        <v>12</v>
      </c>
    </row>
    <row r="55" spans="1:16" ht="12.75">
      <c r="A55" s="3" t="s">
        <v>479</v>
      </c>
      <c r="B55" s="3" t="s">
        <v>480</v>
      </c>
      <c r="C55" s="4">
        <v>247</v>
      </c>
      <c r="D55" s="5">
        <f>DATE(107,10,3)</f>
        <v>39358</v>
      </c>
      <c r="E55" s="3" t="s">
        <v>56</v>
      </c>
      <c r="F55" s="5">
        <f>DATE(108,9,29)</f>
        <v>39720</v>
      </c>
      <c r="G55" s="3" t="s">
        <v>56</v>
      </c>
      <c r="H55" s="3" t="s">
        <v>185</v>
      </c>
      <c r="I55" s="3" t="s">
        <v>475</v>
      </c>
      <c r="J55" s="3" t="s">
        <v>476</v>
      </c>
      <c r="K55" s="3" t="s">
        <v>251</v>
      </c>
      <c r="L55" s="3" t="s">
        <v>197</v>
      </c>
      <c r="M55" s="3" t="s">
        <v>320</v>
      </c>
      <c r="N55" s="7">
        <v>0</v>
      </c>
      <c r="O55" s="7">
        <v>12</v>
      </c>
      <c r="P55" s="8">
        <f t="shared" si="0"/>
        <v>12</v>
      </c>
    </row>
    <row r="56" spans="1:16" ht="12.75">
      <c r="A56" s="3" t="s">
        <v>481</v>
      </c>
      <c r="B56" s="3" t="s">
        <v>482</v>
      </c>
      <c r="C56" s="4">
        <v>130</v>
      </c>
      <c r="D56" s="5">
        <f>DATE(108,10,3)</f>
        <v>39724</v>
      </c>
      <c r="E56" s="3" t="s">
        <v>56</v>
      </c>
      <c r="F56" s="5">
        <f>DATE(109,4,15)</f>
        <v>39918</v>
      </c>
      <c r="G56" s="3" t="s">
        <v>56</v>
      </c>
      <c r="H56" s="3" t="s">
        <v>185</v>
      </c>
      <c r="I56" s="3" t="s">
        <v>475</v>
      </c>
      <c r="J56" s="3" t="s">
        <v>476</v>
      </c>
      <c r="K56" s="3" t="s">
        <v>251</v>
      </c>
      <c r="L56" s="3" t="s">
        <v>197</v>
      </c>
      <c r="M56" s="3" t="s">
        <v>320</v>
      </c>
      <c r="N56" s="7">
        <v>0</v>
      </c>
      <c r="O56" s="7">
        <v>6</v>
      </c>
      <c r="P56" s="8">
        <f t="shared" si="0"/>
        <v>6</v>
      </c>
    </row>
    <row r="57" spans="1:16" ht="12.75">
      <c r="A57" s="3" t="s">
        <v>483</v>
      </c>
      <c r="B57" s="3" t="s">
        <v>484</v>
      </c>
      <c r="C57" s="4">
        <v>249</v>
      </c>
      <c r="D57" s="5">
        <f>DATE(105,10,3)</f>
        <v>38628</v>
      </c>
      <c r="E57" s="3" t="s">
        <v>55</v>
      </c>
      <c r="F57" s="5">
        <f>DATE(106,9,29)</f>
        <v>38989</v>
      </c>
      <c r="G57" s="3" t="s">
        <v>56</v>
      </c>
      <c r="H57" s="3" t="s">
        <v>185</v>
      </c>
      <c r="I57" s="3" t="s">
        <v>475</v>
      </c>
      <c r="J57" s="3" t="s">
        <v>485</v>
      </c>
      <c r="K57" s="3" t="s">
        <v>75</v>
      </c>
      <c r="L57" s="3" t="s">
        <v>197</v>
      </c>
      <c r="M57" s="3" t="s">
        <v>320</v>
      </c>
      <c r="N57" s="7">
        <v>9.924</v>
      </c>
      <c r="O57" s="7">
        <v>12</v>
      </c>
      <c r="P57" s="8">
        <f t="shared" si="0"/>
        <v>2.0760000000000005</v>
      </c>
    </row>
    <row r="58" spans="1:16" ht="12.75">
      <c r="A58" s="3" t="s">
        <v>487</v>
      </c>
      <c r="B58" s="3" t="s">
        <v>488</v>
      </c>
      <c r="C58" s="4">
        <v>242</v>
      </c>
      <c r="D58" s="5">
        <f>DATE(106,10,3)</f>
        <v>38993</v>
      </c>
      <c r="E58" s="3" t="s">
        <v>56</v>
      </c>
      <c r="F58" s="5">
        <f>DATE(107,9,20)</f>
        <v>39345</v>
      </c>
      <c r="G58" s="3" t="s">
        <v>56</v>
      </c>
      <c r="H58" s="3" t="s">
        <v>185</v>
      </c>
      <c r="I58" s="3" t="s">
        <v>475</v>
      </c>
      <c r="J58" s="3" t="s">
        <v>485</v>
      </c>
      <c r="K58" s="3" t="s">
        <v>75</v>
      </c>
      <c r="L58" s="3" t="s">
        <v>197</v>
      </c>
      <c r="M58" s="3" t="s">
        <v>320</v>
      </c>
      <c r="N58" s="7">
        <v>0</v>
      </c>
      <c r="O58" s="7">
        <v>12</v>
      </c>
      <c r="P58" s="8">
        <f t="shared" si="0"/>
        <v>12</v>
      </c>
    </row>
    <row r="59" spans="1:16" ht="12.75">
      <c r="A59" s="3" t="s">
        <v>489</v>
      </c>
      <c r="B59" s="3" t="s">
        <v>490</v>
      </c>
      <c r="C59" s="4">
        <v>242</v>
      </c>
      <c r="D59" s="5">
        <f>DATE(107,10,3)</f>
        <v>39358</v>
      </c>
      <c r="E59" s="3" t="s">
        <v>56</v>
      </c>
      <c r="F59" s="5">
        <f>DATE(108,9,22)</f>
        <v>39713</v>
      </c>
      <c r="G59" s="3" t="s">
        <v>56</v>
      </c>
      <c r="H59" s="3" t="s">
        <v>185</v>
      </c>
      <c r="I59" s="3" t="s">
        <v>475</v>
      </c>
      <c r="J59" s="3" t="s">
        <v>485</v>
      </c>
      <c r="K59" s="3" t="s">
        <v>75</v>
      </c>
      <c r="L59" s="3" t="s">
        <v>197</v>
      </c>
      <c r="M59" s="3" t="s">
        <v>320</v>
      </c>
      <c r="N59" s="7">
        <v>0</v>
      </c>
      <c r="O59" s="7">
        <v>12</v>
      </c>
      <c r="P59" s="8">
        <f t="shared" si="0"/>
        <v>12</v>
      </c>
    </row>
    <row r="60" spans="1:16" ht="12.75">
      <c r="A60" s="3" t="s">
        <v>491</v>
      </c>
      <c r="B60" s="3" t="s">
        <v>492</v>
      </c>
      <c r="C60" s="4">
        <v>130</v>
      </c>
      <c r="D60" s="5">
        <f>DATE(108,10,1)</f>
        <v>39722</v>
      </c>
      <c r="E60" s="3" t="s">
        <v>56</v>
      </c>
      <c r="F60" s="5">
        <f>DATE(109,4,13)</f>
        <v>39916</v>
      </c>
      <c r="G60" s="3" t="s">
        <v>56</v>
      </c>
      <c r="H60" s="3" t="s">
        <v>185</v>
      </c>
      <c r="I60" s="3" t="s">
        <v>475</v>
      </c>
      <c r="J60" s="3" t="s">
        <v>485</v>
      </c>
      <c r="K60" s="3" t="s">
        <v>75</v>
      </c>
      <c r="L60" s="3" t="s">
        <v>197</v>
      </c>
      <c r="M60" s="3" t="s">
        <v>320</v>
      </c>
      <c r="N60" s="7">
        <v>0</v>
      </c>
      <c r="O60" s="7">
        <v>6</v>
      </c>
      <c r="P60" s="8">
        <f t="shared" si="0"/>
        <v>6</v>
      </c>
    </row>
    <row r="61" spans="1:16" ht="12.75">
      <c r="A61" s="3" t="s">
        <v>483</v>
      </c>
      <c r="B61" s="3" t="s">
        <v>484</v>
      </c>
      <c r="C61" s="4">
        <v>249</v>
      </c>
      <c r="D61" s="5">
        <f>DATE(105,10,3)</f>
        <v>38628</v>
      </c>
      <c r="E61" s="3" t="s">
        <v>55</v>
      </c>
      <c r="F61" s="5">
        <f>DATE(106,9,29)</f>
        <v>38989</v>
      </c>
      <c r="G61" s="3" t="s">
        <v>56</v>
      </c>
      <c r="H61" s="3" t="s">
        <v>185</v>
      </c>
      <c r="I61" s="3" t="s">
        <v>475</v>
      </c>
      <c r="J61" s="3" t="s">
        <v>485</v>
      </c>
      <c r="K61" s="3" t="s">
        <v>75</v>
      </c>
      <c r="L61" s="3" t="s">
        <v>486</v>
      </c>
      <c r="M61" s="3" t="s">
        <v>415</v>
      </c>
      <c r="N61" s="7">
        <v>24.68595</v>
      </c>
      <c r="O61" s="7">
        <v>29.85</v>
      </c>
      <c r="P61" s="8">
        <f t="shared" si="0"/>
        <v>5.164050000000003</v>
      </c>
    </row>
    <row r="62" spans="1:16" ht="12.75">
      <c r="A62" s="3" t="s">
        <v>487</v>
      </c>
      <c r="B62" s="3" t="s">
        <v>488</v>
      </c>
      <c r="C62" s="4">
        <v>242</v>
      </c>
      <c r="D62" s="5">
        <f>DATE(106,10,3)</f>
        <v>38993</v>
      </c>
      <c r="E62" s="3" t="s">
        <v>56</v>
      </c>
      <c r="F62" s="5">
        <f>DATE(107,9,20)</f>
        <v>39345</v>
      </c>
      <c r="G62" s="3" t="s">
        <v>56</v>
      </c>
      <c r="H62" s="3" t="s">
        <v>185</v>
      </c>
      <c r="I62" s="3" t="s">
        <v>475</v>
      </c>
      <c r="J62" s="3" t="s">
        <v>485</v>
      </c>
      <c r="K62" s="3" t="s">
        <v>75</v>
      </c>
      <c r="L62" s="3" t="s">
        <v>486</v>
      </c>
      <c r="M62" s="3" t="s">
        <v>415</v>
      </c>
      <c r="N62" s="7">
        <v>0</v>
      </c>
      <c r="O62" s="7">
        <v>29.95</v>
      </c>
      <c r="P62" s="8">
        <f t="shared" si="0"/>
        <v>29.95</v>
      </c>
    </row>
    <row r="63" spans="1:16" ht="12.75">
      <c r="A63" s="3" t="s">
        <v>489</v>
      </c>
      <c r="B63" s="3" t="s">
        <v>490</v>
      </c>
      <c r="C63" s="4">
        <v>242</v>
      </c>
      <c r="D63" s="5">
        <f>DATE(107,10,3)</f>
        <v>39358</v>
      </c>
      <c r="E63" s="3" t="s">
        <v>56</v>
      </c>
      <c r="F63" s="5">
        <f>DATE(108,9,22)</f>
        <v>39713</v>
      </c>
      <c r="G63" s="3" t="s">
        <v>56</v>
      </c>
      <c r="H63" s="3" t="s">
        <v>185</v>
      </c>
      <c r="I63" s="3" t="s">
        <v>475</v>
      </c>
      <c r="J63" s="3" t="s">
        <v>485</v>
      </c>
      <c r="K63" s="3" t="s">
        <v>75</v>
      </c>
      <c r="L63" s="3" t="s">
        <v>486</v>
      </c>
      <c r="M63" s="3" t="s">
        <v>415</v>
      </c>
      <c r="N63" s="7">
        <v>0</v>
      </c>
      <c r="O63" s="7">
        <v>29.95</v>
      </c>
      <c r="P63" s="8">
        <f t="shared" si="0"/>
        <v>29.95</v>
      </c>
    </row>
    <row r="64" spans="1:16" ht="12.75">
      <c r="A64" s="3" t="s">
        <v>491</v>
      </c>
      <c r="B64" s="3" t="s">
        <v>492</v>
      </c>
      <c r="C64" s="4">
        <v>130</v>
      </c>
      <c r="D64" s="5">
        <f>DATE(108,10,1)</f>
        <v>39722</v>
      </c>
      <c r="E64" s="3" t="s">
        <v>56</v>
      </c>
      <c r="F64" s="5">
        <f>DATE(109,4,13)</f>
        <v>39916</v>
      </c>
      <c r="G64" s="3" t="s">
        <v>56</v>
      </c>
      <c r="H64" s="3" t="s">
        <v>185</v>
      </c>
      <c r="I64" s="3" t="s">
        <v>475</v>
      </c>
      <c r="J64" s="3" t="s">
        <v>485</v>
      </c>
      <c r="K64" s="3" t="s">
        <v>75</v>
      </c>
      <c r="L64" s="3" t="s">
        <v>486</v>
      </c>
      <c r="M64" s="3" t="s">
        <v>415</v>
      </c>
      <c r="N64" s="7">
        <v>0</v>
      </c>
      <c r="O64" s="7">
        <v>20</v>
      </c>
      <c r="P64" s="8">
        <f t="shared" si="0"/>
        <v>20</v>
      </c>
    </row>
    <row r="65" spans="1:16" ht="12.75">
      <c r="A65" s="3" t="s">
        <v>456</v>
      </c>
      <c r="B65" s="3" t="s">
        <v>457</v>
      </c>
      <c r="C65" s="4">
        <v>325</v>
      </c>
      <c r="D65" s="5">
        <f>DATE(107,7,2)</f>
        <v>39265</v>
      </c>
      <c r="E65" s="3" t="s">
        <v>56</v>
      </c>
      <c r="F65" s="5">
        <f>DATE(108,10,16)</f>
        <v>39737</v>
      </c>
      <c r="G65" s="3" t="s">
        <v>56</v>
      </c>
      <c r="H65" s="3" t="s">
        <v>174</v>
      </c>
      <c r="I65" s="3" t="s">
        <v>439</v>
      </c>
      <c r="J65" s="3" t="s">
        <v>458</v>
      </c>
      <c r="K65" s="3" t="s">
        <v>245</v>
      </c>
      <c r="L65" s="3" t="s">
        <v>61</v>
      </c>
      <c r="M65" s="3" t="s">
        <v>61</v>
      </c>
      <c r="N65" s="7">
        <v>0</v>
      </c>
      <c r="O65" s="7">
        <v>200</v>
      </c>
      <c r="P65" s="8">
        <f t="shared" si="0"/>
        <v>200</v>
      </c>
    </row>
    <row r="66" spans="1:16" ht="12.75">
      <c r="A66" s="3" t="s">
        <v>459</v>
      </c>
      <c r="B66" s="3" t="s">
        <v>460</v>
      </c>
      <c r="C66" s="4">
        <v>130</v>
      </c>
      <c r="D66" s="5">
        <f>DATE(107,7,2)</f>
        <v>39265</v>
      </c>
      <c r="E66" s="3" t="s">
        <v>56</v>
      </c>
      <c r="F66" s="5">
        <f>DATE(108,1,14)</f>
        <v>39461</v>
      </c>
      <c r="G66" s="3" t="s">
        <v>56</v>
      </c>
      <c r="H66" s="3" t="s">
        <v>174</v>
      </c>
      <c r="I66" s="3" t="s">
        <v>439</v>
      </c>
      <c r="J66" s="3" t="s">
        <v>458</v>
      </c>
      <c r="K66" s="3" t="s">
        <v>245</v>
      </c>
      <c r="L66" s="3" t="s">
        <v>61</v>
      </c>
      <c r="M66" s="3" t="s">
        <v>61</v>
      </c>
      <c r="N66" s="7">
        <v>0</v>
      </c>
      <c r="O66" s="7">
        <v>20</v>
      </c>
      <c r="P66" s="8">
        <f aca="true" t="shared" si="1" ref="P66:P129">+O66-N66</f>
        <v>20</v>
      </c>
    </row>
    <row r="67" spans="1:16" ht="12.75">
      <c r="A67" s="3" t="s">
        <v>461</v>
      </c>
      <c r="B67" s="3" t="s">
        <v>462</v>
      </c>
      <c r="C67" s="4">
        <v>130</v>
      </c>
      <c r="D67" s="5">
        <f>DATE(108,1,15)</f>
        <v>39462</v>
      </c>
      <c r="E67" s="3" t="s">
        <v>56</v>
      </c>
      <c r="F67" s="5">
        <f>DATE(108,7,16)</f>
        <v>39645</v>
      </c>
      <c r="G67" s="3" t="s">
        <v>56</v>
      </c>
      <c r="H67" s="3" t="s">
        <v>174</v>
      </c>
      <c r="I67" s="3" t="s">
        <v>439</v>
      </c>
      <c r="J67" s="3" t="s">
        <v>458</v>
      </c>
      <c r="K67" s="3" t="s">
        <v>245</v>
      </c>
      <c r="L67" s="3" t="s">
        <v>61</v>
      </c>
      <c r="M67" s="3" t="s">
        <v>61</v>
      </c>
      <c r="N67" s="7">
        <v>0</v>
      </c>
      <c r="O67" s="7">
        <v>20</v>
      </c>
      <c r="P67" s="8">
        <f t="shared" si="1"/>
        <v>20</v>
      </c>
    </row>
    <row r="68" spans="1:16" ht="12.75">
      <c r="A68" s="3" t="s">
        <v>467</v>
      </c>
      <c r="B68" s="3" t="s">
        <v>468</v>
      </c>
      <c r="C68" s="4">
        <v>65</v>
      </c>
      <c r="D68" s="5">
        <f>DATE(107,10,1)</f>
        <v>39356</v>
      </c>
      <c r="E68" s="3" t="s">
        <v>56</v>
      </c>
      <c r="F68" s="5">
        <f>DATE(108,1,10)</f>
        <v>39457</v>
      </c>
      <c r="G68" s="3" t="s">
        <v>56</v>
      </c>
      <c r="H68" s="3" t="s">
        <v>174</v>
      </c>
      <c r="I68" s="3" t="s">
        <v>439</v>
      </c>
      <c r="J68" s="3" t="s">
        <v>469</v>
      </c>
      <c r="K68" s="3" t="s">
        <v>164</v>
      </c>
      <c r="L68" s="3" t="s">
        <v>61</v>
      </c>
      <c r="M68" s="3" t="s">
        <v>61</v>
      </c>
      <c r="N68" s="7">
        <v>0</v>
      </c>
      <c r="O68" s="7">
        <v>80</v>
      </c>
      <c r="P68" s="8">
        <f t="shared" si="1"/>
        <v>80</v>
      </c>
    </row>
    <row r="69" spans="1:16" ht="12.75">
      <c r="A69" s="3" t="s">
        <v>471</v>
      </c>
      <c r="B69" s="3" t="s">
        <v>472</v>
      </c>
      <c r="C69" s="4">
        <v>40</v>
      </c>
      <c r="D69" s="5">
        <f>DATE(108,1,11)</f>
        <v>39458</v>
      </c>
      <c r="E69" s="3" t="s">
        <v>56</v>
      </c>
      <c r="F69" s="5">
        <f>DATE(108,3,6)</f>
        <v>39513</v>
      </c>
      <c r="G69" s="3" t="s">
        <v>56</v>
      </c>
      <c r="H69" s="3" t="s">
        <v>174</v>
      </c>
      <c r="I69" s="3" t="s">
        <v>439</v>
      </c>
      <c r="J69" s="3" t="s">
        <v>469</v>
      </c>
      <c r="K69" s="3" t="s">
        <v>164</v>
      </c>
      <c r="L69" s="3" t="s">
        <v>61</v>
      </c>
      <c r="M69" s="3" t="s">
        <v>61</v>
      </c>
      <c r="N69" s="7">
        <v>0</v>
      </c>
      <c r="O69" s="7">
        <v>80</v>
      </c>
      <c r="P69" s="8">
        <f t="shared" si="1"/>
        <v>80</v>
      </c>
    </row>
    <row r="70" spans="1:16" ht="12.75">
      <c r="A70" s="3" t="s">
        <v>112</v>
      </c>
      <c r="B70" s="3" t="s">
        <v>113</v>
      </c>
      <c r="C70" s="4">
        <v>20</v>
      </c>
      <c r="D70" s="5">
        <f>DATE(106,10,2)</f>
        <v>38992</v>
      </c>
      <c r="E70" s="3" t="s">
        <v>56</v>
      </c>
      <c r="F70" s="5">
        <f>DATE(106,10,27)</f>
        <v>39017</v>
      </c>
      <c r="G70" s="3" t="s">
        <v>56</v>
      </c>
      <c r="H70" s="3" t="s">
        <v>57</v>
      </c>
      <c r="I70" s="3" t="s">
        <v>89</v>
      </c>
      <c r="J70" s="3" t="s">
        <v>114</v>
      </c>
      <c r="K70" s="3" t="s">
        <v>115</v>
      </c>
      <c r="L70" s="3" t="s">
        <v>111</v>
      </c>
      <c r="M70" s="3" t="s">
        <v>415</v>
      </c>
      <c r="N70" s="7">
        <v>0</v>
      </c>
      <c r="O70" s="7">
        <v>15</v>
      </c>
      <c r="P70" s="8">
        <f t="shared" si="1"/>
        <v>15</v>
      </c>
    </row>
    <row r="71" spans="1:16" ht="12.75">
      <c r="A71" s="3" t="s">
        <v>210</v>
      </c>
      <c r="B71" s="3" t="s">
        <v>211</v>
      </c>
      <c r="C71" s="4">
        <v>316</v>
      </c>
      <c r="D71" s="5">
        <f>DATE(105,6,1)</f>
        <v>38504</v>
      </c>
      <c r="E71" s="3" t="s">
        <v>55</v>
      </c>
      <c r="F71" s="5">
        <f>DATE(106,8,31)</f>
        <v>38960</v>
      </c>
      <c r="G71" s="3" t="s">
        <v>56</v>
      </c>
      <c r="H71" s="3" t="s">
        <v>91</v>
      </c>
      <c r="I71" s="3" t="s">
        <v>202</v>
      </c>
      <c r="J71" s="3" t="s">
        <v>203</v>
      </c>
      <c r="K71" s="3" t="s">
        <v>204</v>
      </c>
      <c r="L71" s="3" t="s">
        <v>61</v>
      </c>
      <c r="M71" s="3" t="s">
        <v>212</v>
      </c>
      <c r="N71" s="7">
        <v>90</v>
      </c>
      <c r="O71" s="7">
        <v>100</v>
      </c>
      <c r="P71" s="8">
        <f t="shared" si="1"/>
        <v>10</v>
      </c>
    </row>
    <row r="72" spans="1:16" ht="12.75">
      <c r="A72" s="3" t="s">
        <v>247</v>
      </c>
      <c r="B72" s="3" t="s">
        <v>248</v>
      </c>
      <c r="C72" s="4">
        <v>5</v>
      </c>
      <c r="D72" s="5">
        <f>DATE(106,8,31)</f>
        <v>38960</v>
      </c>
      <c r="E72" s="3" t="s">
        <v>56</v>
      </c>
      <c r="F72" s="5">
        <f>DATE(106,9,7)</f>
        <v>38967</v>
      </c>
      <c r="G72" s="3" t="s">
        <v>56</v>
      </c>
      <c r="H72" s="3" t="s">
        <v>91</v>
      </c>
      <c r="I72" s="3" t="s">
        <v>243</v>
      </c>
      <c r="J72" s="3" t="s">
        <v>244</v>
      </c>
      <c r="K72" s="3" t="s">
        <v>245</v>
      </c>
      <c r="L72" s="3" t="s">
        <v>61</v>
      </c>
      <c r="M72" s="3" t="s">
        <v>212</v>
      </c>
      <c r="N72" s="7">
        <v>0</v>
      </c>
      <c r="O72" s="7">
        <v>20</v>
      </c>
      <c r="P72" s="8">
        <f t="shared" si="1"/>
        <v>20</v>
      </c>
    </row>
    <row r="73" spans="1:16" ht="12.75">
      <c r="A73" s="3" t="s">
        <v>252</v>
      </c>
      <c r="B73" s="3" t="s">
        <v>253</v>
      </c>
      <c r="C73" s="4">
        <v>86</v>
      </c>
      <c r="D73" s="5">
        <f>DATE(106,5,1)</f>
        <v>38838</v>
      </c>
      <c r="E73" s="3" t="s">
        <v>55</v>
      </c>
      <c r="F73" s="5">
        <f>DATE(106,8,30)</f>
        <v>38959</v>
      </c>
      <c r="G73" s="3" t="s">
        <v>56</v>
      </c>
      <c r="H73" s="3" t="s">
        <v>91</v>
      </c>
      <c r="I73" s="3" t="s">
        <v>243</v>
      </c>
      <c r="J73" s="3" t="s">
        <v>244</v>
      </c>
      <c r="K73" s="3" t="s">
        <v>251</v>
      </c>
      <c r="L73" s="3" t="s">
        <v>61</v>
      </c>
      <c r="M73" s="3" t="s">
        <v>212</v>
      </c>
      <c r="N73" s="7">
        <v>6</v>
      </c>
      <c r="O73" s="7">
        <v>20</v>
      </c>
      <c r="P73" s="8">
        <f t="shared" si="1"/>
        <v>14</v>
      </c>
    </row>
    <row r="74" spans="1:16" ht="12.75">
      <c r="A74" s="3" t="s">
        <v>258</v>
      </c>
      <c r="B74" s="3" t="s">
        <v>259</v>
      </c>
      <c r="C74" s="4">
        <v>5</v>
      </c>
      <c r="D74" s="5">
        <f>DATE(106,8,21)</f>
        <v>38950</v>
      </c>
      <c r="E74" s="3" t="s">
        <v>56</v>
      </c>
      <c r="F74" s="5">
        <f>DATE(106,8,25)</f>
        <v>38954</v>
      </c>
      <c r="G74" s="3" t="s">
        <v>56</v>
      </c>
      <c r="H74" s="3" t="s">
        <v>91</v>
      </c>
      <c r="I74" s="3" t="s">
        <v>243</v>
      </c>
      <c r="J74" s="3" t="s">
        <v>244</v>
      </c>
      <c r="K74" s="3" t="s">
        <v>251</v>
      </c>
      <c r="L74" s="3" t="s">
        <v>61</v>
      </c>
      <c r="M74" s="3" t="s">
        <v>212</v>
      </c>
      <c r="N74" s="7">
        <v>16</v>
      </c>
      <c r="O74" s="7">
        <v>20</v>
      </c>
      <c r="P74" s="8">
        <f t="shared" si="1"/>
        <v>4</v>
      </c>
    </row>
    <row r="75" spans="1:16" ht="12.75">
      <c r="A75" s="3" t="s">
        <v>264</v>
      </c>
      <c r="B75" s="3" t="s">
        <v>265</v>
      </c>
      <c r="C75" s="4">
        <v>43</v>
      </c>
      <c r="D75" s="5">
        <f>DATE(106,8,1)</f>
        <v>38930</v>
      </c>
      <c r="E75" s="3" t="s">
        <v>56</v>
      </c>
      <c r="F75" s="5">
        <f>DATE(106,9,29)</f>
        <v>38989</v>
      </c>
      <c r="G75" s="3" t="s">
        <v>56</v>
      </c>
      <c r="H75" s="3" t="s">
        <v>91</v>
      </c>
      <c r="I75" s="3" t="s">
        <v>243</v>
      </c>
      <c r="J75" s="3" t="s">
        <v>244</v>
      </c>
      <c r="K75" s="3" t="s">
        <v>251</v>
      </c>
      <c r="L75" s="3" t="s">
        <v>61</v>
      </c>
      <c r="M75" s="3" t="s">
        <v>212</v>
      </c>
      <c r="N75" s="7">
        <v>0</v>
      </c>
      <c r="O75" s="7">
        <v>20</v>
      </c>
      <c r="P75" s="8">
        <f t="shared" si="1"/>
        <v>20</v>
      </c>
    </row>
    <row r="76" spans="1:16" ht="12.75">
      <c r="A76" s="3" t="s">
        <v>272</v>
      </c>
      <c r="B76" s="3" t="s">
        <v>273</v>
      </c>
      <c r="C76" s="4">
        <v>5</v>
      </c>
      <c r="D76" s="5">
        <f>DATE(106,10,2)</f>
        <v>38992</v>
      </c>
      <c r="E76" s="3" t="s">
        <v>56</v>
      </c>
      <c r="F76" s="5">
        <f>DATE(106,10,6)</f>
        <v>38996</v>
      </c>
      <c r="G76" s="3" t="s">
        <v>56</v>
      </c>
      <c r="H76" s="3" t="s">
        <v>91</v>
      </c>
      <c r="I76" s="3" t="s">
        <v>243</v>
      </c>
      <c r="J76" s="3" t="s">
        <v>244</v>
      </c>
      <c r="K76" s="3" t="s">
        <v>251</v>
      </c>
      <c r="L76" s="3" t="s">
        <v>61</v>
      </c>
      <c r="M76" s="3" t="s">
        <v>212</v>
      </c>
      <c r="N76" s="7">
        <v>0</v>
      </c>
      <c r="O76" s="7">
        <v>20</v>
      </c>
      <c r="P76" s="8">
        <f t="shared" si="1"/>
        <v>20</v>
      </c>
    </row>
    <row r="77" spans="1:16" ht="12.75">
      <c r="A77" s="3" t="s">
        <v>285</v>
      </c>
      <c r="B77" s="3" t="s">
        <v>259</v>
      </c>
      <c r="C77" s="4">
        <v>19</v>
      </c>
      <c r="D77" s="5">
        <f>DATE(106,8,1)</f>
        <v>38930</v>
      </c>
      <c r="E77" s="3" t="s">
        <v>56</v>
      </c>
      <c r="F77" s="5">
        <f>DATE(106,8,25)</f>
        <v>38954</v>
      </c>
      <c r="G77" s="3" t="s">
        <v>56</v>
      </c>
      <c r="H77" s="3" t="s">
        <v>91</v>
      </c>
      <c r="I77" s="3" t="s">
        <v>243</v>
      </c>
      <c r="J77" s="3" t="s">
        <v>284</v>
      </c>
      <c r="K77" s="3" t="s">
        <v>164</v>
      </c>
      <c r="L77" s="3" t="s">
        <v>61</v>
      </c>
      <c r="M77" s="3" t="s">
        <v>212</v>
      </c>
      <c r="N77" s="7">
        <v>0</v>
      </c>
      <c r="O77" s="7">
        <v>20</v>
      </c>
      <c r="P77" s="8">
        <f t="shared" si="1"/>
        <v>20</v>
      </c>
    </row>
    <row r="78" spans="1:16" ht="12.75">
      <c r="A78" s="3" t="s">
        <v>288</v>
      </c>
      <c r="B78" s="3" t="s">
        <v>265</v>
      </c>
      <c r="C78" s="4">
        <v>19</v>
      </c>
      <c r="D78" s="5">
        <f>DATE(106,8,1)</f>
        <v>38930</v>
      </c>
      <c r="E78" s="3" t="s">
        <v>56</v>
      </c>
      <c r="F78" s="5">
        <f>DATE(106,8,25)</f>
        <v>38954</v>
      </c>
      <c r="G78" s="3" t="s">
        <v>56</v>
      </c>
      <c r="H78" s="3" t="s">
        <v>91</v>
      </c>
      <c r="I78" s="3" t="s">
        <v>243</v>
      </c>
      <c r="J78" s="3" t="s">
        <v>284</v>
      </c>
      <c r="K78" s="3" t="s">
        <v>164</v>
      </c>
      <c r="L78" s="3" t="s">
        <v>61</v>
      </c>
      <c r="M78" s="3" t="s">
        <v>212</v>
      </c>
      <c r="N78" s="7">
        <v>0</v>
      </c>
      <c r="O78" s="7">
        <v>20</v>
      </c>
      <c r="P78" s="8">
        <f t="shared" si="1"/>
        <v>20</v>
      </c>
    </row>
    <row r="79" spans="1:16" ht="12.75">
      <c r="A79" s="3" t="s">
        <v>292</v>
      </c>
      <c r="B79" s="3" t="s">
        <v>273</v>
      </c>
      <c r="C79" s="4">
        <v>5</v>
      </c>
      <c r="D79" s="5">
        <f>DATE(106,8,25)</f>
        <v>38954</v>
      </c>
      <c r="E79" s="3" t="s">
        <v>56</v>
      </c>
      <c r="F79" s="5">
        <f>DATE(106,8,31)</f>
        <v>38960</v>
      </c>
      <c r="G79" s="3" t="s">
        <v>56</v>
      </c>
      <c r="H79" s="3" t="s">
        <v>91</v>
      </c>
      <c r="I79" s="3" t="s">
        <v>243</v>
      </c>
      <c r="J79" s="3" t="s">
        <v>284</v>
      </c>
      <c r="K79" s="3" t="s">
        <v>164</v>
      </c>
      <c r="L79" s="3" t="s">
        <v>61</v>
      </c>
      <c r="M79" s="3" t="s">
        <v>212</v>
      </c>
      <c r="N79" s="7">
        <v>0</v>
      </c>
      <c r="O79" s="7">
        <v>19.99</v>
      </c>
      <c r="P79" s="8">
        <f t="shared" si="1"/>
        <v>19.99</v>
      </c>
    </row>
    <row r="80" spans="1:16" ht="12.75">
      <c r="A80" s="3" t="s">
        <v>308</v>
      </c>
      <c r="B80" s="3" t="s">
        <v>309</v>
      </c>
      <c r="C80" s="4">
        <v>5</v>
      </c>
      <c r="D80" s="5">
        <f>DATE(106,8,28)</f>
        <v>38957</v>
      </c>
      <c r="E80" s="3" t="s">
        <v>56</v>
      </c>
      <c r="F80" s="5">
        <f>DATE(106,9,1)</f>
        <v>38961</v>
      </c>
      <c r="G80" s="3" t="s">
        <v>56</v>
      </c>
      <c r="H80" s="3" t="s">
        <v>91</v>
      </c>
      <c r="I80" s="3" t="s">
        <v>243</v>
      </c>
      <c r="J80" s="3" t="s">
        <v>284</v>
      </c>
      <c r="K80" s="3" t="s">
        <v>81</v>
      </c>
      <c r="L80" s="3" t="s">
        <v>61</v>
      </c>
      <c r="M80" s="3" t="s">
        <v>212</v>
      </c>
      <c r="N80" s="7">
        <v>0</v>
      </c>
      <c r="O80" s="7">
        <v>19.99</v>
      </c>
      <c r="P80" s="8">
        <f t="shared" si="1"/>
        <v>19.99</v>
      </c>
    </row>
    <row r="81" spans="1:16" ht="12.75">
      <c r="A81" s="3" t="s">
        <v>310</v>
      </c>
      <c r="B81" s="3" t="s">
        <v>311</v>
      </c>
      <c r="C81" s="4">
        <v>107</v>
      </c>
      <c r="D81" s="5">
        <f>DATE(106,3,1)</f>
        <v>38777</v>
      </c>
      <c r="E81" s="3" t="s">
        <v>55</v>
      </c>
      <c r="F81" s="5"/>
      <c r="G81" s="3" t="s">
        <v>56</v>
      </c>
      <c r="H81" s="3" t="s">
        <v>91</v>
      </c>
      <c r="I81" s="3" t="s">
        <v>243</v>
      </c>
      <c r="J81" s="3" t="s">
        <v>284</v>
      </c>
      <c r="K81" s="3" t="s">
        <v>81</v>
      </c>
      <c r="L81" s="3" t="s">
        <v>61</v>
      </c>
      <c r="M81" s="3" t="s">
        <v>212</v>
      </c>
      <c r="N81" s="7">
        <v>15.992</v>
      </c>
      <c r="O81" s="7">
        <v>19.99</v>
      </c>
      <c r="P81" s="8">
        <f t="shared" si="1"/>
        <v>3.9979999999999976</v>
      </c>
    </row>
    <row r="82" spans="1:16" ht="12.75">
      <c r="A82" s="3" t="s">
        <v>313</v>
      </c>
      <c r="B82" s="3" t="s">
        <v>253</v>
      </c>
      <c r="C82" s="4">
        <v>5</v>
      </c>
      <c r="D82" s="5">
        <f>DATE(106,8,8)</f>
        <v>38937</v>
      </c>
      <c r="E82" s="3" t="s">
        <v>56</v>
      </c>
      <c r="F82" s="5">
        <f>DATE(106,8,14)</f>
        <v>38943</v>
      </c>
      <c r="G82" s="3" t="s">
        <v>56</v>
      </c>
      <c r="H82" s="3" t="s">
        <v>91</v>
      </c>
      <c r="I82" s="3" t="s">
        <v>243</v>
      </c>
      <c r="J82" s="3" t="s">
        <v>284</v>
      </c>
      <c r="K82" s="3" t="s">
        <v>81</v>
      </c>
      <c r="L82" s="3" t="s">
        <v>61</v>
      </c>
      <c r="M82" s="3" t="s">
        <v>212</v>
      </c>
      <c r="N82" s="7">
        <v>0</v>
      </c>
      <c r="O82" s="7">
        <v>19.99</v>
      </c>
      <c r="P82" s="8">
        <f t="shared" si="1"/>
        <v>19.99</v>
      </c>
    </row>
    <row r="83" spans="1:16" ht="12.75">
      <c r="A83" s="3" t="s">
        <v>370</v>
      </c>
      <c r="B83" s="3" t="s">
        <v>371</v>
      </c>
      <c r="C83" s="4">
        <v>10</v>
      </c>
      <c r="D83" s="5">
        <f>DATE(106,9,5)</f>
        <v>38965</v>
      </c>
      <c r="E83" s="3" t="s">
        <v>56</v>
      </c>
      <c r="F83" s="5">
        <f>DATE(106,9,18)</f>
        <v>38978</v>
      </c>
      <c r="G83" s="3" t="s">
        <v>56</v>
      </c>
      <c r="H83" s="3" t="s">
        <v>91</v>
      </c>
      <c r="I83" s="3" t="s">
        <v>341</v>
      </c>
      <c r="J83" s="3" t="s">
        <v>369</v>
      </c>
      <c r="K83" s="3" t="s">
        <v>164</v>
      </c>
      <c r="L83" s="3" t="s">
        <v>61</v>
      </c>
      <c r="M83" s="3" t="s">
        <v>212</v>
      </c>
      <c r="N83" s="7">
        <v>0</v>
      </c>
      <c r="O83" s="7">
        <v>20</v>
      </c>
      <c r="P83" s="8">
        <f t="shared" si="1"/>
        <v>20</v>
      </c>
    </row>
    <row r="84" spans="1:16" ht="12.75">
      <c r="A84" s="3" t="s">
        <v>373</v>
      </c>
      <c r="B84" s="3" t="s">
        <v>374</v>
      </c>
      <c r="C84" s="4">
        <v>30</v>
      </c>
      <c r="D84" s="5">
        <f>DATE(106,9,19)</f>
        <v>38979</v>
      </c>
      <c r="E84" s="3" t="s">
        <v>56</v>
      </c>
      <c r="F84" s="5">
        <f>DATE(106,10,30)</f>
        <v>39020</v>
      </c>
      <c r="G84" s="3" t="s">
        <v>56</v>
      </c>
      <c r="H84" s="3" t="s">
        <v>91</v>
      </c>
      <c r="I84" s="3" t="s">
        <v>341</v>
      </c>
      <c r="J84" s="3" t="s">
        <v>369</v>
      </c>
      <c r="K84" s="3" t="s">
        <v>164</v>
      </c>
      <c r="L84" s="3" t="s">
        <v>61</v>
      </c>
      <c r="M84" s="3" t="s">
        <v>212</v>
      </c>
      <c r="N84" s="7">
        <v>0</v>
      </c>
      <c r="O84" s="7">
        <v>80</v>
      </c>
      <c r="P84" s="8">
        <f t="shared" si="1"/>
        <v>80</v>
      </c>
    </row>
    <row r="85" spans="1:16" ht="12.75">
      <c r="A85" s="3" t="s">
        <v>386</v>
      </c>
      <c r="B85" s="3" t="s">
        <v>387</v>
      </c>
      <c r="C85" s="4">
        <v>20</v>
      </c>
      <c r="D85" s="5">
        <f>DATE(106,10,9)</f>
        <v>38999</v>
      </c>
      <c r="E85" s="3" t="s">
        <v>56</v>
      </c>
      <c r="F85" s="5">
        <f>DATE(106,11,3)</f>
        <v>39024</v>
      </c>
      <c r="G85" s="3" t="s">
        <v>56</v>
      </c>
      <c r="H85" s="3" t="s">
        <v>91</v>
      </c>
      <c r="I85" s="3" t="s">
        <v>341</v>
      </c>
      <c r="J85" s="3" t="s">
        <v>388</v>
      </c>
      <c r="K85" s="3" t="s">
        <v>164</v>
      </c>
      <c r="L85" s="3" t="s">
        <v>61</v>
      </c>
      <c r="M85" s="3" t="s">
        <v>212</v>
      </c>
      <c r="N85" s="7">
        <v>0</v>
      </c>
      <c r="O85" s="7">
        <v>16</v>
      </c>
      <c r="P85" s="8">
        <f t="shared" si="1"/>
        <v>16</v>
      </c>
    </row>
    <row r="86" spans="1:16" ht="12.75">
      <c r="A86" s="3" t="s">
        <v>389</v>
      </c>
      <c r="B86" s="3" t="s">
        <v>390</v>
      </c>
      <c r="C86" s="4">
        <v>20</v>
      </c>
      <c r="D86" s="5">
        <f>DATE(106,10,16)</f>
        <v>39006</v>
      </c>
      <c r="E86" s="3" t="s">
        <v>56</v>
      </c>
      <c r="F86" s="5">
        <f>DATE(106,11,10)</f>
        <v>39031</v>
      </c>
      <c r="G86" s="3" t="s">
        <v>56</v>
      </c>
      <c r="H86" s="3" t="s">
        <v>91</v>
      </c>
      <c r="I86" s="3" t="s">
        <v>341</v>
      </c>
      <c r="J86" s="3" t="s">
        <v>388</v>
      </c>
      <c r="K86" s="3" t="s">
        <v>164</v>
      </c>
      <c r="L86" s="3" t="s">
        <v>61</v>
      </c>
      <c r="M86" s="3" t="s">
        <v>212</v>
      </c>
      <c r="N86" s="7">
        <v>0</v>
      </c>
      <c r="O86" s="7">
        <v>40</v>
      </c>
      <c r="P86" s="8">
        <f t="shared" si="1"/>
        <v>40</v>
      </c>
    </row>
    <row r="87" spans="1:16" ht="12.75">
      <c r="A87" s="3" t="s">
        <v>395</v>
      </c>
      <c r="B87" s="3" t="s">
        <v>396</v>
      </c>
      <c r="C87" s="4">
        <v>20</v>
      </c>
      <c r="D87" s="5">
        <f>DATE(106,12,6)</f>
        <v>39057</v>
      </c>
      <c r="E87" s="3" t="s">
        <v>56</v>
      </c>
      <c r="F87" s="5">
        <f>DATE(107,1,10)</f>
        <v>39092</v>
      </c>
      <c r="G87" s="3" t="s">
        <v>56</v>
      </c>
      <c r="H87" s="3" t="s">
        <v>91</v>
      </c>
      <c r="I87" s="3" t="s">
        <v>341</v>
      </c>
      <c r="J87" s="3" t="s">
        <v>388</v>
      </c>
      <c r="K87" s="3" t="s">
        <v>164</v>
      </c>
      <c r="L87" s="3" t="s">
        <v>61</v>
      </c>
      <c r="M87" s="3" t="s">
        <v>212</v>
      </c>
      <c r="N87" s="7">
        <v>0</v>
      </c>
      <c r="O87" s="7">
        <v>40</v>
      </c>
      <c r="P87" s="8">
        <f t="shared" si="1"/>
        <v>40</v>
      </c>
    </row>
    <row r="88" spans="1:16" ht="12.75">
      <c r="A88" s="3" t="s">
        <v>483</v>
      </c>
      <c r="B88" s="3" t="s">
        <v>484</v>
      </c>
      <c r="C88" s="4">
        <v>249</v>
      </c>
      <c r="D88" s="5">
        <f>DATE(105,10,3)</f>
        <v>38628</v>
      </c>
      <c r="E88" s="3" t="s">
        <v>55</v>
      </c>
      <c r="F88" s="5">
        <f>DATE(106,9,29)</f>
        <v>38989</v>
      </c>
      <c r="G88" s="3" t="s">
        <v>56</v>
      </c>
      <c r="H88" s="3" t="s">
        <v>185</v>
      </c>
      <c r="I88" s="3" t="s">
        <v>475</v>
      </c>
      <c r="J88" s="3" t="s">
        <v>485</v>
      </c>
      <c r="K88" s="3" t="s">
        <v>75</v>
      </c>
      <c r="L88" s="3" t="s">
        <v>61</v>
      </c>
      <c r="M88" s="3" t="s">
        <v>212</v>
      </c>
      <c r="N88" s="7">
        <v>1323.2</v>
      </c>
      <c r="O88" s="7">
        <v>1600</v>
      </c>
      <c r="P88" s="8">
        <f t="shared" si="1"/>
        <v>276.79999999999995</v>
      </c>
    </row>
    <row r="89" spans="1:16" ht="12.75">
      <c r="A89" s="3" t="s">
        <v>487</v>
      </c>
      <c r="B89" s="3" t="s">
        <v>488</v>
      </c>
      <c r="C89" s="4">
        <v>242</v>
      </c>
      <c r="D89" s="5">
        <f>DATE(106,10,3)</f>
        <v>38993</v>
      </c>
      <c r="E89" s="3" t="s">
        <v>56</v>
      </c>
      <c r="F89" s="5">
        <f>DATE(107,9,20)</f>
        <v>39345</v>
      </c>
      <c r="G89" s="3" t="s">
        <v>56</v>
      </c>
      <c r="H89" s="3" t="s">
        <v>185</v>
      </c>
      <c r="I89" s="3" t="s">
        <v>475</v>
      </c>
      <c r="J89" s="3" t="s">
        <v>485</v>
      </c>
      <c r="K89" s="3" t="s">
        <v>75</v>
      </c>
      <c r="L89" s="3" t="s">
        <v>61</v>
      </c>
      <c r="M89" s="3" t="s">
        <v>212</v>
      </c>
      <c r="N89" s="7">
        <v>0</v>
      </c>
      <c r="O89" s="7">
        <v>667</v>
      </c>
      <c r="P89" s="8">
        <f t="shared" si="1"/>
        <v>667</v>
      </c>
    </row>
    <row r="90" spans="1:16" ht="12.75">
      <c r="A90" s="3" t="s">
        <v>489</v>
      </c>
      <c r="B90" s="3" t="s">
        <v>490</v>
      </c>
      <c r="C90" s="4">
        <v>242</v>
      </c>
      <c r="D90" s="5">
        <f>DATE(107,10,3)</f>
        <v>39358</v>
      </c>
      <c r="E90" s="3" t="s">
        <v>56</v>
      </c>
      <c r="F90" s="5">
        <f>DATE(108,9,22)</f>
        <v>39713</v>
      </c>
      <c r="G90" s="3" t="s">
        <v>56</v>
      </c>
      <c r="H90" s="3" t="s">
        <v>185</v>
      </c>
      <c r="I90" s="3" t="s">
        <v>475</v>
      </c>
      <c r="J90" s="3" t="s">
        <v>485</v>
      </c>
      <c r="K90" s="3" t="s">
        <v>75</v>
      </c>
      <c r="L90" s="3" t="s">
        <v>61</v>
      </c>
      <c r="M90" s="3" t="s">
        <v>212</v>
      </c>
      <c r="N90" s="7">
        <v>0</v>
      </c>
      <c r="O90" s="7">
        <v>600</v>
      </c>
      <c r="P90" s="8">
        <f t="shared" si="1"/>
        <v>600</v>
      </c>
    </row>
    <row r="91" spans="1:16" ht="12.75">
      <c r="A91" s="3" t="s">
        <v>491</v>
      </c>
      <c r="B91" s="3" t="s">
        <v>492</v>
      </c>
      <c r="C91" s="4">
        <v>130</v>
      </c>
      <c r="D91" s="5">
        <f>DATE(108,10,1)</f>
        <v>39722</v>
      </c>
      <c r="E91" s="3" t="s">
        <v>56</v>
      </c>
      <c r="F91" s="5">
        <f>DATE(109,4,13)</f>
        <v>39916</v>
      </c>
      <c r="G91" s="3" t="s">
        <v>56</v>
      </c>
      <c r="H91" s="3" t="s">
        <v>185</v>
      </c>
      <c r="I91" s="3" t="s">
        <v>475</v>
      </c>
      <c r="J91" s="3" t="s">
        <v>485</v>
      </c>
      <c r="K91" s="3" t="s">
        <v>75</v>
      </c>
      <c r="L91" s="3" t="s">
        <v>61</v>
      </c>
      <c r="M91" s="3" t="s">
        <v>212</v>
      </c>
      <c r="N91" s="7">
        <v>0</v>
      </c>
      <c r="O91" s="7">
        <v>400</v>
      </c>
      <c r="P91" s="8">
        <f t="shared" si="1"/>
        <v>400</v>
      </c>
    </row>
    <row r="92" spans="1:16" ht="12.75">
      <c r="A92" s="3" t="s">
        <v>154</v>
      </c>
      <c r="B92" s="3" t="s">
        <v>155</v>
      </c>
      <c r="C92" s="4">
        <v>669</v>
      </c>
      <c r="D92" s="5">
        <f>DATE(106,2,1)</f>
        <v>38749</v>
      </c>
      <c r="E92" s="3" t="s">
        <v>55</v>
      </c>
      <c r="F92" s="5">
        <f>DATE(108,9,30)</f>
        <v>39721</v>
      </c>
      <c r="G92" s="3" t="s">
        <v>56</v>
      </c>
      <c r="H92" s="3" t="s">
        <v>57</v>
      </c>
      <c r="I92" s="3" t="s">
        <v>89</v>
      </c>
      <c r="J92" s="3" t="s">
        <v>156</v>
      </c>
      <c r="K92" s="3" t="s">
        <v>157</v>
      </c>
      <c r="L92" s="3" t="s">
        <v>158</v>
      </c>
      <c r="M92" s="3" t="s">
        <v>159</v>
      </c>
      <c r="N92" s="7">
        <v>4.18</v>
      </c>
      <c r="O92" s="7">
        <v>22</v>
      </c>
      <c r="P92" s="8">
        <f t="shared" si="1"/>
        <v>17.82</v>
      </c>
    </row>
    <row r="93" spans="1:16" ht="12.75">
      <c r="A93" s="3" t="s">
        <v>437</v>
      </c>
      <c r="B93" s="3" t="s">
        <v>438</v>
      </c>
      <c r="C93" s="4">
        <v>65</v>
      </c>
      <c r="D93" s="5">
        <f>DATE(107,7,2)</f>
        <v>39265</v>
      </c>
      <c r="E93" s="3" t="s">
        <v>56</v>
      </c>
      <c r="F93" s="5">
        <f>DATE(107,10,2)</f>
        <v>39357</v>
      </c>
      <c r="G93" s="3" t="s">
        <v>56</v>
      </c>
      <c r="H93" s="3" t="s">
        <v>174</v>
      </c>
      <c r="I93" s="3" t="s">
        <v>439</v>
      </c>
      <c r="J93" s="3" t="s">
        <v>440</v>
      </c>
      <c r="K93" s="3" t="s">
        <v>164</v>
      </c>
      <c r="L93" s="3" t="s">
        <v>67</v>
      </c>
      <c r="M93" s="3" t="s">
        <v>67</v>
      </c>
      <c r="N93" s="7">
        <v>0</v>
      </c>
      <c r="O93" s="7">
        <v>80</v>
      </c>
      <c r="P93" s="8">
        <f t="shared" si="1"/>
        <v>80</v>
      </c>
    </row>
    <row r="94" spans="1:16" ht="12.75">
      <c r="A94" s="3" t="s">
        <v>441</v>
      </c>
      <c r="B94" s="3" t="s">
        <v>442</v>
      </c>
      <c r="C94" s="4">
        <v>60</v>
      </c>
      <c r="D94" s="5">
        <f>DATE(107,10,3)</f>
        <v>39358</v>
      </c>
      <c r="E94" s="3" t="s">
        <v>56</v>
      </c>
      <c r="F94" s="5">
        <f>DATE(108,1,7)</f>
        <v>39454</v>
      </c>
      <c r="G94" s="3" t="s">
        <v>56</v>
      </c>
      <c r="H94" s="3" t="s">
        <v>174</v>
      </c>
      <c r="I94" s="3" t="s">
        <v>439</v>
      </c>
      <c r="J94" s="3" t="s">
        <v>440</v>
      </c>
      <c r="K94" s="3" t="s">
        <v>164</v>
      </c>
      <c r="L94" s="3" t="s">
        <v>67</v>
      </c>
      <c r="M94" s="3" t="s">
        <v>67</v>
      </c>
      <c r="N94" s="7">
        <v>0</v>
      </c>
      <c r="O94" s="7">
        <v>160</v>
      </c>
      <c r="P94" s="8">
        <f t="shared" si="1"/>
        <v>160</v>
      </c>
    </row>
    <row r="95" spans="1:16" ht="12.75">
      <c r="A95" s="3" t="s">
        <v>443</v>
      </c>
      <c r="B95" s="3" t="s">
        <v>444</v>
      </c>
      <c r="C95" s="4">
        <v>280</v>
      </c>
      <c r="D95" s="5">
        <f>DATE(108,1,8)</f>
        <v>39455</v>
      </c>
      <c r="E95" s="3" t="s">
        <v>56</v>
      </c>
      <c r="F95" s="5">
        <f>DATE(109,2,18)</f>
        <v>39862</v>
      </c>
      <c r="G95" s="3" t="s">
        <v>56</v>
      </c>
      <c r="H95" s="3" t="s">
        <v>174</v>
      </c>
      <c r="I95" s="3" t="s">
        <v>439</v>
      </c>
      <c r="J95" s="3" t="s">
        <v>440</v>
      </c>
      <c r="K95" s="3" t="s">
        <v>164</v>
      </c>
      <c r="L95" s="3" t="s">
        <v>67</v>
      </c>
      <c r="M95" s="3" t="s">
        <v>67</v>
      </c>
      <c r="N95" s="7">
        <v>0</v>
      </c>
      <c r="O95" s="7">
        <v>8</v>
      </c>
      <c r="P95" s="8">
        <f t="shared" si="1"/>
        <v>8</v>
      </c>
    </row>
    <row r="96" spans="1:16" ht="12.75">
      <c r="A96" s="3" t="s">
        <v>154</v>
      </c>
      <c r="B96" s="3" t="s">
        <v>155</v>
      </c>
      <c r="C96" s="4">
        <v>669</v>
      </c>
      <c r="D96" s="5">
        <f>DATE(106,2,1)</f>
        <v>38749</v>
      </c>
      <c r="E96" s="3" t="s">
        <v>55</v>
      </c>
      <c r="F96" s="5">
        <f>DATE(108,9,30)</f>
        <v>39721</v>
      </c>
      <c r="G96" s="3" t="s">
        <v>56</v>
      </c>
      <c r="H96" s="3" t="s">
        <v>57</v>
      </c>
      <c r="I96" s="3" t="s">
        <v>89</v>
      </c>
      <c r="J96" s="3" t="s">
        <v>156</v>
      </c>
      <c r="K96" s="3" t="s">
        <v>157</v>
      </c>
      <c r="L96" s="3" t="s">
        <v>61</v>
      </c>
      <c r="M96" s="3" t="s">
        <v>61</v>
      </c>
      <c r="N96" s="7">
        <v>22.8</v>
      </c>
      <c r="O96" s="7">
        <v>120</v>
      </c>
      <c r="P96" s="8">
        <f t="shared" si="1"/>
        <v>97.2</v>
      </c>
    </row>
    <row r="97" spans="1:16" ht="12.75">
      <c r="A97" s="3" t="s">
        <v>226</v>
      </c>
      <c r="B97" s="3" t="s">
        <v>227</v>
      </c>
      <c r="C97" s="4">
        <v>43</v>
      </c>
      <c r="D97" s="5">
        <f>DATE(106,10,2)</f>
        <v>38992</v>
      </c>
      <c r="E97" s="3" t="s">
        <v>56</v>
      </c>
      <c r="F97" s="5">
        <f>DATE(106,12,1)</f>
        <v>39052</v>
      </c>
      <c r="G97" s="3" t="s">
        <v>56</v>
      </c>
      <c r="H97" s="3" t="s">
        <v>91</v>
      </c>
      <c r="I97" s="3" t="s">
        <v>202</v>
      </c>
      <c r="J97" s="3" t="s">
        <v>203</v>
      </c>
      <c r="K97" s="3" t="s">
        <v>215</v>
      </c>
      <c r="L97" s="3" t="s">
        <v>67</v>
      </c>
      <c r="M97" s="3" t="s">
        <v>228</v>
      </c>
      <c r="N97" s="7">
        <v>0</v>
      </c>
      <c r="O97" s="7">
        <v>40</v>
      </c>
      <c r="P97" s="8">
        <f t="shared" si="1"/>
        <v>40</v>
      </c>
    </row>
    <row r="98" spans="1:16" ht="12.75">
      <c r="A98" s="3" t="s">
        <v>237</v>
      </c>
      <c r="B98" s="3" t="s">
        <v>238</v>
      </c>
      <c r="C98" s="4">
        <v>517</v>
      </c>
      <c r="D98" s="5">
        <f>DATE(104,10,1)</f>
        <v>38261</v>
      </c>
      <c r="E98" s="3" t="s">
        <v>55</v>
      </c>
      <c r="F98" s="5">
        <f>DATE(107,1,2)</f>
        <v>39084</v>
      </c>
      <c r="G98" s="3" t="s">
        <v>56</v>
      </c>
      <c r="H98" s="3" t="s">
        <v>91</v>
      </c>
      <c r="I98" s="3" t="s">
        <v>202</v>
      </c>
      <c r="J98" s="3" t="s">
        <v>203</v>
      </c>
      <c r="K98" s="3" t="s">
        <v>215</v>
      </c>
      <c r="L98" s="3" t="s">
        <v>67</v>
      </c>
      <c r="M98" s="3" t="s">
        <v>228</v>
      </c>
      <c r="N98" s="7">
        <v>108</v>
      </c>
      <c r="O98" s="7">
        <v>120</v>
      </c>
      <c r="P98" s="8">
        <f t="shared" si="1"/>
        <v>12</v>
      </c>
    </row>
    <row r="99" spans="1:16" ht="12.75">
      <c r="A99" s="3" t="s">
        <v>449</v>
      </c>
      <c r="B99" s="3" t="s">
        <v>450</v>
      </c>
      <c r="C99" s="4">
        <v>65</v>
      </c>
      <c r="D99" s="5">
        <f>DATE(108,7,10)</f>
        <v>39639</v>
      </c>
      <c r="E99" s="3" t="s">
        <v>56</v>
      </c>
      <c r="F99" s="5">
        <f>DATE(108,10,9)</f>
        <v>39730</v>
      </c>
      <c r="G99" s="3" t="s">
        <v>56</v>
      </c>
      <c r="H99" s="3" t="s">
        <v>174</v>
      </c>
      <c r="I99" s="3" t="s">
        <v>439</v>
      </c>
      <c r="J99" s="3" t="s">
        <v>440</v>
      </c>
      <c r="K99" s="3" t="s">
        <v>164</v>
      </c>
      <c r="L99" s="3" t="s">
        <v>451</v>
      </c>
      <c r="M99" s="3" t="s">
        <v>452</v>
      </c>
      <c r="N99" s="7">
        <v>0</v>
      </c>
      <c r="O99" s="7">
        <v>71</v>
      </c>
      <c r="P99" s="8">
        <f t="shared" si="1"/>
        <v>71</v>
      </c>
    </row>
    <row r="100" spans="1:16" ht="12.75">
      <c r="A100" s="3" t="s">
        <v>454</v>
      </c>
      <c r="B100" s="3" t="s">
        <v>455</v>
      </c>
      <c r="C100" s="4">
        <v>65</v>
      </c>
      <c r="D100" s="5">
        <f>DATE(108,7,10)</f>
        <v>39639</v>
      </c>
      <c r="E100" s="3" t="s">
        <v>56</v>
      </c>
      <c r="F100" s="5">
        <f>DATE(108,10,9)</f>
        <v>39730</v>
      </c>
      <c r="G100" s="3" t="s">
        <v>56</v>
      </c>
      <c r="H100" s="3" t="s">
        <v>174</v>
      </c>
      <c r="I100" s="3" t="s">
        <v>439</v>
      </c>
      <c r="J100" s="3" t="s">
        <v>440</v>
      </c>
      <c r="K100" s="3" t="s">
        <v>164</v>
      </c>
      <c r="L100" s="3" t="s">
        <v>451</v>
      </c>
      <c r="M100" s="3" t="s">
        <v>452</v>
      </c>
      <c r="N100" s="7">
        <v>0</v>
      </c>
      <c r="O100" s="7">
        <v>23</v>
      </c>
      <c r="P100" s="8">
        <f t="shared" si="1"/>
        <v>23</v>
      </c>
    </row>
    <row r="101" spans="1:16" ht="12.75">
      <c r="A101" s="3" t="s">
        <v>463</v>
      </c>
      <c r="B101" s="3" t="s">
        <v>464</v>
      </c>
      <c r="C101" s="4">
        <v>60</v>
      </c>
      <c r="D101" s="5">
        <f>DATE(108,7,17)</f>
        <v>39646</v>
      </c>
      <c r="E101" s="3" t="s">
        <v>56</v>
      </c>
      <c r="F101" s="5">
        <f>DATE(108,10,9)</f>
        <v>39730</v>
      </c>
      <c r="G101" s="3" t="s">
        <v>56</v>
      </c>
      <c r="H101" s="3" t="s">
        <v>174</v>
      </c>
      <c r="I101" s="3" t="s">
        <v>439</v>
      </c>
      <c r="J101" s="3" t="s">
        <v>458</v>
      </c>
      <c r="K101" s="3" t="s">
        <v>245</v>
      </c>
      <c r="L101" s="3" t="s">
        <v>451</v>
      </c>
      <c r="M101" s="3" t="s">
        <v>452</v>
      </c>
      <c r="N101" s="7">
        <v>0</v>
      </c>
      <c r="O101" s="7">
        <v>8</v>
      </c>
      <c r="P101" s="8">
        <f t="shared" si="1"/>
        <v>8</v>
      </c>
    </row>
    <row r="102" spans="1:16" ht="12.75">
      <c r="A102" s="3" t="s">
        <v>449</v>
      </c>
      <c r="B102" s="3" t="s">
        <v>450</v>
      </c>
      <c r="C102" s="4">
        <v>65</v>
      </c>
      <c r="D102" s="5">
        <f>DATE(108,7,10)</f>
        <v>39639</v>
      </c>
      <c r="E102" s="3" t="s">
        <v>56</v>
      </c>
      <c r="F102" s="5">
        <f>DATE(108,10,9)</f>
        <v>39730</v>
      </c>
      <c r="G102" s="3" t="s">
        <v>56</v>
      </c>
      <c r="H102" s="3" t="s">
        <v>174</v>
      </c>
      <c r="I102" s="3" t="s">
        <v>439</v>
      </c>
      <c r="J102" s="3" t="s">
        <v>440</v>
      </c>
      <c r="K102" s="3" t="s">
        <v>164</v>
      </c>
      <c r="L102" s="3" t="s">
        <v>92</v>
      </c>
      <c r="M102" s="3" t="s">
        <v>453</v>
      </c>
      <c r="N102" s="7">
        <v>0</v>
      </c>
      <c r="O102" s="7">
        <v>284</v>
      </c>
      <c r="P102" s="8">
        <f t="shared" si="1"/>
        <v>284</v>
      </c>
    </row>
    <row r="103" spans="1:16" ht="12.75">
      <c r="A103" s="3" t="s">
        <v>454</v>
      </c>
      <c r="B103" s="3" t="s">
        <v>455</v>
      </c>
      <c r="C103" s="4">
        <v>65</v>
      </c>
      <c r="D103" s="5">
        <f>DATE(108,7,10)</f>
        <v>39639</v>
      </c>
      <c r="E103" s="3" t="s">
        <v>56</v>
      </c>
      <c r="F103" s="5">
        <f>DATE(108,10,9)</f>
        <v>39730</v>
      </c>
      <c r="G103" s="3" t="s">
        <v>56</v>
      </c>
      <c r="H103" s="3" t="s">
        <v>174</v>
      </c>
      <c r="I103" s="3" t="s">
        <v>439</v>
      </c>
      <c r="J103" s="3" t="s">
        <v>440</v>
      </c>
      <c r="K103" s="3" t="s">
        <v>164</v>
      </c>
      <c r="L103" s="3" t="s">
        <v>92</v>
      </c>
      <c r="M103" s="3" t="s">
        <v>453</v>
      </c>
      <c r="N103" s="7">
        <v>0</v>
      </c>
      <c r="O103" s="7">
        <v>90</v>
      </c>
      <c r="P103" s="8">
        <f t="shared" si="1"/>
        <v>90</v>
      </c>
    </row>
    <row r="104" spans="1:16" ht="12.75">
      <c r="A104" s="3" t="s">
        <v>213</v>
      </c>
      <c r="B104" s="3" t="s">
        <v>214</v>
      </c>
      <c r="C104" s="4">
        <v>560</v>
      </c>
      <c r="D104" s="5">
        <f>DATE(104,8,2)</f>
        <v>38201</v>
      </c>
      <c r="E104" s="3" t="s">
        <v>55</v>
      </c>
      <c r="F104" s="5">
        <f>DATE(107,1,2)</f>
        <v>39084</v>
      </c>
      <c r="G104" s="3" t="s">
        <v>56</v>
      </c>
      <c r="H104" s="3" t="s">
        <v>91</v>
      </c>
      <c r="I104" s="3" t="s">
        <v>202</v>
      </c>
      <c r="J104" s="3" t="s">
        <v>203</v>
      </c>
      <c r="K104" s="3" t="s">
        <v>215</v>
      </c>
      <c r="L104" s="3" t="s">
        <v>61</v>
      </c>
      <c r="M104" s="3" t="s">
        <v>216</v>
      </c>
      <c r="N104" s="7">
        <v>474.3</v>
      </c>
      <c r="O104" s="7">
        <v>527</v>
      </c>
      <c r="P104" s="8">
        <f t="shared" si="1"/>
        <v>52.69999999999999</v>
      </c>
    </row>
    <row r="105" spans="1:16" ht="12.75">
      <c r="A105" s="3" t="s">
        <v>233</v>
      </c>
      <c r="B105" s="3" t="s">
        <v>234</v>
      </c>
      <c r="C105" s="4">
        <v>374</v>
      </c>
      <c r="D105" s="5">
        <f>DATE(105,5,1)</f>
        <v>38473</v>
      </c>
      <c r="E105" s="3" t="s">
        <v>55</v>
      </c>
      <c r="F105" s="5">
        <f>DATE(107,1,2)</f>
        <v>39084</v>
      </c>
      <c r="G105" s="3" t="s">
        <v>56</v>
      </c>
      <c r="H105" s="3" t="s">
        <v>91</v>
      </c>
      <c r="I105" s="3" t="s">
        <v>202</v>
      </c>
      <c r="J105" s="3" t="s">
        <v>203</v>
      </c>
      <c r="K105" s="3" t="s">
        <v>215</v>
      </c>
      <c r="L105" s="3" t="s">
        <v>61</v>
      </c>
      <c r="M105" s="3" t="s">
        <v>216</v>
      </c>
      <c r="N105" s="7">
        <v>64</v>
      </c>
      <c r="O105" s="7">
        <v>80</v>
      </c>
      <c r="P105" s="8">
        <f t="shared" si="1"/>
        <v>16</v>
      </c>
    </row>
    <row r="106" spans="1:16" ht="12.75">
      <c r="A106" s="3" t="s">
        <v>235</v>
      </c>
      <c r="B106" s="3" t="s">
        <v>236</v>
      </c>
      <c r="C106" s="4">
        <v>517</v>
      </c>
      <c r="D106" s="5">
        <f>DATE(104,10,1)</f>
        <v>38261</v>
      </c>
      <c r="E106" s="3" t="s">
        <v>55</v>
      </c>
      <c r="F106" s="5">
        <f>DATE(107,1,2)</f>
        <v>39084</v>
      </c>
      <c r="G106" s="3" t="s">
        <v>56</v>
      </c>
      <c r="H106" s="3" t="s">
        <v>91</v>
      </c>
      <c r="I106" s="3" t="s">
        <v>202</v>
      </c>
      <c r="J106" s="3" t="s">
        <v>203</v>
      </c>
      <c r="K106" s="3" t="s">
        <v>215</v>
      </c>
      <c r="L106" s="3" t="s">
        <v>61</v>
      </c>
      <c r="M106" s="3" t="s">
        <v>216</v>
      </c>
      <c r="N106" s="7">
        <v>64</v>
      </c>
      <c r="O106" s="7">
        <v>80</v>
      </c>
      <c r="P106" s="8">
        <f t="shared" si="1"/>
        <v>16</v>
      </c>
    </row>
    <row r="107" spans="1:16" ht="12.75">
      <c r="A107" s="3" t="s">
        <v>358</v>
      </c>
      <c r="B107" s="3" t="s">
        <v>359</v>
      </c>
      <c r="C107" s="4">
        <v>25</v>
      </c>
      <c r="D107" s="5">
        <f>DATE(106,8,28)</f>
        <v>38957</v>
      </c>
      <c r="E107" s="3" t="s">
        <v>56</v>
      </c>
      <c r="F107" s="5">
        <f>DATE(106,10,2)</f>
        <v>38992</v>
      </c>
      <c r="G107" s="3" t="s">
        <v>56</v>
      </c>
      <c r="H107" s="3" t="s">
        <v>91</v>
      </c>
      <c r="I107" s="3" t="s">
        <v>341</v>
      </c>
      <c r="J107" s="3" t="s">
        <v>360</v>
      </c>
      <c r="K107" s="3" t="s">
        <v>164</v>
      </c>
      <c r="L107" s="3" t="s">
        <v>61</v>
      </c>
      <c r="M107" s="3" t="s">
        <v>216</v>
      </c>
      <c r="N107" s="7">
        <v>0</v>
      </c>
      <c r="O107" s="7">
        <v>40</v>
      </c>
      <c r="P107" s="8">
        <f t="shared" si="1"/>
        <v>40</v>
      </c>
    </row>
    <row r="108" spans="1:16" ht="12.75">
      <c r="A108" s="3" t="s">
        <v>368</v>
      </c>
      <c r="B108" s="3" t="s">
        <v>359</v>
      </c>
      <c r="C108" s="4">
        <v>15</v>
      </c>
      <c r="D108" s="5">
        <f>DATE(106,8,28)</f>
        <v>38957</v>
      </c>
      <c r="E108" s="3" t="s">
        <v>56</v>
      </c>
      <c r="F108" s="5">
        <f>DATE(106,9,18)</f>
        <v>38978</v>
      </c>
      <c r="G108" s="3" t="s">
        <v>56</v>
      </c>
      <c r="H108" s="3" t="s">
        <v>91</v>
      </c>
      <c r="I108" s="3" t="s">
        <v>341</v>
      </c>
      <c r="J108" s="3" t="s">
        <v>369</v>
      </c>
      <c r="K108" s="3" t="s">
        <v>164</v>
      </c>
      <c r="L108" s="3" t="s">
        <v>61</v>
      </c>
      <c r="M108" s="3" t="s">
        <v>216</v>
      </c>
      <c r="N108" s="7">
        <v>0</v>
      </c>
      <c r="O108" s="7">
        <v>40</v>
      </c>
      <c r="P108" s="8">
        <f t="shared" si="1"/>
        <v>40</v>
      </c>
    </row>
    <row r="109" spans="1:16" ht="12.75">
      <c r="A109" s="3" t="s">
        <v>377</v>
      </c>
      <c r="B109" s="3" t="s">
        <v>378</v>
      </c>
      <c r="C109" s="4">
        <v>20</v>
      </c>
      <c r="D109" s="5">
        <f>DATE(106,8,28)</f>
        <v>38957</v>
      </c>
      <c r="E109" s="3" t="s">
        <v>56</v>
      </c>
      <c r="F109" s="5">
        <f>DATE(106,9,25)</f>
        <v>38985</v>
      </c>
      <c r="G109" s="3" t="s">
        <v>56</v>
      </c>
      <c r="H109" s="3" t="s">
        <v>91</v>
      </c>
      <c r="I109" s="3" t="s">
        <v>341</v>
      </c>
      <c r="J109" s="3" t="s">
        <v>379</v>
      </c>
      <c r="K109" s="3" t="s">
        <v>164</v>
      </c>
      <c r="L109" s="3" t="s">
        <v>61</v>
      </c>
      <c r="M109" s="3" t="s">
        <v>216</v>
      </c>
      <c r="N109" s="7">
        <v>0</v>
      </c>
      <c r="O109" s="7">
        <v>80</v>
      </c>
      <c r="P109" s="8">
        <f t="shared" si="1"/>
        <v>80</v>
      </c>
    </row>
    <row r="110" spans="1:16" ht="12.75">
      <c r="A110" s="3" t="s">
        <v>380</v>
      </c>
      <c r="B110" s="3" t="s">
        <v>381</v>
      </c>
      <c r="C110" s="4">
        <v>10</v>
      </c>
      <c r="D110" s="5">
        <f>DATE(106,9,5)</f>
        <v>38965</v>
      </c>
      <c r="E110" s="3" t="s">
        <v>56</v>
      </c>
      <c r="F110" s="5">
        <f>DATE(106,9,18)</f>
        <v>38978</v>
      </c>
      <c r="G110" s="3" t="s">
        <v>56</v>
      </c>
      <c r="H110" s="3" t="s">
        <v>91</v>
      </c>
      <c r="I110" s="3" t="s">
        <v>341</v>
      </c>
      <c r="J110" s="3" t="s">
        <v>379</v>
      </c>
      <c r="K110" s="3" t="s">
        <v>164</v>
      </c>
      <c r="L110" s="3" t="s">
        <v>61</v>
      </c>
      <c r="M110" s="3" t="s">
        <v>216</v>
      </c>
      <c r="N110" s="7">
        <v>0</v>
      </c>
      <c r="O110" s="7">
        <v>20</v>
      </c>
      <c r="P110" s="8">
        <f t="shared" si="1"/>
        <v>20</v>
      </c>
    </row>
    <row r="111" spans="1:16" ht="12.75">
      <c r="A111" s="3" t="s">
        <v>69</v>
      </c>
      <c r="B111" s="3" t="s">
        <v>70</v>
      </c>
      <c r="C111" s="4">
        <v>74</v>
      </c>
      <c r="D111" s="5">
        <f>DATE(106,5,1)</f>
        <v>38838</v>
      </c>
      <c r="E111" s="3" t="s">
        <v>55</v>
      </c>
      <c r="F111" s="5">
        <f>DATE(106,8,14)</f>
        <v>38943</v>
      </c>
      <c r="G111" s="3" t="s">
        <v>56</v>
      </c>
      <c r="H111" s="3" t="s">
        <v>57</v>
      </c>
      <c r="I111" s="3" t="s">
        <v>65</v>
      </c>
      <c r="J111" s="3" t="s">
        <v>59</v>
      </c>
      <c r="K111" s="3" t="s">
        <v>71</v>
      </c>
      <c r="L111" s="3" t="s">
        <v>61</v>
      </c>
      <c r="M111" s="3" t="s">
        <v>72</v>
      </c>
      <c r="N111" s="7">
        <v>190</v>
      </c>
      <c r="O111" s="7">
        <v>200</v>
      </c>
      <c r="P111" s="8">
        <f t="shared" si="1"/>
        <v>10</v>
      </c>
    </row>
    <row r="112" spans="1:16" ht="12.75">
      <c r="A112" s="3" t="s">
        <v>154</v>
      </c>
      <c r="B112" s="3" t="s">
        <v>155</v>
      </c>
      <c r="C112" s="4">
        <v>669</v>
      </c>
      <c r="D112" s="5">
        <f>DATE(106,2,1)</f>
        <v>38749</v>
      </c>
      <c r="E112" s="3" t="s">
        <v>55</v>
      </c>
      <c r="F112" s="5">
        <f>DATE(108,9,30)</f>
        <v>39721</v>
      </c>
      <c r="G112" s="3" t="s">
        <v>56</v>
      </c>
      <c r="H112" s="3" t="s">
        <v>57</v>
      </c>
      <c r="I112" s="3" t="s">
        <v>89</v>
      </c>
      <c r="J112" s="3" t="s">
        <v>156</v>
      </c>
      <c r="K112" s="3" t="s">
        <v>157</v>
      </c>
      <c r="L112" s="3" t="s">
        <v>61</v>
      </c>
      <c r="M112" s="3" t="s">
        <v>72</v>
      </c>
      <c r="N112" s="7">
        <v>23.56</v>
      </c>
      <c r="O112" s="7">
        <v>124</v>
      </c>
      <c r="P112" s="8">
        <f t="shared" si="1"/>
        <v>100.44</v>
      </c>
    </row>
    <row r="113" spans="1:16" ht="12.75">
      <c r="A113" s="3" t="s">
        <v>195</v>
      </c>
      <c r="B113" s="3" t="s">
        <v>196</v>
      </c>
      <c r="C113" s="4">
        <v>249</v>
      </c>
      <c r="D113" s="5">
        <f>DATE(105,10,1)</f>
        <v>38626</v>
      </c>
      <c r="E113" s="3" t="s">
        <v>55</v>
      </c>
      <c r="F113" s="5">
        <f>DATE(106,9,29)</f>
        <v>38989</v>
      </c>
      <c r="G113" s="3" t="s">
        <v>56</v>
      </c>
      <c r="H113" s="3" t="s">
        <v>57</v>
      </c>
      <c r="I113" s="3" t="s">
        <v>162</v>
      </c>
      <c r="J113" s="3" t="s">
        <v>156</v>
      </c>
      <c r="K113" s="3" t="s">
        <v>75</v>
      </c>
      <c r="L113" s="3" t="s">
        <v>61</v>
      </c>
      <c r="M113" s="3" t="s">
        <v>72</v>
      </c>
      <c r="N113" s="7">
        <v>413.5</v>
      </c>
      <c r="O113" s="7">
        <v>500</v>
      </c>
      <c r="P113" s="8">
        <f t="shared" si="1"/>
        <v>86.5</v>
      </c>
    </row>
    <row r="114" spans="1:16" ht="12.75">
      <c r="A114" s="3" t="s">
        <v>346</v>
      </c>
      <c r="B114" s="3" t="s">
        <v>347</v>
      </c>
      <c r="C114" s="4">
        <v>15</v>
      </c>
      <c r="D114" s="5">
        <f>DATE(106,8,28)</f>
        <v>38957</v>
      </c>
      <c r="E114" s="3" t="s">
        <v>56</v>
      </c>
      <c r="F114" s="5">
        <f>DATE(106,9,18)</f>
        <v>38978</v>
      </c>
      <c r="G114" s="3" t="s">
        <v>56</v>
      </c>
      <c r="H114" s="3" t="s">
        <v>91</v>
      </c>
      <c r="I114" s="3" t="s">
        <v>341</v>
      </c>
      <c r="J114" s="3" t="s">
        <v>348</v>
      </c>
      <c r="K114" s="3" t="s">
        <v>164</v>
      </c>
      <c r="L114" s="3" t="s">
        <v>61</v>
      </c>
      <c r="M114" s="3" t="s">
        <v>72</v>
      </c>
      <c r="N114" s="7">
        <v>0</v>
      </c>
      <c r="O114" s="7">
        <v>40</v>
      </c>
      <c r="P114" s="8">
        <f t="shared" si="1"/>
        <v>40</v>
      </c>
    </row>
    <row r="115" spans="1:16" ht="12.75">
      <c r="A115" s="3" t="s">
        <v>353</v>
      </c>
      <c r="B115" s="3" t="s">
        <v>354</v>
      </c>
      <c r="C115" s="4">
        <v>35</v>
      </c>
      <c r="D115" s="5">
        <f>DATE(106,9,19)</f>
        <v>38979</v>
      </c>
      <c r="E115" s="3" t="s">
        <v>56</v>
      </c>
      <c r="F115" s="5">
        <f>DATE(106,11,6)</f>
        <v>39027</v>
      </c>
      <c r="G115" s="3" t="s">
        <v>56</v>
      </c>
      <c r="H115" s="3" t="s">
        <v>91</v>
      </c>
      <c r="I115" s="3" t="s">
        <v>341</v>
      </c>
      <c r="J115" s="3" t="s">
        <v>348</v>
      </c>
      <c r="K115" s="3" t="s">
        <v>164</v>
      </c>
      <c r="L115" s="3" t="s">
        <v>61</v>
      </c>
      <c r="M115" s="3" t="s">
        <v>72</v>
      </c>
      <c r="N115" s="7">
        <v>0</v>
      </c>
      <c r="O115" s="7">
        <v>16</v>
      </c>
      <c r="P115" s="8">
        <f t="shared" si="1"/>
        <v>16</v>
      </c>
    </row>
    <row r="116" spans="1:16" ht="12.75">
      <c r="A116" s="3" t="s">
        <v>361</v>
      </c>
      <c r="B116" s="3" t="s">
        <v>362</v>
      </c>
      <c r="C116" s="4">
        <v>0</v>
      </c>
      <c r="D116" s="5"/>
      <c r="E116" s="3" t="s">
        <v>56</v>
      </c>
      <c r="F116" s="5">
        <f>DATE(106,10,2)</f>
        <v>38992</v>
      </c>
      <c r="G116" s="3" t="s">
        <v>56</v>
      </c>
      <c r="H116" s="3" t="s">
        <v>91</v>
      </c>
      <c r="I116" s="3" t="s">
        <v>341</v>
      </c>
      <c r="J116" s="3" t="s">
        <v>360</v>
      </c>
      <c r="K116" s="3" t="s">
        <v>164</v>
      </c>
      <c r="L116" s="3" t="s">
        <v>61</v>
      </c>
      <c r="M116" s="3" t="s">
        <v>72</v>
      </c>
      <c r="N116" s="7">
        <v>0</v>
      </c>
      <c r="O116" s="7">
        <v>0</v>
      </c>
      <c r="P116" s="8">
        <f t="shared" si="1"/>
        <v>0</v>
      </c>
    </row>
    <row r="117" spans="1:16" ht="12.75">
      <c r="A117" s="3" t="s">
        <v>363</v>
      </c>
      <c r="B117" s="3" t="s">
        <v>364</v>
      </c>
      <c r="C117" s="4">
        <v>50</v>
      </c>
      <c r="D117" s="5">
        <f>DATE(106,8,21)</f>
        <v>38950</v>
      </c>
      <c r="E117" s="3" t="s">
        <v>56</v>
      </c>
      <c r="F117" s="5">
        <f>DATE(106,10,30)</f>
        <v>39020</v>
      </c>
      <c r="G117" s="3" t="s">
        <v>56</v>
      </c>
      <c r="H117" s="3" t="s">
        <v>91</v>
      </c>
      <c r="I117" s="3" t="s">
        <v>341</v>
      </c>
      <c r="J117" s="3" t="s">
        <v>360</v>
      </c>
      <c r="K117" s="3" t="s">
        <v>164</v>
      </c>
      <c r="L117" s="3" t="s">
        <v>61</v>
      </c>
      <c r="M117" s="3" t="s">
        <v>72</v>
      </c>
      <c r="N117" s="7">
        <v>0</v>
      </c>
      <c r="O117" s="7">
        <v>120</v>
      </c>
      <c r="P117" s="8">
        <f t="shared" si="1"/>
        <v>120</v>
      </c>
    </row>
    <row r="118" spans="1:16" ht="12.75">
      <c r="A118" s="3" t="s">
        <v>370</v>
      </c>
      <c r="B118" s="3" t="s">
        <v>371</v>
      </c>
      <c r="C118" s="4">
        <v>10</v>
      </c>
      <c r="D118" s="5">
        <f>DATE(106,9,5)</f>
        <v>38965</v>
      </c>
      <c r="E118" s="3" t="s">
        <v>56</v>
      </c>
      <c r="F118" s="5">
        <f>DATE(106,9,18)</f>
        <v>38978</v>
      </c>
      <c r="G118" s="3" t="s">
        <v>56</v>
      </c>
      <c r="H118" s="3" t="s">
        <v>91</v>
      </c>
      <c r="I118" s="3" t="s">
        <v>341</v>
      </c>
      <c r="J118" s="3" t="s">
        <v>369</v>
      </c>
      <c r="K118" s="3" t="s">
        <v>164</v>
      </c>
      <c r="L118" s="3" t="s">
        <v>61</v>
      </c>
      <c r="M118" s="3" t="s">
        <v>72</v>
      </c>
      <c r="N118" s="7">
        <v>0</v>
      </c>
      <c r="O118" s="7">
        <v>40</v>
      </c>
      <c r="P118" s="8">
        <f t="shared" si="1"/>
        <v>40</v>
      </c>
    </row>
    <row r="119" spans="1:16" ht="12.75">
      <c r="A119" s="3" t="s">
        <v>373</v>
      </c>
      <c r="B119" s="3" t="s">
        <v>374</v>
      </c>
      <c r="C119" s="4">
        <v>30</v>
      </c>
      <c r="D119" s="5">
        <f>DATE(106,9,19)</f>
        <v>38979</v>
      </c>
      <c r="E119" s="3" t="s">
        <v>56</v>
      </c>
      <c r="F119" s="5">
        <f>DATE(106,10,30)</f>
        <v>39020</v>
      </c>
      <c r="G119" s="3" t="s">
        <v>56</v>
      </c>
      <c r="H119" s="3" t="s">
        <v>91</v>
      </c>
      <c r="I119" s="3" t="s">
        <v>341</v>
      </c>
      <c r="J119" s="3" t="s">
        <v>369</v>
      </c>
      <c r="K119" s="3" t="s">
        <v>164</v>
      </c>
      <c r="L119" s="3" t="s">
        <v>61</v>
      </c>
      <c r="M119" s="3" t="s">
        <v>72</v>
      </c>
      <c r="N119" s="7">
        <v>0</v>
      </c>
      <c r="O119" s="7">
        <v>20</v>
      </c>
      <c r="P119" s="8">
        <f t="shared" si="1"/>
        <v>20</v>
      </c>
    </row>
    <row r="120" spans="1:16" ht="12.75">
      <c r="A120" s="3" t="s">
        <v>314</v>
      </c>
      <c r="B120" s="3" t="s">
        <v>315</v>
      </c>
      <c r="C120" s="4">
        <v>350</v>
      </c>
      <c r="D120" s="5">
        <f>DATE(105,10,1)</f>
        <v>38626</v>
      </c>
      <c r="E120" s="3" t="s">
        <v>55</v>
      </c>
      <c r="F120" s="5">
        <f>DATE(107,3,1)</f>
        <v>39142</v>
      </c>
      <c r="G120" s="3" t="s">
        <v>56</v>
      </c>
      <c r="H120" s="3" t="s">
        <v>91</v>
      </c>
      <c r="I120" s="3" t="s">
        <v>316</v>
      </c>
      <c r="J120" s="3" t="s">
        <v>317</v>
      </c>
      <c r="K120" s="3" t="s">
        <v>81</v>
      </c>
      <c r="L120" s="3" t="s">
        <v>67</v>
      </c>
      <c r="M120" s="3" t="s">
        <v>318</v>
      </c>
      <c r="N120" s="7">
        <v>376.96</v>
      </c>
      <c r="O120" s="7">
        <v>640</v>
      </c>
      <c r="P120" s="8">
        <f t="shared" si="1"/>
        <v>263.04</v>
      </c>
    </row>
    <row r="121" spans="1:16" ht="12.75">
      <c r="A121" s="3" t="s">
        <v>241</v>
      </c>
      <c r="B121" s="3" t="s">
        <v>242</v>
      </c>
      <c r="C121" s="4">
        <v>127</v>
      </c>
      <c r="D121" s="5">
        <f>DATE(106,3,3)</f>
        <v>38779</v>
      </c>
      <c r="E121" s="3" t="s">
        <v>55</v>
      </c>
      <c r="F121" s="5">
        <f>DATE(106,8,30)</f>
        <v>38959</v>
      </c>
      <c r="G121" s="3" t="s">
        <v>56</v>
      </c>
      <c r="H121" s="3" t="s">
        <v>91</v>
      </c>
      <c r="I121" s="3" t="s">
        <v>243</v>
      </c>
      <c r="J121" s="3" t="s">
        <v>244</v>
      </c>
      <c r="K121" s="3" t="s">
        <v>245</v>
      </c>
      <c r="L121" s="3" t="s">
        <v>61</v>
      </c>
      <c r="M121" s="3" t="s">
        <v>246</v>
      </c>
      <c r="N121" s="7">
        <v>32</v>
      </c>
      <c r="O121" s="7">
        <v>40</v>
      </c>
      <c r="P121" s="8">
        <f t="shared" si="1"/>
        <v>8</v>
      </c>
    </row>
    <row r="122" spans="1:16" ht="12.75">
      <c r="A122" s="3" t="s">
        <v>249</v>
      </c>
      <c r="B122" s="3" t="s">
        <v>250</v>
      </c>
      <c r="C122" s="4">
        <v>86</v>
      </c>
      <c r="D122" s="5">
        <f>DATE(106,5,1)</f>
        <v>38838</v>
      </c>
      <c r="E122" s="3" t="s">
        <v>55</v>
      </c>
      <c r="F122" s="5">
        <f>DATE(106,8,30)</f>
        <v>38959</v>
      </c>
      <c r="G122" s="3" t="s">
        <v>56</v>
      </c>
      <c r="H122" s="3" t="s">
        <v>91</v>
      </c>
      <c r="I122" s="3" t="s">
        <v>243</v>
      </c>
      <c r="J122" s="3" t="s">
        <v>244</v>
      </c>
      <c r="K122" s="3" t="s">
        <v>251</v>
      </c>
      <c r="L122" s="3" t="s">
        <v>61</v>
      </c>
      <c r="M122" s="3" t="s">
        <v>246</v>
      </c>
      <c r="N122" s="7">
        <v>10</v>
      </c>
      <c r="O122" s="7">
        <v>20</v>
      </c>
      <c r="P122" s="8">
        <f t="shared" si="1"/>
        <v>10</v>
      </c>
    </row>
    <row r="123" spans="1:16" ht="12.75">
      <c r="A123" s="3" t="s">
        <v>254</v>
      </c>
      <c r="B123" s="3" t="s">
        <v>255</v>
      </c>
      <c r="C123" s="4">
        <v>177</v>
      </c>
      <c r="D123" s="5">
        <f>DATE(105,12,3)</f>
        <v>38689</v>
      </c>
      <c r="E123" s="3" t="s">
        <v>55</v>
      </c>
      <c r="F123" s="5">
        <f>DATE(106,8,18)</f>
        <v>38947</v>
      </c>
      <c r="G123" s="3" t="s">
        <v>56</v>
      </c>
      <c r="H123" s="3" t="s">
        <v>91</v>
      </c>
      <c r="I123" s="3" t="s">
        <v>243</v>
      </c>
      <c r="J123" s="3" t="s">
        <v>244</v>
      </c>
      <c r="K123" s="3" t="s">
        <v>251</v>
      </c>
      <c r="L123" s="3" t="s">
        <v>61</v>
      </c>
      <c r="M123" s="3" t="s">
        <v>246</v>
      </c>
      <c r="N123" s="7">
        <v>16</v>
      </c>
      <c r="O123" s="7">
        <v>20</v>
      </c>
      <c r="P123" s="8">
        <f t="shared" si="1"/>
        <v>4</v>
      </c>
    </row>
    <row r="124" spans="1:16" ht="12.75">
      <c r="A124" s="3" t="s">
        <v>256</v>
      </c>
      <c r="B124" s="3" t="s">
        <v>257</v>
      </c>
      <c r="C124" s="4">
        <v>177</v>
      </c>
      <c r="D124" s="5">
        <f>DATE(105,12,3)</f>
        <v>38689</v>
      </c>
      <c r="E124" s="3" t="s">
        <v>55</v>
      </c>
      <c r="F124" s="5">
        <f>DATE(106,8,18)</f>
        <v>38947</v>
      </c>
      <c r="G124" s="3" t="s">
        <v>56</v>
      </c>
      <c r="H124" s="3" t="s">
        <v>91</v>
      </c>
      <c r="I124" s="3" t="s">
        <v>243</v>
      </c>
      <c r="J124" s="3" t="s">
        <v>244</v>
      </c>
      <c r="K124" s="3" t="s">
        <v>251</v>
      </c>
      <c r="L124" s="3" t="s">
        <v>61</v>
      </c>
      <c r="M124" s="3" t="s">
        <v>246</v>
      </c>
      <c r="N124" s="7">
        <v>32</v>
      </c>
      <c r="O124" s="7">
        <v>40</v>
      </c>
      <c r="P124" s="8">
        <f t="shared" si="1"/>
        <v>8</v>
      </c>
    </row>
    <row r="125" spans="1:16" ht="12.75">
      <c r="A125" s="3" t="s">
        <v>260</v>
      </c>
      <c r="B125" s="3" t="s">
        <v>261</v>
      </c>
      <c r="C125" s="4">
        <v>148</v>
      </c>
      <c r="D125" s="5">
        <f>DATE(106,3,3)</f>
        <v>38779</v>
      </c>
      <c r="E125" s="3" t="s">
        <v>55</v>
      </c>
      <c r="F125" s="5">
        <f>DATE(106,9,29)</f>
        <v>38989</v>
      </c>
      <c r="G125" s="3" t="s">
        <v>56</v>
      </c>
      <c r="H125" s="3" t="s">
        <v>91</v>
      </c>
      <c r="I125" s="3" t="s">
        <v>243</v>
      </c>
      <c r="J125" s="3" t="s">
        <v>244</v>
      </c>
      <c r="K125" s="3" t="s">
        <v>251</v>
      </c>
      <c r="L125" s="3" t="s">
        <v>61</v>
      </c>
      <c r="M125" s="3" t="s">
        <v>246</v>
      </c>
      <c r="N125" s="7">
        <v>10</v>
      </c>
      <c r="O125" s="7">
        <v>20</v>
      </c>
      <c r="P125" s="8">
        <f t="shared" si="1"/>
        <v>10</v>
      </c>
    </row>
    <row r="126" spans="1:16" ht="12.75">
      <c r="A126" s="3" t="s">
        <v>262</v>
      </c>
      <c r="B126" s="3" t="s">
        <v>263</v>
      </c>
      <c r="C126" s="4">
        <v>147</v>
      </c>
      <c r="D126" s="5">
        <f>DATE(106,3,3)</f>
        <v>38779</v>
      </c>
      <c r="E126" s="3" t="s">
        <v>55</v>
      </c>
      <c r="F126" s="5">
        <f>DATE(106,9,28)</f>
        <v>38988</v>
      </c>
      <c r="G126" s="3" t="s">
        <v>56</v>
      </c>
      <c r="H126" s="3" t="s">
        <v>91</v>
      </c>
      <c r="I126" s="3" t="s">
        <v>243</v>
      </c>
      <c r="J126" s="3" t="s">
        <v>244</v>
      </c>
      <c r="K126" s="3" t="s">
        <v>251</v>
      </c>
      <c r="L126" s="3" t="s">
        <v>61</v>
      </c>
      <c r="M126" s="3" t="s">
        <v>246</v>
      </c>
      <c r="N126" s="7">
        <v>12</v>
      </c>
      <c r="O126" s="7">
        <v>40</v>
      </c>
      <c r="P126" s="8">
        <f t="shared" si="1"/>
        <v>28</v>
      </c>
    </row>
    <row r="127" spans="1:16" ht="12.75">
      <c r="A127" s="3" t="s">
        <v>266</v>
      </c>
      <c r="B127" s="3" t="s">
        <v>267</v>
      </c>
      <c r="C127" s="4">
        <v>5</v>
      </c>
      <c r="D127" s="5">
        <f>DATE(106,9,15)</f>
        <v>38975</v>
      </c>
      <c r="E127" s="3" t="s">
        <v>56</v>
      </c>
      <c r="F127" s="5">
        <f>DATE(106,9,21)</f>
        <v>38981</v>
      </c>
      <c r="G127" s="3" t="s">
        <v>56</v>
      </c>
      <c r="H127" s="3" t="s">
        <v>91</v>
      </c>
      <c r="I127" s="3" t="s">
        <v>243</v>
      </c>
      <c r="J127" s="3" t="s">
        <v>244</v>
      </c>
      <c r="K127" s="3" t="s">
        <v>251</v>
      </c>
      <c r="L127" s="3" t="s">
        <v>61</v>
      </c>
      <c r="M127" s="3" t="s">
        <v>246</v>
      </c>
      <c r="N127" s="7">
        <v>0</v>
      </c>
      <c r="O127" s="7">
        <v>20</v>
      </c>
      <c r="P127" s="8">
        <f t="shared" si="1"/>
        <v>20</v>
      </c>
    </row>
    <row r="128" spans="1:16" ht="12.75">
      <c r="A128" s="3" t="s">
        <v>268</v>
      </c>
      <c r="B128" s="3" t="s">
        <v>269</v>
      </c>
      <c r="C128" s="4">
        <v>63</v>
      </c>
      <c r="D128" s="5">
        <f>DATE(106,7,3)</f>
        <v>38901</v>
      </c>
      <c r="E128" s="3" t="s">
        <v>55</v>
      </c>
      <c r="F128" s="5">
        <f>DATE(106,9,29)</f>
        <v>38989</v>
      </c>
      <c r="G128" s="3" t="s">
        <v>56</v>
      </c>
      <c r="H128" s="3" t="s">
        <v>91</v>
      </c>
      <c r="I128" s="3" t="s">
        <v>243</v>
      </c>
      <c r="J128" s="3" t="s">
        <v>244</v>
      </c>
      <c r="K128" s="3" t="s">
        <v>251</v>
      </c>
      <c r="L128" s="3" t="s">
        <v>61</v>
      </c>
      <c r="M128" s="3" t="s">
        <v>246</v>
      </c>
      <c r="N128" s="7">
        <v>10</v>
      </c>
      <c r="O128" s="7">
        <v>20</v>
      </c>
      <c r="P128" s="8">
        <f t="shared" si="1"/>
        <v>10</v>
      </c>
    </row>
    <row r="129" spans="1:16" ht="12.75">
      <c r="A129" s="3" t="s">
        <v>270</v>
      </c>
      <c r="B129" s="3" t="s">
        <v>271</v>
      </c>
      <c r="C129" s="4">
        <v>5</v>
      </c>
      <c r="D129" s="5">
        <f>DATE(106,9,15)</f>
        <v>38975</v>
      </c>
      <c r="E129" s="3" t="s">
        <v>56</v>
      </c>
      <c r="F129" s="5">
        <f>DATE(106,9,21)</f>
        <v>38981</v>
      </c>
      <c r="G129" s="3" t="s">
        <v>56</v>
      </c>
      <c r="H129" s="3" t="s">
        <v>91</v>
      </c>
      <c r="I129" s="3" t="s">
        <v>243</v>
      </c>
      <c r="J129" s="3" t="s">
        <v>244</v>
      </c>
      <c r="K129" s="3" t="s">
        <v>251</v>
      </c>
      <c r="L129" s="3" t="s">
        <v>61</v>
      </c>
      <c r="M129" s="3" t="s">
        <v>246</v>
      </c>
      <c r="N129" s="7">
        <v>0</v>
      </c>
      <c r="O129" s="7">
        <v>20</v>
      </c>
      <c r="P129" s="8">
        <f t="shared" si="1"/>
        <v>20</v>
      </c>
    </row>
    <row r="130" spans="1:16" ht="12.75">
      <c r="A130" s="3" t="s">
        <v>286</v>
      </c>
      <c r="B130" s="3" t="s">
        <v>261</v>
      </c>
      <c r="C130" s="4">
        <v>5</v>
      </c>
      <c r="D130" s="5">
        <f>DATE(106,8,28)</f>
        <v>38957</v>
      </c>
      <c r="E130" s="3" t="s">
        <v>56</v>
      </c>
      <c r="F130" s="5">
        <f>DATE(106,9,1)</f>
        <v>38961</v>
      </c>
      <c r="G130" s="3" t="s">
        <v>56</v>
      </c>
      <c r="H130" s="3" t="s">
        <v>91</v>
      </c>
      <c r="I130" s="3" t="s">
        <v>243</v>
      </c>
      <c r="J130" s="3" t="s">
        <v>284</v>
      </c>
      <c r="K130" s="3" t="s">
        <v>164</v>
      </c>
      <c r="L130" s="3" t="s">
        <v>61</v>
      </c>
      <c r="M130" s="3" t="s">
        <v>246</v>
      </c>
      <c r="N130" s="7">
        <v>0</v>
      </c>
      <c r="O130" s="7">
        <v>19.99</v>
      </c>
      <c r="P130" s="8">
        <f aca="true" t="shared" si="2" ref="P130:P193">+O130-N130</f>
        <v>19.99</v>
      </c>
    </row>
    <row r="131" spans="1:16" ht="12.75">
      <c r="A131" s="3" t="s">
        <v>287</v>
      </c>
      <c r="B131" s="3" t="s">
        <v>263</v>
      </c>
      <c r="C131" s="4">
        <v>5</v>
      </c>
      <c r="D131" s="5">
        <f>DATE(106,9,5)</f>
        <v>38965</v>
      </c>
      <c r="E131" s="3" t="s">
        <v>56</v>
      </c>
      <c r="F131" s="5">
        <f>DATE(106,9,11)</f>
        <v>38971</v>
      </c>
      <c r="G131" s="3" t="s">
        <v>56</v>
      </c>
      <c r="H131" s="3" t="s">
        <v>91</v>
      </c>
      <c r="I131" s="3" t="s">
        <v>243</v>
      </c>
      <c r="J131" s="3" t="s">
        <v>284</v>
      </c>
      <c r="K131" s="3" t="s">
        <v>164</v>
      </c>
      <c r="L131" s="3" t="s">
        <v>61</v>
      </c>
      <c r="M131" s="3" t="s">
        <v>246</v>
      </c>
      <c r="N131" s="7">
        <v>0</v>
      </c>
      <c r="O131" s="7">
        <v>40</v>
      </c>
      <c r="P131" s="8">
        <f t="shared" si="2"/>
        <v>40</v>
      </c>
    </row>
    <row r="132" spans="1:16" ht="12.75">
      <c r="A132" s="3" t="s">
        <v>289</v>
      </c>
      <c r="B132" s="3" t="s">
        <v>267</v>
      </c>
      <c r="C132" s="4">
        <v>5</v>
      </c>
      <c r="D132" s="5">
        <f>DATE(106,8,4)</f>
        <v>38933</v>
      </c>
      <c r="E132" s="3" t="s">
        <v>56</v>
      </c>
      <c r="F132" s="5">
        <f>DATE(106,8,10)</f>
        <v>38939</v>
      </c>
      <c r="G132" s="3" t="s">
        <v>56</v>
      </c>
      <c r="H132" s="3" t="s">
        <v>91</v>
      </c>
      <c r="I132" s="3" t="s">
        <v>243</v>
      </c>
      <c r="J132" s="3" t="s">
        <v>284</v>
      </c>
      <c r="K132" s="3" t="s">
        <v>164</v>
      </c>
      <c r="L132" s="3" t="s">
        <v>61</v>
      </c>
      <c r="M132" s="3" t="s">
        <v>246</v>
      </c>
      <c r="N132" s="7">
        <v>0</v>
      </c>
      <c r="O132" s="7">
        <v>19.99</v>
      </c>
      <c r="P132" s="8">
        <f t="shared" si="2"/>
        <v>19.99</v>
      </c>
    </row>
    <row r="133" spans="1:16" ht="12.75">
      <c r="A133" s="3" t="s">
        <v>290</v>
      </c>
      <c r="B133" s="3" t="s">
        <v>269</v>
      </c>
      <c r="C133" s="4">
        <v>5</v>
      </c>
      <c r="D133" s="5">
        <f>DATE(106,8,11)</f>
        <v>38940</v>
      </c>
      <c r="E133" s="3" t="s">
        <v>56</v>
      </c>
      <c r="F133" s="5">
        <f>DATE(106,8,17)</f>
        <v>38946</v>
      </c>
      <c r="G133" s="3" t="s">
        <v>56</v>
      </c>
      <c r="H133" s="3" t="s">
        <v>91</v>
      </c>
      <c r="I133" s="3" t="s">
        <v>243</v>
      </c>
      <c r="J133" s="3" t="s">
        <v>284</v>
      </c>
      <c r="K133" s="3" t="s">
        <v>164</v>
      </c>
      <c r="L133" s="3" t="s">
        <v>61</v>
      </c>
      <c r="M133" s="3" t="s">
        <v>246</v>
      </c>
      <c r="N133" s="7">
        <v>0</v>
      </c>
      <c r="O133" s="7">
        <v>19.99</v>
      </c>
      <c r="P133" s="8">
        <f t="shared" si="2"/>
        <v>19.99</v>
      </c>
    </row>
    <row r="134" spans="1:16" ht="12.75">
      <c r="A134" s="3" t="s">
        <v>291</v>
      </c>
      <c r="B134" s="3" t="s">
        <v>271</v>
      </c>
      <c r="C134" s="4">
        <v>5</v>
      </c>
      <c r="D134" s="5">
        <f>DATE(106,8,18)</f>
        <v>38947</v>
      </c>
      <c r="E134" s="3" t="s">
        <v>56</v>
      </c>
      <c r="F134" s="5">
        <f>DATE(106,8,24)</f>
        <v>38953</v>
      </c>
      <c r="G134" s="3" t="s">
        <v>56</v>
      </c>
      <c r="H134" s="3" t="s">
        <v>91</v>
      </c>
      <c r="I134" s="3" t="s">
        <v>243</v>
      </c>
      <c r="J134" s="3" t="s">
        <v>284</v>
      </c>
      <c r="K134" s="3" t="s">
        <v>164</v>
      </c>
      <c r="L134" s="3" t="s">
        <v>61</v>
      </c>
      <c r="M134" s="3" t="s">
        <v>246</v>
      </c>
      <c r="N134" s="7">
        <v>0</v>
      </c>
      <c r="O134" s="7">
        <v>19.99</v>
      </c>
      <c r="P134" s="8">
        <f t="shared" si="2"/>
        <v>19.99</v>
      </c>
    </row>
    <row r="135" spans="1:16" ht="12.75">
      <c r="A135" s="3" t="s">
        <v>304</v>
      </c>
      <c r="B135" s="3" t="s">
        <v>255</v>
      </c>
      <c r="C135" s="4">
        <v>148</v>
      </c>
      <c r="D135" s="5">
        <f>DATE(106,3,3)</f>
        <v>38779</v>
      </c>
      <c r="E135" s="3" t="s">
        <v>55</v>
      </c>
      <c r="F135" s="5">
        <f>DATE(106,9,29)</f>
        <v>38989</v>
      </c>
      <c r="G135" s="3" t="s">
        <v>56</v>
      </c>
      <c r="H135" s="3" t="s">
        <v>91</v>
      </c>
      <c r="I135" s="3" t="s">
        <v>243</v>
      </c>
      <c r="J135" s="3" t="s">
        <v>284</v>
      </c>
      <c r="K135" s="3" t="s">
        <v>305</v>
      </c>
      <c r="L135" s="3" t="s">
        <v>61</v>
      </c>
      <c r="M135" s="3" t="s">
        <v>246</v>
      </c>
      <c r="N135" s="7">
        <v>9.995</v>
      </c>
      <c r="O135" s="7">
        <v>19.99</v>
      </c>
      <c r="P135" s="8">
        <f t="shared" si="2"/>
        <v>9.995</v>
      </c>
    </row>
    <row r="136" spans="1:16" ht="12.75">
      <c r="A136" s="3" t="s">
        <v>306</v>
      </c>
      <c r="B136" s="3" t="s">
        <v>257</v>
      </c>
      <c r="C136" s="4">
        <v>148</v>
      </c>
      <c r="D136" s="5">
        <f>DATE(106,3,3)</f>
        <v>38779</v>
      </c>
      <c r="E136" s="3" t="s">
        <v>55</v>
      </c>
      <c r="F136" s="5">
        <f>DATE(106,9,29)</f>
        <v>38989</v>
      </c>
      <c r="G136" s="3" t="s">
        <v>56</v>
      </c>
      <c r="H136" s="3" t="s">
        <v>91</v>
      </c>
      <c r="I136" s="3" t="s">
        <v>243</v>
      </c>
      <c r="J136" s="3" t="s">
        <v>284</v>
      </c>
      <c r="K136" s="3" t="s">
        <v>305</v>
      </c>
      <c r="L136" s="3" t="s">
        <v>61</v>
      </c>
      <c r="M136" s="3" t="s">
        <v>246</v>
      </c>
      <c r="N136" s="7">
        <v>20</v>
      </c>
      <c r="O136" s="7">
        <v>40</v>
      </c>
      <c r="P136" s="8">
        <f t="shared" si="2"/>
        <v>20</v>
      </c>
    </row>
    <row r="137" spans="1:16" ht="12.75">
      <c r="A137" s="3" t="s">
        <v>307</v>
      </c>
      <c r="B137" s="3" t="s">
        <v>242</v>
      </c>
      <c r="C137" s="4">
        <v>118</v>
      </c>
      <c r="D137" s="5">
        <f>DATE(106,3,11)</f>
        <v>38787</v>
      </c>
      <c r="E137" s="3" t="s">
        <v>55</v>
      </c>
      <c r="F137" s="5">
        <f>DATE(106,8,25)</f>
        <v>38954</v>
      </c>
      <c r="G137" s="3" t="s">
        <v>56</v>
      </c>
      <c r="H137" s="3" t="s">
        <v>91</v>
      </c>
      <c r="I137" s="3" t="s">
        <v>243</v>
      </c>
      <c r="J137" s="3" t="s">
        <v>284</v>
      </c>
      <c r="K137" s="3" t="s">
        <v>81</v>
      </c>
      <c r="L137" s="3" t="s">
        <v>61</v>
      </c>
      <c r="M137" s="3" t="s">
        <v>246</v>
      </c>
      <c r="N137" s="7">
        <v>20</v>
      </c>
      <c r="O137" s="7">
        <v>40</v>
      </c>
      <c r="P137" s="8">
        <f t="shared" si="2"/>
        <v>20</v>
      </c>
    </row>
    <row r="138" spans="1:16" ht="12.75">
      <c r="A138" s="3" t="s">
        <v>312</v>
      </c>
      <c r="B138" s="3" t="s">
        <v>250</v>
      </c>
      <c r="C138" s="4">
        <v>5</v>
      </c>
      <c r="D138" s="5">
        <f>DATE(106,8,1)</f>
        <v>38930</v>
      </c>
      <c r="E138" s="3" t="s">
        <v>56</v>
      </c>
      <c r="F138" s="5">
        <f>DATE(106,8,7)</f>
        <v>38936</v>
      </c>
      <c r="G138" s="3" t="s">
        <v>56</v>
      </c>
      <c r="H138" s="3" t="s">
        <v>91</v>
      </c>
      <c r="I138" s="3" t="s">
        <v>243</v>
      </c>
      <c r="J138" s="3" t="s">
        <v>284</v>
      </c>
      <c r="K138" s="3" t="s">
        <v>81</v>
      </c>
      <c r="L138" s="3" t="s">
        <v>61</v>
      </c>
      <c r="M138" s="3" t="s">
        <v>246</v>
      </c>
      <c r="N138" s="7">
        <v>0</v>
      </c>
      <c r="O138" s="7">
        <v>19.99</v>
      </c>
      <c r="P138" s="8">
        <f t="shared" si="2"/>
        <v>19.99</v>
      </c>
    </row>
    <row r="139" spans="1:16" ht="12.75">
      <c r="A139" s="3" t="s">
        <v>384</v>
      </c>
      <c r="B139" s="3" t="s">
        <v>354</v>
      </c>
      <c r="C139" s="4">
        <v>30</v>
      </c>
      <c r="D139" s="5">
        <f>DATE(106,9,12)</f>
        <v>38972</v>
      </c>
      <c r="E139" s="3" t="s">
        <v>56</v>
      </c>
      <c r="F139" s="5">
        <f>DATE(106,10,23)</f>
        <v>39013</v>
      </c>
      <c r="G139" s="3" t="s">
        <v>56</v>
      </c>
      <c r="H139" s="3" t="s">
        <v>91</v>
      </c>
      <c r="I139" s="3" t="s">
        <v>341</v>
      </c>
      <c r="J139" s="3" t="s">
        <v>379</v>
      </c>
      <c r="K139" s="3" t="s">
        <v>164</v>
      </c>
      <c r="L139" s="3" t="s">
        <v>61</v>
      </c>
      <c r="M139" s="3" t="s">
        <v>246</v>
      </c>
      <c r="N139" s="7">
        <v>0</v>
      </c>
      <c r="O139" s="7">
        <v>240</v>
      </c>
      <c r="P139" s="8">
        <f t="shared" si="2"/>
        <v>240</v>
      </c>
    </row>
    <row r="140" spans="1:16" ht="12.75">
      <c r="A140" s="3" t="s">
        <v>393</v>
      </c>
      <c r="B140" s="3" t="s">
        <v>394</v>
      </c>
      <c r="C140" s="4">
        <v>20</v>
      </c>
      <c r="D140" s="5">
        <f>DATE(106,11,20)</f>
        <v>39041</v>
      </c>
      <c r="E140" s="3" t="s">
        <v>56</v>
      </c>
      <c r="F140" s="5">
        <f>DATE(106,12,19)</f>
        <v>39070</v>
      </c>
      <c r="G140" s="3" t="s">
        <v>56</v>
      </c>
      <c r="H140" s="3" t="s">
        <v>91</v>
      </c>
      <c r="I140" s="3" t="s">
        <v>341</v>
      </c>
      <c r="J140" s="3" t="s">
        <v>388</v>
      </c>
      <c r="K140" s="3" t="s">
        <v>164</v>
      </c>
      <c r="L140" s="3" t="s">
        <v>61</v>
      </c>
      <c r="M140" s="3" t="s">
        <v>246</v>
      </c>
      <c r="N140" s="7">
        <v>0</v>
      </c>
      <c r="O140" s="7">
        <v>160</v>
      </c>
      <c r="P140" s="8">
        <f t="shared" si="2"/>
        <v>160</v>
      </c>
    </row>
    <row r="141" spans="1:16" ht="12.75">
      <c r="A141" s="3" t="s">
        <v>405</v>
      </c>
      <c r="B141" s="3" t="s">
        <v>354</v>
      </c>
      <c r="C141" s="4">
        <v>25</v>
      </c>
      <c r="D141" s="5">
        <f>DATE(106,10,9)</f>
        <v>38999</v>
      </c>
      <c r="E141" s="3" t="s">
        <v>56</v>
      </c>
      <c r="F141" s="5">
        <f>DATE(106,11,10)</f>
        <v>39031</v>
      </c>
      <c r="G141" s="3" t="s">
        <v>56</v>
      </c>
      <c r="H141" s="3" t="s">
        <v>91</v>
      </c>
      <c r="I141" s="3" t="s">
        <v>341</v>
      </c>
      <c r="J141" s="3" t="s">
        <v>401</v>
      </c>
      <c r="K141" s="3" t="s">
        <v>164</v>
      </c>
      <c r="L141" s="3" t="s">
        <v>61</v>
      </c>
      <c r="M141" s="3" t="s">
        <v>246</v>
      </c>
      <c r="N141" s="7">
        <v>0</v>
      </c>
      <c r="O141" s="7">
        <v>80</v>
      </c>
      <c r="P141" s="8">
        <f t="shared" si="2"/>
        <v>80</v>
      </c>
    </row>
    <row r="142" spans="1:16" ht="12.75">
      <c r="A142" s="3" t="s">
        <v>109</v>
      </c>
      <c r="B142" s="3" t="s">
        <v>110</v>
      </c>
      <c r="C142" s="4">
        <v>65</v>
      </c>
      <c r="D142" s="5">
        <f>DATE(107,8,3)</f>
        <v>39297</v>
      </c>
      <c r="E142" s="3" t="s">
        <v>56</v>
      </c>
      <c r="F142" s="5">
        <f>DATE(107,11,2)</f>
        <v>39388</v>
      </c>
      <c r="G142" s="3" t="s">
        <v>56</v>
      </c>
      <c r="H142" s="3" t="s">
        <v>57</v>
      </c>
      <c r="I142" s="3" t="s">
        <v>89</v>
      </c>
      <c r="J142" s="3" t="s">
        <v>106</v>
      </c>
      <c r="K142" s="3" t="s">
        <v>103</v>
      </c>
      <c r="L142" s="3" t="s">
        <v>111</v>
      </c>
      <c r="M142" s="3" t="s">
        <v>415</v>
      </c>
      <c r="N142" s="7">
        <v>0</v>
      </c>
      <c r="O142" s="7">
        <v>59.67</v>
      </c>
      <c r="P142" s="8">
        <f t="shared" si="2"/>
        <v>59.67</v>
      </c>
    </row>
    <row r="143" spans="1:16" ht="12.75">
      <c r="A143" s="3" t="s">
        <v>412</v>
      </c>
      <c r="B143" s="3" t="s">
        <v>413</v>
      </c>
      <c r="C143" s="4">
        <v>35</v>
      </c>
      <c r="D143" s="5">
        <f>DATE(106,12,21)</f>
        <v>39072</v>
      </c>
      <c r="E143" s="3" t="s">
        <v>56</v>
      </c>
      <c r="F143" s="5">
        <f>DATE(107,2,15)</f>
        <v>39128</v>
      </c>
      <c r="G143" s="3" t="s">
        <v>56</v>
      </c>
      <c r="H143" s="3" t="s">
        <v>91</v>
      </c>
      <c r="I143" s="3" t="s">
        <v>409</v>
      </c>
      <c r="J143" s="3" t="s">
        <v>360</v>
      </c>
      <c r="K143" s="3" t="s">
        <v>414</v>
      </c>
      <c r="L143" s="3" t="s">
        <v>168</v>
      </c>
      <c r="M143" s="3" t="s">
        <v>415</v>
      </c>
      <c r="N143" s="7">
        <v>0</v>
      </c>
      <c r="O143" s="7">
        <v>60</v>
      </c>
      <c r="P143" s="8">
        <f t="shared" si="2"/>
        <v>60</v>
      </c>
    </row>
    <row r="144" spans="1:16" ht="12.75">
      <c r="A144" s="3" t="s">
        <v>425</v>
      </c>
      <c r="B144" s="3" t="s">
        <v>426</v>
      </c>
      <c r="C144" s="4">
        <v>60</v>
      </c>
      <c r="D144" s="5">
        <f>DATE(106,10,24)</f>
        <v>39014</v>
      </c>
      <c r="E144" s="3" t="s">
        <v>56</v>
      </c>
      <c r="F144" s="5">
        <f>DATE(107,1,25)</f>
        <v>39107</v>
      </c>
      <c r="G144" s="3" t="s">
        <v>56</v>
      </c>
      <c r="H144" s="3" t="s">
        <v>91</v>
      </c>
      <c r="I144" s="3" t="s">
        <v>409</v>
      </c>
      <c r="J144" s="3" t="s">
        <v>379</v>
      </c>
      <c r="K144" s="3" t="s">
        <v>414</v>
      </c>
      <c r="L144" s="3" t="s">
        <v>168</v>
      </c>
      <c r="M144" s="3" t="s">
        <v>415</v>
      </c>
      <c r="N144" s="7">
        <v>0</v>
      </c>
      <c r="O144" s="7">
        <v>138</v>
      </c>
      <c r="P144" s="8">
        <f t="shared" si="2"/>
        <v>138</v>
      </c>
    </row>
    <row r="145" spans="1:16" ht="12.75">
      <c r="A145" s="3" t="s">
        <v>427</v>
      </c>
      <c r="B145" s="3" t="s">
        <v>428</v>
      </c>
      <c r="C145" s="4">
        <v>60</v>
      </c>
      <c r="D145" s="5">
        <f>DATE(106,10,24)</f>
        <v>39014</v>
      </c>
      <c r="E145" s="3" t="s">
        <v>56</v>
      </c>
      <c r="F145" s="5">
        <f>DATE(107,1,25)</f>
        <v>39107</v>
      </c>
      <c r="G145" s="3" t="s">
        <v>56</v>
      </c>
      <c r="H145" s="3" t="s">
        <v>91</v>
      </c>
      <c r="I145" s="3" t="s">
        <v>409</v>
      </c>
      <c r="J145" s="3" t="s">
        <v>379</v>
      </c>
      <c r="K145" s="3" t="s">
        <v>414</v>
      </c>
      <c r="L145" s="3" t="s">
        <v>168</v>
      </c>
      <c r="M145" s="3" t="s">
        <v>415</v>
      </c>
      <c r="N145" s="7">
        <v>0</v>
      </c>
      <c r="O145" s="7">
        <v>52</v>
      </c>
      <c r="P145" s="8">
        <f t="shared" si="2"/>
        <v>52</v>
      </c>
    </row>
    <row r="146" spans="1:16" ht="12.75">
      <c r="A146" s="3" t="s">
        <v>429</v>
      </c>
      <c r="B146" s="3" t="s">
        <v>430</v>
      </c>
      <c r="C146" s="4">
        <v>50</v>
      </c>
      <c r="D146" s="5">
        <f>DATE(106,11,13)</f>
        <v>39034</v>
      </c>
      <c r="E146" s="3" t="s">
        <v>56</v>
      </c>
      <c r="F146" s="5">
        <f>DATE(107,1,31)</f>
        <v>39113</v>
      </c>
      <c r="G146" s="3" t="s">
        <v>56</v>
      </c>
      <c r="H146" s="3" t="s">
        <v>91</v>
      </c>
      <c r="I146" s="3" t="s">
        <v>409</v>
      </c>
      <c r="J146" s="3" t="s">
        <v>388</v>
      </c>
      <c r="K146" s="3" t="s">
        <v>414</v>
      </c>
      <c r="L146" s="3" t="s">
        <v>168</v>
      </c>
      <c r="M146" s="3" t="s">
        <v>415</v>
      </c>
      <c r="N146" s="7">
        <v>0</v>
      </c>
      <c r="O146" s="7">
        <v>449</v>
      </c>
      <c r="P146" s="8">
        <f t="shared" si="2"/>
        <v>449</v>
      </c>
    </row>
    <row r="147" spans="1:16" ht="12.75">
      <c r="A147" s="3" t="s">
        <v>353</v>
      </c>
      <c r="B147" s="3" t="s">
        <v>354</v>
      </c>
      <c r="C147" s="4">
        <v>35</v>
      </c>
      <c r="D147" s="5">
        <f>DATE(106,9,19)</f>
        <v>38979</v>
      </c>
      <c r="E147" s="3" t="s">
        <v>56</v>
      </c>
      <c r="F147" s="5">
        <f>DATE(106,11,6)</f>
        <v>39027</v>
      </c>
      <c r="G147" s="3" t="s">
        <v>56</v>
      </c>
      <c r="H147" s="3" t="s">
        <v>91</v>
      </c>
      <c r="I147" s="3" t="s">
        <v>341</v>
      </c>
      <c r="J147" s="3" t="s">
        <v>348</v>
      </c>
      <c r="K147" s="3" t="s">
        <v>164</v>
      </c>
      <c r="L147" s="3" t="s">
        <v>61</v>
      </c>
      <c r="M147" s="3" t="s">
        <v>355</v>
      </c>
      <c r="N147" s="7">
        <v>0</v>
      </c>
      <c r="O147" s="7">
        <v>120</v>
      </c>
      <c r="P147" s="8">
        <f t="shared" si="2"/>
        <v>120</v>
      </c>
    </row>
    <row r="148" spans="1:16" ht="12.75">
      <c r="A148" s="3" t="s">
        <v>366</v>
      </c>
      <c r="B148" s="3" t="s">
        <v>354</v>
      </c>
      <c r="C148" s="4">
        <v>35</v>
      </c>
      <c r="D148" s="5">
        <f>DATE(106,10,31)</f>
        <v>39021</v>
      </c>
      <c r="E148" s="3" t="s">
        <v>56</v>
      </c>
      <c r="F148" s="5">
        <f>DATE(106,12,20)</f>
        <v>39071</v>
      </c>
      <c r="G148" s="3" t="s">
        <v>56</v>
      </c>
      <c r="H148" s="3" t="s">
        <v>91</v>
      </c>
      <c r="I148" s="3" t="s">
        <v>341</v>
      </c>
      <c r="J148" s="3" t="s">
        <v>360</v>
      </c>
      <c r="K148" s="3" t="s">
        <v>164</v>
      </c>
      <c r="L148" s="3" t="s">
        <v>61</v>
      </c>
      <c r="M148" s="3" t="s">
        <v>355</v>
      </c>
      <c r="N148" s="7">
        <v>0</v>
      </c>
      <c r="O148" s="7">
        <v>200</v>
      </c>
      <c r="P148" s="8">
        <f t="shared" si="2"/>
        <v>200</v>
      </c>
    </row>
    <row r="149" spans="1:16" ht="12.75">
      <c r="A149" s="3" t="s">
        <v>393</v>
      </c>
      <c r="B149" s="3" t="s">
        <v>394</v>
      </c>
      <c r="C149" s="4">
        <v>20</v>
      </c>
      <c r="D149" s="5">
        <f>DATE(106,11,20)</f>
        <v>39041</v>
      </c>
      <c r="E149" s="3" t="s">
        <v>56</v>
      </c>
      <c r="F149" s="5">
        <f>DATE(106,12,19)</f>
        <v>39070</v>
      </c>
      <c r="G149" s="3" t="s">
        <v>56</v>
      </c>
      <c r="H149" s="3" t="s">
        <v>91</v>
      </c>
      <c r="I149" s="3" t="s">
        <v>341</v>
      </c>
      <c r="J149" s="3" t="s">
        <v>388</v>
      </c>
      <c r="K149" s="3" t="s">
        <v>164</v>
      </c>
      <c r="L149" s="3" t="s">
        <v>61</v>
      </c>
      <c r="M149" s="3" t="s">
        <v>355</v>
      </c>
      <c r="N149" s="7">
        <v>0</v>
      </c>
      <c r="O149" s="7">
        <v>160</v>
      </c>
      <c r="P149" s="8">
        <f t="shared" si="2"/>
        <v>160</v>
      </c>
    </row>
    <row r="150" spans="1:16" ht="12.75">
      <c r="A150" s="3" t="s">
        <v>213</v>
      </c>
      <c r="B150" s="3" t="s">
        <v>214</v>
      </c>
      <c r="C150" s="4">
        <v>560</v>
      </c>
      <c r="D150" s="5">
        <f>DATE(104,8,2)</f>
        <v>38201</v>
      </c>
      <c r="E150" s="3" t="s">
        <v>55</v>
      </c>
      <c r="F150" s="5">
        <f>DATE(107,1,2)</f>
        <v>39084</v>
      </c>
      <c r="G150" s="3" t="s">
        <v>56</v>
      </c>
      <c r="H150" s="3" t="s">
        <v>91</v>
      </c>
      <c r="I150" s="3" t="s">
        <v>202</v>
      </c>
      <c r="J150" s="3" t="s">
        <v>203</v>
      </c>
      <c r="K150" s="3" t="s">
        <v>215</v>
      </c>
      <c r="L150" s="3" t="s">
        <v>218</v>
      </c>
      <c r="M150" s="3" t="s">
        <v>219</v>
      </c>
      <c r="N150" s="7">
        <v>4.5</v>
      </c>
      <c r="O150" s="7">
        <v>5</v>
      </c>
      <c r="P150" s="8">
        <f t="shared" si="2"/>
        <v>0.5</v>
      </c>
    </row>
    <row r="151" spans="1:16" ht="12.75">
      <c r="A151" s="3" t="s">
        <v>213</v>
      </c>
      <c r="B151" s="3" t="s">
        <v>214</v>
      </c>
      <c r="C151" s="4">
        <v>560</v>
      </c>
      <c r="D151" s="5">
        <f>DATE(104,8,2)</f>
        <v>38201</v>
      </c>
      <c r="E151" s="3" t="s">
        <v>55</v>
      </c>
      <c r="F151" s="5">
        <f>DATE(107,1,2)</f>
        <v>39084</v>
      </c>
      <c r="G151" s="3" t="s">
        <v>56</v>
      </c>
      <c r="H151" s="3" t="s">
        <v>91</v>
      </c>
      <c r="I151" s="3" t="s">
        <v>202</v>
      </c>
      <c r="J151" s="3" t="s">
        <v>203</v>
      </c>
      <c r="K151" s="3" t="s">
        <v>215</v>
      </c>
      <c r="L151" s="3" t="s">
        <v>61</v>
      </c>
      <c r="M151" s="3" t="s">
        <v>217</v>
      </c>
      <c r="N151" s="7">
        <v>3.6</v>
      </c>
      <c r="O151" s="7">
        <v>4</v>
      </c>
      <c r="P151" s="8">
        <f t="shared" si="2"/>
        <v>0.3999999999999999</v>
      </c>
    </row>
    <row r="152" spans="1:16" ht="12.75">
      <c r="A152" s="3" t="s">
        <v>473</v>
      </c>
      <c r="B152" s="3" t="s">
        <v>474</v>
      </c>
      <c r="C152" s="4">
        <v>249</v>
      </c>
      <c r="D152" s="5">
        <f>DATE(105,10,3)</f>
        <v>38628</v>
      </c>
      <c r="E152" s="3" t="s">
        <v>55</v>
      </c>
      <c r="F152" s="5">
        <f>DATE(106,9,29)</f>
        <v>38989</v>
      </c>
      <c r="G152" s="3" t="s">
        <v>56</v>
      </c>
      <c r="H152" s="3" t="s">
        <v>185</v>
      </c>
      <c r="I152" s="3" t="s">
        <v>475</v>
      </c>
      <c r="J152" s="3" t="s">
        <v>476</v>
      </c>
      <c r="K152" s="3" t="s">
        <v>251</v>
      </c>
      <c r="L152" s="3" t="s">
        <v>61</v>
      </c>
      <c r="M152" s="3" t="s">
        <v>217</v>
      </c>
      <c r="N152" s="7">
        <v>909.7</v>
      </c>
      <c r="O152" s="7">
        <v>1100</v>
      </c>
      <c r="P152" s="8">
        <f t="shared" si="2"/>
        <v>190.29999999999995</v>
      </c>
    </row>
    <row r="153" spans="1:16" ht="12.75">
      <c r="A153" s="3" t="s">
        <v>477</v>
      </c>
      <c r="B153" s="3" t="s">
        <v>478</v>
      </c>
      <c r="C153" s="4">
        <v>247</v>
      </c>
      <c r="D153" s="5">
        <f>DATE(106,10,3)</f>
        <v>38993</v>
      </c>
      <c r="E153" s="3" t="s">
        <v>56</v>
      </c>
      <c r="F153" s="5">
        <f>DATE(107,9,27)</f>
        <v>39352</v>
      </c>
      <c r="G153" s="3" t="s">
        <v>56</v>
      </c>
      <c r="H153" s="3" t="s">
        <v>185</v>
      </c>
      <c r="I153" s="3" t="s">
        <v>475</v>
      </c>
      <c r="J153" s="3" t="s">
        <v>476</v>
      </c>
      <c r="K153" s="3" t="s">
        <v>251</v>
      </c>
      <c r="L153" s="3" t="s">
        <v>61</v>
      </c>
      <c r="M153" s="3" t="s">
        <v>217</v>
      </c>
      <c r="N153" s="7">
        <v>0</v>
      </c>
      <c r="O153" s="7">
        <v>1100</v>
      </c>
      <c r="P153" s="8">
        <f t="shared" si="2"/>
        <v>1100</v>
      </c>
    </row>
    <row r="154" spans="1:16" ht="12.75">
      <c r="A154" s="3" t="s">
        <v>479</v>
      </c>
      <c r="B154" s="3" t="s">
        <v>480</v>
      </c>
      <c r="C154" s="4">
        <v>247</v>
      </c>
      <c r="D154" s="5">
        <f>DATE(107,10,3)</f>
        <v>39358</v>
      </c>
      <c r="E154" s="3" t="s">
        <v>56</v>
      </c>
      <c r="F154" s="5">
        <f>DATE(108,9,29)</f>
        <v>39720</v>
      </c>
      <c r="G154" s="3" t="s">
        <v>56</v>
      </c>
      <c r="H154" s="3" t="s">
        <v>185</v>
      </c>
      <c r="I154" s="3" t="s">
        <v>475</v>
      </c>
      <c r="J154" s="3" t="s">
        <v>476</v>
      </c>
      <c r="K154" s="3" t="s">
        <v>251</v>
      </c>
      <c r="L154" s="3" t="s">
        <v>61</v>
      </c>
      <c r="M154" s="3" t="s">
        <v>217</v>
      </c>
      <c r="N154" s="7">
        <v>0</v>
      </c>
      <c r="O154" s="7">
        <v>488</v>
      </c>
      <c r="P154" s="8">
        <f t="shared" si="2"/>
        <v>488</v>
      </c>
    </row>
    <row r="155" spans="1:16" ht="12.75">
      <c r="A155" s="3" t="s">
        <v>481</v>
      </c>
      <c r="B155" s="3" t="s">
        <v>482</v>
      </c>
      <c r="C155" s="4">
        <v>130</v>
      </c>
      <c r="D155" s="5">
        <f>DATE(108,10,3)</f>
        <v>39724</v>
      </c>
      <c r="E155" s="3" t="s">
        <v>56</v>
      </c>
      <c r="F155" s="5">
        <f>DATE(109,4,15)</f>
        <v>39918</v>
      </c>
      <c r="G155" s="3" t="s">
        <v>56</v>
      </c>
      <c r="H155" s="3" t="s">
        <v>185</v>
      </c>
      <c r="I155" s="3" t="s">
        <v>475</v>
      </c>
      <c r="J155" s="3" t="s">
        <v>476</v>
      </c>
      <c r="K155" s="3" t="s">
        <v>251</v>
      </c>
      <c r="L155" s="3" t="s">
        <v>61</v>
      </c>
      <c r="M155" s="3" t="s">
        <v>217</v>
      </c>
      <c r="N155" s="7">
        <v>0</v>
      </c>
      <c r="O155" s="7">
        <v>244</v>
      </c>
      <c r="P155" s="8">
        <f t="shared" si="2"/>
        <v>244</v>
      </c>
    </row>
    <row r="156" spans="1:16" ht="12.75">
      <c r="A156" s="3" t="s">
        <v>334</v>
      </c>
      <c r="B156" s="3" t="s">
        <v>335</v>
      </c>
      <c r="C156" s="4">
        <v>534</v>
      </c>
      <c r="D156" s="5">
        <f>DATE(105,10,10)</f>
        <v>38635</v>
      </c>
      <c r="E156" s="3" t="s">
        <v>55</v>
      </c>
      <c r="F156" s="5">
        <f>DATE(107,11,26)</f>
        <v>39412</v>
      </c>
      <c r="G156" s="3" t="s">
        <v>56</v>
      </c>
      <c r="H156" s="3" t="s">
        <v>91</v>
      </c>
      <c r="I156" s="3" t="s">
        <v>336</v>
      </c>
      <c r="J156" s="3" t="s">
        <v>337</v>
      </c>
      <c r="K156" s="3" t="s">
        <v>338</v>
      </c>
      <c r="L156" s="3" t="s">
        <v>197</v>
      </c>
      <c r="M156" s="3" t="s">
        <v>320</v>
      </c>
      <c r="N156" s="7">
        <v>15.04</v>
      </c>
      <c r="O156" s="7">
        <v>40</v>
      </c>
      <c r="P156" s="8">
        <f t="shared" si="2"/>
        <v>24.96</v>
      </c>
    </row>
    <row r="157" spans="1:16" ht="12.75">
      <c r="A157" s="3" t="s">
        <v>53</v>
      </c>
      <c r="B157" s="3" t="s">
        <v>54</v>
      </c>
      <c r="C157" s="4">
        <v>94</v>
      </c>
      <c r="D157" s="5">
        <f>DATE(106,4,1)</f>
        <v>38808</v>
      </c>
      <c r="E157" s="3" t="s">
        <v>55</v>
      </c>
      <c r="F157" s="5">
        <f>DATE(106,8,14)</f>
        <v>38943</v>
      </c>
      <c r="G157" s="3" t="s">
        <v>56</v>
      </c>
      <c r="H157" s="3" t="s">
        <v>57</v>
      </c>
      <c r="I157" s="6" t="s">
        <v>58</v>
      </c>
      <c r="J157" s="3" t="s">
        <v>59</v>
      </c>
      <c r="K157" s="3" t="s">
        <v>60</v>
      </c>
      <c r="L157" s="3" t="s">
        <v>61</v>
      </c>
      <c r="M157" s="3" t="s">
        <v>62</v>
      </c>
      <c r="N157" s="7">
        <v>214.56</v>
      </c>
      <c r="O157" s="7">
        <v>240</v>
      </c>
      <c r="P157" s="8">
        <f t="shared" si="2"/>
        <v>25.439999999999998</v>
      </c>
    </row>
    <row r="158" spans="1:16" ht="12.75">
      <c r="A158" s="3" t="s">
        <v>63</v>
      </c>
      <c r="B158" s="3" t="s">
        <v>64</v>
      </c>
      <c r="C158" s="4">
        <v>238</v>
      </c>
      <c r="D158" s="5">
        <f>DATE(105,9,1)</f>
        <v>38596</v>
      </c>
      <c r="E158" s="3" t="s">
        <v>55</v>
      </c>
      <c r="F158" s="5">
        <f>DATE(106,8,14)</f>
        <v>38943</v>
      </c>
      <c r="G158" s="3" t="s">
        <v>56</v>
      </c>
      <c r="H158" s="3" t="s">
        <v>57</v>
      </c>
      <c r="I158" s="3" t="s">
        <v>65</v>
      </c>
      <c r="J158" s="3" t="s">
        <v>59</v>
      </c>
      <c r="K158" s="3" t="s">
        <v>66</v>
      </c>
      <c r="L158" s="3" t="s">
        <v>61</v>
      </c>
      <c r="M158" s="3" t="s">
        <v>62</v>
      </c>
      <c r="N158" s="7">
        <v>38</v>
      </c>
      <c r="O158" s="7">
        <v>40</v>
      </c>
      <c r="P158" s="8">
        <f t="shared" si="2"/>
        <v>2</v>
      </c>
    </row>
    <row r="159" spans="1:16" ht="12.75">
      <c r="A159" s="3" t="s">
        <v>73</v>
      </c>
      <c r="B159" s="3" t="s">
        <v>74</v>
      </c>
      <c r="C159" s="4">
        <v>197</v>
      </c>
      <c r="D159" s="5">
        <f>DATE(105,11,1)</f>
        <v>38657</v>
      </c>
      <c r="E159" s="3" t="s">
        <v>55</v>
      </c>
      <c r="F159" s="5">
        <f>DATE(106,8,16)</f>
        <v>38945</v>
      </c>
      <c r="G159" s="3" t="s">
        <v>56</v>
      </c>
      <c r="H159" s="3" t="s">
        <v>57</v>
      </c>
      <c r="I159" s="3" t="s">
        <v>65</v>
      </c>
      <c r="J159" s="3" t="s">
        <v>59</v>
      </c>
      <c r="K159" s="3" t="s">
        <v>75</v>
      </c>
      <c r="L159" s="3" t="s">
        <v>61</v>
      </c>
      <c r="M159" s="3" t="s">
        <v>62</v>
      </c>
      <c r="N159" s="7">
        <v>38</v>
      </c>
      <c r="O159" s="7">
        <v>40</v>
      </c>
      <c r="P159" s="8">
        <f t="shared" si="2"/>
        <v>2</v>
      </c>
    </row>
    <row r="160" spans="1:16" ht="12.75">
      <c r="A160" s="3" t="s">
        <v>76</v>
      </c>
      <c r="B160" s="3" t="s">
        <v>77</v>
      </c>
      <c r="C160" s="4">
        <v>220</v>
      </c>
      <c r="D160" s="5">
        <f>DATE(105,10,3)</f>
        <v>38628</v>
      </c>
      <c r="E160" s="3" t="s">
        <v>55</v>
      </c>
      <c r="F160" s="5">
        <f>DATE(106,8,18)</f>
        <v>38947</v>
      </c>
      <c r="G160" s="3" t="s">
        <v>56</v>
      </c>
      <c r="H160" s="3" t="s">
        <v>57</v>
      </c>
      <c r="I160" s="3" t="s">
        <v>65</v>
      </c>
      <c r="J160" s="3" t="s">
        <v>59</v>
      </c>
      <c r="K160" s="3" t="s">
        <v>78</v>
      </c>
      <c r="L160" s="3" t="s">
        <v>61</v>
      </c>
      <c r="M160" s="3" t="s">
        <v>62</v>
      </c>
      <c r="N160" s="7">
        <v>28.5</v>
      </c>
      <c r="O160" s="7">
        <v>30</v>
      </c>
      <c r="P160" s="8">
        <f t="shared" si="2"/>
        <v>1.5</v>
      </c>
    </row>
    <row r="161" spans="1:16" ht="12.75">
      <c r="A161" s="3" t="s">
        <v>79</v>
      </c>
      <c r="B161" s="3" t="s">
        <v>80</v>
      </c>
      <c r="C161" s="4">
        <v>83</v>
      </c>
      <c r="D161" s="5">
        <f>DATE(106,5,1)</f>
        <v>38838</v>
      </c>
      <c r="E161" s="3" t="s">
        <v>55</v>
      </c>
      <c r="F161" s="5">
        <f>DATE(107,1,31)</f>
        <v>39113</v>
      </c>
      <c r="G161" s="3" t="s">
        <v>56</v>
      </c>
      <c r="H161" s="3" t="s">
        <v>57</v>
      </c>
      <c r="I161" s="3" t="s">
        <v>65</v>
      </c>
      <c r="J161" s="3" t="s">
        <v>59</v>
      </c>
      <c r="K161" s="3" t="s">
        <v>81</v>
      </c>
      <c r="L161" s="3" t="s">
        <v>61</v>
      </c>
      <c r="M161" s="3" t="s">
        <v>62</v>
      </c>
      <c r="N161" s="7">
        <v>24</v>
      </c>
      <c r="O161" s="7">
        <v>40</v>
      </c>
      <c r="P161" s="8">
        <f t="shared" si="2"/>
        <v>16</v>
      </c>
    </row>
    <row r="162" spans="1:16" ht="12.75">
      <c r="A162" s="3" t="s">
        <v>82</v>
      </c>
      <c r="B162" s="3" t="s">
        <v>83</v>
      </c>
      <c r="C162" s="4">
        <v>13</v>
      </c>
      <c r="D162" s="5">
        <f>DATE(106,12,1)</f>
        <v>39052</v>
      </c>
      <c r="E162" s="3" t="s">
        <v>56</v>
      </c>
      <c r="F162" s="5">
        <f>DATE(106,12,19)</f>
        <v>39070</v>
      </c>
      <c r="G162" s="3" t="s">
        <v>56</v>
      </c>
      <c r="H162" s="3" t="s">
        <v>57</v>
      </c>
      <c r="I162" s="3" t="s">
        <v>65</v>
      </c>
      <c r="J162" s="3" t="s">
        <v>59</v>
      </c>
      <c r="K162" s="3" t="s">
        <v>84</v>
      </c>
      <c r="L162" s="3" t="s">
        <v>61</v>
      </c>
      <c r="M162" s="3" t="s">
        <v>62</v>
      </c>
      <c r="N162" s="7">
        <v>0</v>
      </c>
      <c r="O162" s="7">
        <v>40</v>
      </c>
      <c r="P162" s="8">
        <f t="shared" si="2"/>
        <v>40</v>
      </c>
    </row>
    <row r="163" spans="1:16" ht="12.75">
      <c r="A163" s="3" t="s">
        <v>85</v>
      </c>
      <c r="B163" s="3" t="s">
        <v>86</v>
      </c>
      <c r="C163" s="4">
        <v>171</v>
      </c>
      <c r="D163" s="5">
        <f>DATE(106,1,1)</f>
        <v>38718</v>
      </c>
      <c r="E163" s="3" t="s">
        <v>55</v>
      </c>
      <c r="F163" s="5">
        <f>DATE(107,9,28)</f>
        <v>39353</v>
      </c>
      <c r="G163" s="3" t="s">
        <v>56</v>
      </c>
      <c r="H163" s="3" t="s">
        <v>57</v>
      </c>
      <c r="I163" s="3" t="s">
        <v>65</v>
      </c>
      <c r="J163" s="3" t="s">
        <v>59</v>
      </c>
      <c r="K163" s="3" t="s">
        <v>57</v>
      </c>
      <c r="L163" s="3" t="s">
        <v>61</v>
      </c>
      <c r="M163" s="3" t="s">
        <v>62</v>
      </c>
      <c r="N163" s="7">
        <v>32</v>
      </c>
      <c r="O163" s="7">
        <v>40</v>
      </c>
      <c r="P163" s="8">
        <f t="shared" si="2"/>
        <v>8</v>
      </c>
    </row>
    <row r="164" spans="1:16" ht="12.75">
      <c r="A164" s="3" t="s">
        <v>206</v>
      </c>
      <c r="B164" s="3" t="s">
        <v>207</v>
      </c>
      <c r="C164" s="4">
        <v>381</v>
      </c>
      <c r="D164" s="5">
        <f>DATE(105,3,1)</f>
        <v>38412</v>
      </c>
      <c r="E164" s="3" t="s">
        <v>55</v>
      </c>
      <c r="F164" s="5">
        <f>DATE(106,8,31)</f>
        <v>38960</v>
      </c>
      <c r="G164" s="3" t="s">
        <v>56</v>
      </c>
      <c r="H164" s="3" t="s">
        <v>91</v>
      </c>
      <c r="I164" s="3" t="s">
        <v>202</v>
      </c>
      <c r="J164" s="3" t="s">
        <v>203</v>
      </c>
      <c r="K164" s="3" t="s">
        <v>204</v>
      </c>
      <c r="L164" s="3" t="s">
        <v>61</v>
      </c>
      <c r="M164" s="3" t="s">
        <v>62</v>
      </c>
      <c r="N164" s="7">
        <v>290.7</v>
      </c>
      <c r="O164" s="7">
        <v>323</v>
      </c>
      <c r="P164" s="8">
        <f t="shared" si="2"/>
        <v>32.30000000000001</v>
      </c>
    </row>
    <row r="165" spans="1:16" ht="12.75">
      <c r="A165" s="3" t="s">
        <v>208</v>
      </c>
      <c r="B165" s="3" t="s">
        <v>209</v>
      </c>
      <c r="C165" s="4">
        <v>381</v>
      </c>
      <c r="D165" s="5">
        <f>DATE(105,3,1)</f>
        <v>38412</v>
      </c>
      <c r="E165" s="3" t="s">
        <v>55</v>
      </c>
      <c r="F165" s="5">
        <f>DATE(106,8,31)</f>
        <v>38960</v>
      </c>
      <c r="G165" s="3" t="s">
        <v>56</v>
      </c>
      <c r="H165" s="3" t="s">
        <v>91</v>
      </c>
      <c r="I165" s="3" t="s">
        <v>202</v>
      </c>
      <c r="J165" s="3" t="s">
        <v>203</v>
      </c>
      <c r="K165" s="3" t="s">
        <v>204</v>
      </c>
      <c r="L165" s="3" t="s">
        <v>61</v>
      </c>
      <c r="M165" s="3" t="s">
        <v>62</v>
      </c>
      <c r="N165" s="7">
        <v>108</v>
      </c>
      <c r="O165" s="7">
        <v>120</v>
      </c>
      <c r="P165" s="8">
        <f t="shared" si="2"/>
        <v>12</v>
      </c>
    </row>
    <row r="166" spans="1:16" ht="12.75">
      <c r="A166" s="3" t="s">
        <v>229</v>
      </c>
      <c r="B166" s="3" t="s">
        <v>230</v>
      </c>
      <c r="C166" s="4">
        <v>43</v>
      </c>
      <c r="D166" s="5">
        <f>DATE(106,10,2)</f>
        <v>38992</v>
      </c>
      <c r="E166" s="3" t="s">
        <v>56</v>
      </c>
      <c r="F166" s="5">
        <f>DATE(106,12,1)</f>
        <v>39052</v>
      </c>
      <c r="G166" s="3" t="s">
        <v>56</v>
      </c>
      <c r="H166" s="3" t="s">
        <v>91</v>
      </c>
      <c r="I166" s="3" t="s">
        <v>202</v>
      </c>
      <c r="J166" s="3" t="s">
        <v>203</v>
      </c>
      <c r="K166" s="3" t="s">
        <v>215</v>
      </c>
      <c r="L166" s="3" t="s">
        <v>61</v>
      </c>
      <c r="M166" s="3" t="s">
        <v>62</v>
      </c>
      <c r="N166" s="7">
        <v>0</v>
      </c>
      <c r="O166" s="7">
        <v>40</v>
      </c>
      <c r="P166" s="8">
        <f t="shared" si="2"/>
        <v>40</v>
      </c>
    </row>
    <row r="167" spans="1:16" ht="12.75">
      <c r="A167" s="3" t="s">
        <v>282</v>
      </c>
      <c r="B167" s="3" t="s">
        <v>283</v>
      </c>
      <c r="C167" s="4">
        <v>9</v>
      </c>
      <c r="D167" s="5">
        <f>DATE(106,8,1)</f>
        <v>38930</v>
      </c>
      <c r="E167" s="3" t="s">
        <v>56</v>
      </c>
      <c r="F167" s="5">
        <f>DATE(106,8,11)</f>
        <v>38940</v>
      </c>
      <c r="G167" s="3" t="s">
        <v>56</v>
      </c>
      <c r="H167" s="3" t="s">
        <v>91</v>
      </c>
      <c r="I167" s="3" t="s">
        <v>243</v>
      </c>
      <c r="J167" s="3" t="s">
        <v>284</v>
      </c>
      <c r="K167" s="3" t="s">
        <v>164</v>
      </c>
      <c r="L167" s="3" t="s">
        <v>61</v>
      </c>
      <c r="M167" s="3" t="s">
        <v>62</v>
      </c>
      <c r="N167" s="7">
        <v>0</v>
      </c>
      <c r="O167" s="7">
        <v>40</v>
      </c>
      <c r="P167" s="8">
        <f t="shared" si="2"/>
        <v>40</v>
      </c>
    </row>
    <row r="168" spans="1:16" ht="12.75">
      <c r="A168" s="3" t="s">
        <v>330</v>
      </c>
      <c r="B168" s="3" t="s">
        <v>331</v>
      </c>
      <c r="C168" s="4">
        <v>21</v>
      </c>
      <c r="D168" s="5">
        <f>DATE(106,12,4)</f>
        <v>39055</v>
      </c>
      <c r="E168" s="3" t="s">
        <v>56</v>
      </c>
      <c r="F168" s="5">
        <f>DATE(107,1,9)</f>
        <v>39091</v>
      </c>
      <c r="G168" s="3" t="s">
        <v>56</v>
      </c>
      <c r="H168" s="3" t="s">
        <v>91</v>
      </c>
      <c r="I168" s="3" t="s">
        <v>327</v>
      </c>
      <c r="J168" s="3" t="s">
        <v>156</v>
      </c>
      <c r="K168" s="3" t="s">
        <v>305</v>
      </c>
      <c r="L168" s="3" t="s">
        <v>61</v>
      </c>
      <c r="M168" s="3" t="s">
        <v>62</v>
      </c>
      <c r="N168" s="7">
        <v>0</v>
      </c>
      <c r="O168" s="7">
        <v>437</v>
      </c>
      <c r="P168" s="8">
        <f t="shared" si="2"/>
        <v>437</v>
      </c>
    </row>
    <row r="169" spans="1:16" ht="12.75">
      <c r="A169" s="3" t="s">
        <v>332</v>
      </c>
      <c r="B169" s="3" t="s">
        <v>333</v>
      </c>
      <c r="C169" s="4">
        <v>21</v>
      </c>
      <c r="D169" s="5">
        <f>DATE(107,1,10)</f>
        <v>39092</v>
      </c>
      <c r="E169" s="3" t="s">
        <v>56</v>
      </c>
      <c r="F169" s="5">
        <f>DATE(107,2,7)</f>
        <v>39120</v>
      </c>
      <c r="G169" s="3" t="s">
        <v>56</v>
      </c>
      <c r="H169" s="3" t="s">
        <v>91</v>
      </c>
      <c r="I169" s="3" t="s">
        <v>327</v>
      </c>
      <c r="J169" s="3" t="s">
        <v>156</v>
      </c>
      <c r="K169" s="3" t="s">
        <v>305</v>
      </c>
      <c r="L169" s="3" t="s">
        <v>61</v>
      </c>
      <c r="M169" s="3" t="s">
        <v>62</v>
      </c>
      <c r="N169" s="7">
        <v>0</v>
      </c>
      <c r="O169" s="7">
        <v>175</v>
      </c>
      <c r="P169" s="8">
        <f t="shared" si="2"/>
        <v>175</v>
      </c>
    </row>
    <row r="170" spans="1:16" ht="12.75">
      <c r="A170" s="3" t="s">
        <v>467</v>
      </c>
      <c r="B170" s="3" t="s">
        <v>468</v>
      </c>
      <c r="C170" s="4">
        <v>65</v>
      </c>
      <c r="D170" s="5">
        <f>DATE(107,10,1)</f>
        <v>39356</v>
      </c>
      <c r="E170" s="3" t="s">
        <v>56</v>
      </c>
      <c r="F170" s="5">
        <f>DATE(108,1,10)</f>
        <v>39457</v>
      </c>
      <c r="G170" s="3" t="s">
        <v>56</v>
      </c>
      <c r="H170" s="3" t="s">
        <v>174</v>
      </c>
      <c r="I170" s="3" t="s">
        <v>439</v>
      </c>
      <c r="J170" s="3" t="s">
        <v>469</v>
      </c>
      <c r="K170" s="3" t="s">
        <v>164</v>
      </c>
      <c r="L170" s="3" t="s">
        <v>470</v>
      </c>
      <c r="M170" s="3" t="s">
        <v>470</v>
      </c>
      <c r="N170" s="7">
        <v>0</v>
      </c>
      <c r="O170" s="7">
        <v>80</v>
      </c>
      <c r="P170" s="8">
        <f t="shared" si="2"/>
        <v>80</v>
      </c>
    </row>
    <row r="171" spans="1:16" ht="12.75">
      <c r="A171" s="3" t="s">
        <v>471</v>
      </c>
      <c r="B171" s="3" t="s">
        <v>472</v>
      </c>
      <c r="C171" s="4">
        <v>40</v>
      </c>
      <c r="D171" s="5">
        <f>DATE(108,1,11)</f>
        <v>39458</v>
      </c>
      <c r="E171" s="3" t="s">
        <v>56</v>
      </c>
      <c r="F171" s="5">
        <f>DATE(108,3,6)</f>
        <v>39513</v>
      </c>
      <c r="G171" s="3" t="s">
        <v>56</v>
      </c>
      <c r="H171" s="3" t="s">
        <v>174</v>
      </c>
      <c r="I171" s="3" t="s">
        <v>439</v>
      </c>
      <c r="J171" s="3" t="s">
        <v>469</v>
      </c>
      <c r="K171" s="3" t="s">
        <v>164</v>
      </c>
      <c r="L171" s="3" t="s">
        <v>470</v>
      </c>
      <c r="M171" s="3" t="s">
        <v>470</v>
      </c>
      <c r="N171" s="7">
        <v>0</v>
      </c>
      <c r="O171" s="7">
        <v>80</v>
      </c>
      <c r="P171" s="8">
        <f t="shared" si="2"/>
        <v>80</v>
      </c>
    </row>
    <row r="172" spans="1:16" ht="12.75">
      <c r="A172" s="3" t="s">
        <v>314</v>
      </c>
      <c r="B172" s="3" t="s">
        <v>315</v>
      </c>
      <c r="C172" s="4">
        <v>350</v>
      </c>
      <c r="D172" s="5">
        <f>DATE(105,10,1)</f>
        <v>38626</v>
      </c>
      <c r="E172" s="3" t="s">
        <v>55</v>
      </c>
      <c r="F172" s="5">
        <f>DATE(107,3,1)</f>
        <v>39142</v>
      </c>
      <c r="G172" s="3" t="s">
        <v>56</v>
      </c>
      <c r="H172" s="3" t="s">
        <v>91</v>
      </c>
      <c r="I172" s="3" t="s">
        <v>316</v>
      </c>
      <c r="J172" s="3" t="s">
        <v>317</v>
      </c>
      <c r="K172" s="3" t="s">
        <v>81</v>
      </c>
      <c r="L172" s="3" t="s">
        <v>319</v>
      </c>
      <c r="M172" s="3" t="s">
        <v>320</v>
      </c>
      <c r="N172" s="7">
        <v>8.246</v>
      </c>
      <c r="O172" s="7">
        <v>14</v>
      </c>
      <c r="P172" s="8">
        <f t="shared" si="2"/>
        <v>5.754</v>
      </c>
    </row>
    <row r="173" spans="1:16" ht="12.75">
      <c r="A173" s="3" t="s">
        <v>112</v>
      </c>
      <c r="B173" s="3" t="s">
        <v>113</v>
      </c>
      <c r="C173" s="4">
        <v>20</v>
      </c>
      <c r="D173" s="5">
        <f>DATE(106,10,2)</f>
        <v>38992</v>
      </c>
      <c r="E173" s="3" t="s">
        <v>56</v>
      </c>
      <c r="F173" s="5">
        <f>DATE(106,10,27)</f>
        <v>39017</v>
      </c>
      <c r="G173" s="3" t="s">
        <v>56</v>
      </c>
      <c r="H173" s="3" t="s">
        <v>57</v>
      </c>
      <c r="I173" s="3" t="s">
        <v>89</v>
      </c>
      <c r="J173" s="3" t="s">
        <v>114</v>
      </c>
      <c r="K173" s="3" t="s">
        <v>115</v>
      </c>
      <c r="L173" s="3" t="s">
        <v>111</v>
      </c>
      <c r="M173" s="3" t="s">
        <v>415</v>
      </c>
      <c r="N173" s="7">
        <v>0</v>
      </c>
      <c r="O173" s="7">
        <v>30</v>
      </c>
      <c r="P173" s="8">
        <f t="shared" si="2"/>
        <v>30</v>
      </c>
    </row>
    <row r="174" spans="1:16" ht="12.75">
      <c r="A174" s="3" t="s">
        <v>200</v>
      </c>
      <c r="B174" s="3" t="s">
        <v>201</v>
      </c>
      <c r="C174" s="4">
        <v>381</v>
      </c>
      <c r="D174" s="5">
        <f>DATE(105,3,1)</f>
        <v>38412</v>
      </c>
      <c r="E174" s="3" t="s">
        <v>55</v>
      </c>
      <c r="F174" s="5">
        <f>DATE(106,8,31)</f>
        <v>38960</v>
      </c>
      <c r="G174" s="3" t="s">
        <v>56</v>
      </c>
      <c r="H174" s="3" t="s">
        <v>91</v>
      </c>
      <c r="I174" s="3" t="s">
        <v>202</v>
      </c>
      <c r="J174" s="3" t="s">
        <v>203</v>
      </c>
      <c r="K174" s="3" t="s">
        <v>204</v>
      </c>
      <c r="L174" s="3" t="s">
        <v>61</v>
      </c>
      <c r="M174" s="3" t="s">
        <v>205</v>
      </c>
      <c r="N174" s="7">
        <v>36</v>
      </c>
      <c r="O174" s="7">
        <v>40</v>
      </c>
      <c r="P174" s="8">
        <f t="shared" si="2"/>
        <v>4</v>
      </c>
    </row>
    <row r="175" spans="1:16" ht="12.75">
      <c r="A175" s="3" t="s">
        <v>213</v>
      </c>
      <c r="B175" s="3" t="s">
        <v>214</v>
      </c>
      <c r="C175" s="4">
        <v>560</v>
      </c>
      <c r="D175" s="5">
        <f>DATE(104,8,2)</f>
        <v>38201</v>
      </c>
      <c r="E175" s="3" t="s">
        <v>55</v>
      </c>
      <c r="F175" s="5">
        <f>DATE(107,1,2)</f>
        <v>39084</v>
      </c>
      <c r="G175" s="3" t="s">
        <v>56</v>
      </c>
      <c r="H175" s="3" t="s">
        <v>91</v>
      </c>
      <c r="I175" s="3" t="s">
        <v>202</v>
      </c>
      <c r="J175" s="3" t="s">
        <v>203</v>
      </c>
      <c r="K175" s="3" t="s">
        <v>215</v>
      </c>
      <c r="L175" s="3" t="s">
        <v>61</v>
      </c>
      <c r="M175" s="3" t="s">
        <v>205</v>
      </c>
      <c r="N175" s="7">
        <v>36</v>
      </c>
      <c r="O175" s="7">
        <v>40</v>
      </c>
      <c r="P175" s="8">
        <f t="shared" si="2"/>
        <v>4</v>
      </c>
    </row>
    <row r="176" spans="1:16" ht="12.75">
      <c r="A176" s="3" t="s">
        <v>222</v>
      </c>
      <c r="B176" s="3" t="s">
        <v>223</v>
      </c>
      <c r="C176" s="4">
        <v>288</v>
      </c>
      <c r="D176" s="5">
        <f>DATE(105,9,1)</f>
        <v>38596</v>
      </c>
      <c r="E176" s="3" t="s">
        <v>55</v>
      </c>
      <c r="F176" s="5">
        <f>DATE(107,1,2)</f>
        <v>39084</v>
      </c>
      <c r="G176" s="3" t="s">
        <v>56</v>
      </c>
      <c r="H176" s="3" t="s">
        <v>91</v>
      </c>
      <c r="I176" s="3" t="s">
        <v>202</v>
      </c>
      <c r="J176" s="3" t="s">
        <v>203</v>
      </c>
      <c r="K176" s="3" t="s">
        <v>215</v>
      </c>
      <c r="L176" s="3" t="s">
        <v>61</v>
      </c>
      <c r="M176" s="3" t="s">
        <v>205</v>
      </c>
      <c r="N176" s="7">
        <v>42</v>
      </c>
      <c r="O176" s="7">
        <v>60</v>
      </c>
      <c r="P176" s="8">
        <f t="shared" si="2"/>
        <v>18</v>
      </c>
    </row>
    <row r="177" spans="1:16" ht="12.75">
      <c r="A177" s="3" t="s">
        <v>224</v>
      </c>
      <c r="B177" s="3" t="s">
        <v>225</v>
      </c>
      <c r="C177" s="4">
        <v>271</v>
      </c>
      <c r="D177" s="5">
        <f>DATE(105,9,26)</f>
        <v>38621</v>
      </c>
      <c r="E177" s="3" t="s">
        <v>55</v>
      </c>
      <c r="F177" s="5">
        <f>DATE(107,1,2)</f>
        <v>39084</v>
      </c>
      <c r="G177" s="3" t="s">
        <v>56</v>
      </c>
      <c r="H177" s="3" t="s">
        <v>91</v>
      </c>
      <c r="I177" s="3" t="s">
        <v>202</v>
      </c>
      <c r="J177" s="3" t="s">
        <v>203</v>
      </c>
      <c r="K177" s="3" t="s">
        <v>215</v>
      </c>
      <c r="L177" s="3" t="s">
        <v>61</v>
      </c>
      <c r="M177" s="3" t="s">
        <v>205</v>
      </c>
      <c r="N177" s="7">
        <v>4</v>
      </c>
      <c r="O177" s="7">
        <v>40</v>
      </c>
      <c r="P177" s="8">
        <f t="shared" si="2"/>
        <v>36</v>
      </c>
    </row>
    <row r="178" spans="1:16" ht="12.75">
      <c r="A178" s="3" t="s">
        <v>231</v>
      </c>
      <c r="B178" s="3" t="s">
        <v>232</v>
      </c>
      <c r="C178" s="4">
        <v>374</v>
      </c>
      <c r="D178" s="5">
        <f>DATE(105,5,2)</f>
        <v>38474</v>
      </c>
      <c r="E178" s="3" t="s">
        <v>55</v>
      </c>
      <c r="F178" s="5">
        <f>DATE(107,1,2)</f>
        <v>39084</v>
      </c>
      <c r="G178" s="3" t="s">
        <v>56</v>
      </c>
      <c r="H178" s="3" t="s">
        <v>91</v>
      </c>
      <c r="I178" s="3" t="s">
        <v>202</v>
      </c>
      <c r="J178" s="3" t="s">
        <v>203</v>
      </c>
      <c r="K178" s="3" t="s">
        <v>215</v>
      </c>
      <c r="L178" s="3" t="s">
        <v>61</v>
      </c>
      <c r="M178" s="3" t="s">
        <v>205</v>
      </c>
      <c r="N178" s="7">
        <v>48</v>
      </c>
      <c r="O178" s="7">
        <v>80</v>
      </c>
      <c r="P178" s="8">
        <f t="shared" si="2"/>
        <v>32</v>
      </c>
    </row>
    <row r="179" spans="1:16" ht="12.75">
      <c r="A179" s="3" t="s">
        <v>274</v>
      </c>
      <c r="B179" s="3" t="s">
        <v>275</v>
      </c>
      <c r="C179" s="4">
        <v>86</v>
      </c>
      <c r="D179" s="5">
        <f>DATE(106,5,1)</f>
        <v>38838</v>
      </c>
      <c r="E179" s="3" t="s">
        <v>55</v>
      </c>
      <c r="F179" s="5">
        <f>DATE(106,8,30)</f>
        <v>38959</v>
      </c>
      <c r="G179" s="3" t="s">
        <v>56</v>
      </c>
      <c r="H179" s="3" t="s">
        <v>91</v>
      </c>
      <c r="I179" s="3" t="s">
        <v>243</v>
      </c>
      <c r="J179" s="3" t="s">
        <v>244</v>
      </c>
      <c r="K179" s="3" t="s">
        <v>251</v>
      </c>
      <c r="L179" s="3" t="s">
        <v>61</v>
      </c>
      <c r="M179" s="3" t="s">
        <v>205</v>
      </c>
      <c r="N179" s="7">
        <v>32</v>
      </c>
      <c r="O179" s="7">
        <v>40</v>
      </c>
      <c r="P179" s="8">
        <f t="shared" si="2"/>
        <v>8</v>
      </c>
    </row>
    <row r="180" spans="1:16" ht="12.75">
      <c r="A180" s="3" t="s">
        <v>276</v>
      </c>
      <c r="B180" s="3" t="s">
        <v>277</v>
      </c>
      <c r="C180" s="4">
        <v>5</v>
      </c>
      <c r="D180" s="5">
        <f>DATE(106,8,31)</f>
        <v>38960</v>
      </c>
      <c r="E180" s="3" t="s">
        <v>56</v>
      </c>
      <c r="F180" s="5">
        <f>DATE(106,9,7)</f>
        <v>38967</v>
      </c>
      <c r="G180" s="3" t="s">
        <v>56</v>
      </c>
      <c r="H180" s="3" t="s">
        <v>91</v>
      </c>
      <c r="I180" s="3" t="s">
        <v>243</v>
      </c>
      <c r="J180" s="3" t="s">
        <v>244</v>
      </c>
      <c r="K180" s="3" t="s">
        <v>251</v>
      </c>
      <c r="L180" s="3" t="s">
        <v>61</v>
      </c>
      <c r="M180" s="3" t="s">
        <v>205</v>
      </c>
      <c r="N180" s="7">
        <v>0</v>
      </c>
      <c r="O180" s="7">
        <v>20</v>
      </c>
      <c r="P180" s="8">
        <f t="shared" si="2"/>
        <v>20</v>
      </c>
    </row>
    <row r="181" spans="1:16" ht="12.75">
      <c r="A181" s="3" t="s">
        <v>278</v>
      </c>
      <c r="B181" s="3" t="s">
        <v>279</v>
      </c>
      <c r="C181" s="4">
        <v>5</v>
      </c>
      <c r="D181" s="5">
        <f>DATE(106,8,31)</f>
        <v>38960</v>
      </c>
      <c r="E181" s="3" t="s">
        <v>56</v>
      </c>
      <c r="F181" s="5">
        <f>DATE(106,9,7)</f>
        <v>38967</v>
      </c>
      <c r="G181" s="3" t="s">
        <v>56</v>
      </c>
      <c r="H181" s="3" t="s">
        <v>91</v>
      </c>
      <c r="I181" s="3" t="s">
        <v>243</v>
      </c>
      <c r="J181" s="3" t="s">
        <v>244</v>
      </c>
      <c r="K181" s="3" t="s">
        <v>251</v>
      </c>
      <c r="L181" s="3" t="s">
        <v>61</v>
      </c>
      <c r="M181" s="3" t="s">
        <v>205</v>
      </c>
      <c r="N181" s="7">
        <v>0</v>
      </c>
      <c r="O181" s="7">
        <v>20</v>
      </c>
      <c r="P181" s="8">
        <f t="shared" si="2"/>
        <v>20</v>
      </c>
    </row>
    <row r="182" spans="1:16" ht="12.75">
      <c r="A182" s="3" t="s">
        <v>280</v>
      </c>
      <c r="B182" s="3" t="s">
        <v>281</v>
      </c>
      <c r="C182" s="4">
        <v>5</v>
      </c>
      <c r="D182" s="5">
        <f>DATE(106,8,31)</f>
        <v>38960</v>
      </c>
      <c r="E182" s="3" t="s">
        <v>56</v>
      </c>
      <c r="F182" s="5">
        <f>DATE(106,9,7)</f>
        <v>38967</v>
      </c>
      <c r="G182" s="3" t="s">
        <v>56</v>
      </c>
      <c r="H182" s="3" t="s">
        <v>91</v>
      </c>
      <c r="I182" s="3" t="s">
        <v>243</v>
      </c>
      <c r="J182" s="3" t="s">
        <v>244</v>
      </c>
      <c r="K182" s="3" t="s">
        <v>251</v>
      </c>
      <c r="L182" s="3" t="s">
        <v>61</v>
      </c>
      <c r="M182" s="3" t="s">
        <v>205</v>
      </c>
      <c r="N182" s="7">
        <v>0</v>
      </c>
      <c r="O182" s="7">
        <v>40</v>
      </c>
      <c r="P182" s="8">
        <f t="shared" si="2"/>
        <v>40</v>
      </c>
    </row>
    <row r="183" spans="1:16" ht="12.75">
      <c r="A183" s="3" t="s">
        <v>293</v>
      </c>
      <c r="B183" s="3" t="s">
        <v>294</v>
      </c>
      <c r="C183" s="4">
        <v>5</v>
      </c>
      <c r="D183" s="5">
        <f>DATE(106,9,1)</f>
        <v>38961</v>
      </c>
      <c r="E183" s="3" t="s">
        <v>56</v>
      </c>
      <c r="F183" s="5">
        <f>DATE(106,9,8)</f>
        <v>38968</v>
      </c>
      <c r="G183" s="3" t="s">
        <v>56</v>
      </c>
      <c r="H183" s="3" t="s">
        <v>91</v>
      </c>
      <c r="I183" s="3" t="s">
        <v>243</v>
      </c>
      <c r="J183" s="3" t="s">
        <v>284</v>
      </c>
      <c r="K183" s="3" t="s">
        <v>164</v>
      </c>
      <c r="L183" s="3" t="s">
        <v>61</v>
      </c>
      <c r="M183" s="3" t="s">
        <v>205</v>
      </c>
      <c r="N183" s="7">
        <v>0</v>
      </c>
      <c r="O183" s="7">
        <v>40</v>
      </c>
      <c r="P183" s="8">
        <f t="shared" si="2"/>
        <v>40</v>
      </c>
    </row>
    <row r="184" spans="1:16" ht="12.75">
      <c r="A184" s="3" t="s">
        <v>295</v>
      </c>
      <c r="B184" s="3" t="s">
        <v>296</v>
      </c>
      <c r="C184" s="4">
        <v>5</v>
      </c>
      <c r="D184" s="5">
        <f>DATE(106,9,11)</f>
        <v>38971</v>
      </c>
      <c r="E184" s="3" t="s">
        <v>56</v>
      </c>
      <c r="F184" s="5">
        <f>DATE(106,9,15)</f>
        <v>38975</v>
      </c>
      <c r="G184" s="3" t="s">
        <v>56</v>
      </c>
      <c r="H184" s="3" t="s">
        <v>91</v>
      </c>
      <c r="I184" s="3" t="s">
        <v>243</v>
      </c>
      <c r="J184" s="3" t="s">
        <v>284</v>
      </c>
      <c r="K184" s="3" t="s">
        <v>164</v>
      </c>
      <c r="L184" s="3" t="s">
        <v>61</v>
      </c>
      <c r="M184" s="3" t="s">
        <v>205</v>
      </c>
      <c r="N184" s="7">
        <v>0</v>
      </c>
      <c r="O184" s="7">
        <v>19.99</v>
      </c>
      <c r="P184" s="8">
        <f t="shared" si="2"/>
        <v>19.99</v>
      </c>
    </row>
    <row r="185" spans="1:16" ht="12.75">
      <c r="A185" s="3" t="s">
        <v>297</v>
      </c>
      <c r="B185" s="3" t="s">
        <v>279</v>
      </c>
      <c r="C185" s="4">
        <v>5</v>
      </c>
      <c r="D185" s="5">
        <f>DATE(106,9,18)</f>
        <v>38978</v>
      </c>
      <c r="E185" s="3" t="s">
        <v>56</v>
      </c>
      <c r="F185" s="5">
        <f>DATE(106,9,22)</f>
        <v>38982</v>
      </c>
      <c r="G185" s="3" t="s">
        <v>56</v>
      </c>
      <c r="H185" s="3" t="s">
        <v>91</v>
      </c>
      <c r="I185" s="3" t="s">
        <v>243</v>
      </c>
      <c r="J185" s="3" t="s">
        <v>284</v>
      </c>
      <c r="K185" s="3" t="s">
        <v>164</v>
      </c>
      <c r="L185" s="3" t="s">
        <v>61</v>
      </c>
      <c r="M185" s="3" t="s">
        <v>205</v>
      </c>
      <c r="N185" s="7">
        <v>0</v>
      </c>
      <c r="O185" s="7">
        <v>19.99</v>
      </c>
      <c r="P185" s="8">
        <f t="shared" si="2"/>
        <v>19.99</v>
      </c>
    </row>
    <row r="186" spans="1:16" ht="12.75">
      <c r="A186" s="3" t="s">
        <v>298</v>
      </c>
      <c r="B186" s="3" t="s">
        <v>299</v>
      </c>
      <c r="C186" s="4">
        <v>5</v>
      </c>
      <c r="D186" s="5">
        <f>DATE(106,9,25)</f>
        <v>38985</v>
      </c>
      <c r="E186" s="3" t="s">
        <v>56</v>
      </c>
      <c r="F186" s="5">
        <f>DATE(106,9,29)</f>
        <v>38989</v>
      </c>
      <c r="G186" s="3" t="s">
        <v>56</v>
      </c>
      <c r="H186" s="3" t="s">
        <v>91</v>
      </c>
      <c r="I186" s="3" t="s">
        <v>243</v>
      </c>
      <c r="J186" s="3" t="s">
        <v>284</v>
      </c>
      <c r="K186" s="3" t="s">
        <v>164</v>
      </c>
      <c r="L186" s="3" t="s">
        <v>61</v>
      </c>
      <c r="M186" s="3" t="s">
        <v>205</v>
      </c>
      <c r="N186" s="7">
        <v>0</v>
      </c>
      <c r="O186" s="7">
        <v>40</v>
      </c>
      <c r="P186" s="8">
        <f t="shared" si="2"/>
        <v>40</v>
      </c>
    </row>
    <row r="187" spans="1:16" ht="12.75">
      <c r="A187" s="3" t="s">
        <v>302</v>
      </c>
      <c r="B187" s="3" t="s">
        <v>303</v>
      </c>
      <c r="C187" s="4">
        <v>10</v>
      </c>
      <c r="D187" s="5">
        <f>DATE(107,1,3)</f>
        <v>39085</v>
      </c>
      <c r="E187" s="3" t="s">
        <v>56</v>
      </c>
      <c r="F187" s="5">
        <f>DATE(107,1,16)</f>
        <v>39098</v>
      </c>
      <c r="G187" s="3" t="s">
        <v>56</v>
      </c>
      <c r="H187" s="3" t="s">
        <v>91</v>
      </c>
      <c r="I187" s="3" t="s">
        <v>243</v>
      </c>
      <c r="J187" s="3" t="s">
        <v>284</v>
      </c>
      <c r="K187" s="3" t="s">
        <v>164</v>
      </c>
      <c r="L187" s="3" t="s">
        <v>61</v>
      </c>
      <c r="M187" s="3" t="s">
        <v>205</v>
      </c>
      <c r="N187" s="7">
        <v>0</v>
      </c>
      <c r="O187" s="7">
        <v>70</v>
      </c>
      <c r="P187" s="8">
        <f t="shared" si="2"/>
        <v>70</v>
      </c>
    </row>
    <row r="188" spans="1:16" ht="12.75">
      <c r="A188" s="3" t="s">
        <v>314</v>
      </c>
      <c r="B188" s="3" t="s">
        <v>315</v>
      </c>
      <c r="C188" s="4">
        <v>350</v>
      </c>
      <c r="D188" s="5">
        <f>DATE(105,10,1)</f>
        <v>38626</v>
      </c>
      <c r="E188" s="3" t="s">
        <v>55</v>
      </c>
      <c r="F188" s="5">
        <f>DATE(107,3,1)</f>
        <v>39142</v>
      </c>
      <c r="G188" s="3" t="s">
        <v>56</v>
      </c>
      <c r="H188" s="3" t="s">
        <v>91</v>
      </c>
      <c r="I188" s="3" t="s">
        <v>316</v>
      </c>
      <c r="J188" s="3" t="s">
        <v>317</v>
      </c>
      <c r="K188" s="3" t="s">
        <v>81</v>
      </c>
      <c r="L188" s="3" t="s">
        <v>61</v>
      </c>
      <c r="M188" s="3" t="s">
        <v>205</v>
      </c>
      <c r="N188" s="7">
        <v>63.023</v>
      </c>
      <c r="O188" s="7">
        <v>107</v>
      </c>
      <c r="P188" s="8">
        <f t="shared" si="2"/>
        <v>43.977</v>
      </c>
    </row>
    <row r="189" spans="1:16" ht="12.75">
      <c r="A189" s="3" t="s">
        <v>334</v>
      </c>
      <c r="B189" s="3" t="s">
        <v>335</v>
      </c>
      <c r="C189" s="4">
        <v>534</v>
      </c>
      <c r="D189" s="5">
        <f>DATE(105,10,10)</f>
        <v>38635</v>
      </c>
      <c r="E189" s="3" t="s">
        <v>55</v>
      </c>
      <c r="F189" s="5">
        <f>DATE(107,11,26)</f>
        <v>39412</v>
      </c>
      <c r="G189" s="3" t="s">
        <v>56</v>
      </c>
      <c r="H189" s="3" t="s">
        <v>91</v>
      </c>
      <c r="I189" s="3" t="s">
        <v>336</v>
      </c>
      <c r="J189" s="3" t="s">
        <v>337</v>
      </c>
      <c r="K189" s="3" t="s">
        <v>338</v>
      </c>
      <c r="L189" s="3" t="s">
        <v>61</v>
      </c>
      <c r="M189" s="3" t="s">
        <v>205</v>
      </c>
      <c r="N189" s="7">
        <v>341.6336</v>
      </c>
      <c r="O189" s="7">
        <v>908.6</v>
      </c>
      <c r="P189" s="8">
        <f t="shared" si="2"/>
        <v>566.9664</v>
      </c>
    </row>
    <row r="190" spans="1:16" ht="12.75">
      <c r="A190" s="3" t="s">
        <v>346</v>
      </c>
      <c r="B190" s="3" t="s">
        <v>347</v>
      </c>
      <c r="C190" s="4">
        <v>15</v>
      </c>
      <c r="D190" s="5">
        <f>DATE(106,8,28)</f>
        <v>38957</v>
      </c>
      <c r="E190" s="3" t="s">
        <v>56</v>
      </c>
      <c r="F190" s="5">
        <f>DATE(106,9,18)</f>
        <v>38978</v>
      </c>
      <c r="G190" s="3" t="s">
        <v>56</v>
      </c>
      <c r="H190" s="3" t="s">
        <v>91</v>
      </c>
      <c r="I190" s="3" t="s">
        <v>341</v>
      </c>
      <c r="J190" s="3" t="s">
        <v>348</v>
      </c>
      <c r="K190" s="3" t="s">
        <v>164</v>
      </c>
      <c r="L190" s="3" t="s">
        <v>61</v>
      </c>
      <c r="M190" s="3" t="s">
        <v>205</v>
      </c>
      <c r="N190" s="7">
        <v>0</v>
      </c>
      <c r="O190" s="7">
        <v>0</v>
      </c>
      <c r="P190" s="8">
        <f t="shared" si="2"/>
        <v>0</v>
      </c>
    </row>
    <row r="191" spans="1:16" ht="12.75">
      <c r="A191" s="3" t="s">
        <v>349</v>
      </c>
      <c r="B191" s="3" t="s">
        <v>350</v>
      </c>
      <c r="C191" s="4">
        <v>0</v>
      </c>
      <c r="D191" s="5"/>
      <c r="E191" s="3" t="s">
        <v>56</v>
      </c>
      <c r="F191" s="5">
        <f>DATE(106,9,18)</f>
        <v>38978</v>
      </c>
      <c r="G191" s="3" t="s">
        <v>56</v>
      </c>
      <c r="H191" s="3" t="s">
        <v>91</v>
      </c>
      <c r="I191" s="3" t="s">
        <v>341</v>
      </c>
      <c r="J191" s="3" t="s">
        <v>348</v>
      </c>
      <c r="K191" s="3" t="s">
        <v>164</v>
      </c>
      <c r="L191" s="3" t="s">
        <v>61</v>
      </c>
      <c r="M191" s="3" t="s">
        <v>205</v>
      </c>
      <c r="N191" s="7">
        <v>0</v>
      </c>
      <c r="O191" s="7">
        <v>0</v>
      </c>
      <c r="P191" s="8">
        <f t="shared" si="2"/>
        <v>0</v>
      </c>
    </row>
    <row r="192" spans="1:16" ht="12.75">
      <c r="A192" s="3" t="s">
        <v>351</v>
      </c>
      <c r="B192" s="3" t="s">
        <v>352</v>
      </c>
      <c r="C192" s="4">
        <v>0</v>
      </c>
      <c r="D192" s="5"/>
      <c r="E192" s="3" t="s">
        <v>56</v>
      </c>
      <c r="F192" s="5">
        <f>DATE(106,9,18)</f>
        <v>38978</v>
      </c>
      <c r="G192" s="3" t="s">
        <v>56</v>
      </c>
      <c r="H192" s="3" t="s">
        <v>91</v>
      </c>
      <c r="I192" s="3" t="s">
        <v>341</v>
      </c>
      <c r="J192" s="3" t="s">
        <v>348</v>
      </c>
      <c r="K192" s="3" t="s">
        <v>164</v>
      </c>
      <c r="L192" s="3" t="s">
        <v>61</v>
      </c>
      <c r="M192" s="3" t="s">
        <v>205</v>
      </c>
      <c r="N192" s="7">
        <v>0</v>
      </c>
      <c r="O192" s="7">
        <v>0</v>
      </c>
      <c r="P192" s="8">
        <f t="shared" si="2"/>
        <v>0</v>
      </c>
    </row>
    <row r="193" spans="1:16" ht="12.75">
      <c r="A193" s="3" t="s">
        <v>353</v>
      </c>
      <c r="B193" s="3" t="s">
        <v>354</v>
      </c>
      <c r="C193" s="4">
        <v>35</v>
      </c>
      <c r="D193" s="5">
        <f>DATE(106,9,19)</f>
        <v>38979</v>
      </c>
      <c r="E193" s="3" t="s">
        <v>56</v>
      </c>
      <c r="F193" s="5">
        <f>DATE(106,11,6)</f>
        <v>39027</v>
      </c>
      <c r="G193" s="3" t="s">
        <v>56</v>
      </c>
      <c r="H193" s="3" t="s">
        <v>91</v>
      </c>
      <c r="I193" s="3" t="s">
        <v>341</v>
      </c>
      <c r="J193" s="3" t="s">
        <v>348</v>
      </c>
      <c r="K193" s="3" t="s">
        <v>164</v>
      </c>
      <c r="L193" s="3" t="s">
        <v>61</v>
      </c>
      <c r="M193" s="3" t="s">
        <v>205</v>
      </c>
      <c r="N193" s="7">
        <v>0</v>
      </c>
      <c r="O193" s="7">
        <v>0</v>
      </c>
      <c r="P193" s="8">
        <f t="shared" si="2"/>
        <v>0</v>
      </c>
    </row>
    <row r="194" spans="1:16" ht="12.75">
      <c r="A194" s="3" t="s">
        <v>356</v>
      </c>
      <c r="B194" s="3" t="s">
        <v>357</v>
      </c>
      <c r="C194" s="4">
        <v>0</v>
      </c>
      <c r="D194" s="5"/>
      <c r="E194" s="3" t="s">
        <v>56</v>
      </c>
      <c r="F194" s="5">
        <f>DATE(106,11,6)</f>
        <v>39027</v>
      </c>
      <c r="G194" s="3" t="s">
        <v>56</v>
      </c>
      <c r="H194" s="3" t="s">
        <v>91</v>
      </c>
      <c r="I194" s="3" t="s">
        <v>341</v>
      </c>
      <c r="J194" s="3" t="s">
        <v>348</v>
      </c>
      <c r="K194" s="3" t="s">
        <v>164</v>
      </c>
      <c r="L194" s="3" t="s">
        <v>61</v>
      </c>
      <c r="M194" s="3" t="s">
        <v>205</v>
      </c>
      <c r="N194" s="7">
        <v>0</v>
      </c>
      <c r="O194" s="7">
        <v>0</v>
      </c>
      <c r="P194" s="8">
        <f aca="true" t="shared" si="3" ref="P194:P257">+O194-N194</f>
        <v>0</v>
      </c>
    </row>
    <row r="195" spans="1:16" ht="12.75">
      <c r="A195" s="3" t="s">
        <v>358</v>
      </c>
      <c r="B195" s="3" t="s">
        <v>359</v>
      </c>
      <c r="C195" s="4">
        <v>25</v>
      </c>
      <c r="D195" s="5">
        <f>DATE(106,8,28)</f>
        <v>38957</v>
      </c>
      <c r="E195" s="3" t="s">
        <v>56</v>
      </c>
      <c r="F195" s="5">
        <f>DATE(106,10,2)</f>
        <v>38992</v>
      </c>
      <c r="G195" s="3" t="s">
        <v>56</v>
      </c>
      <c r="H195" s="3" t="s">
        <v>91</v>
      </c>
      <c r="I195" s="3" t="s">
        <v>341</v>
      </c>
      <c r="J195" s="3" t="s">
        <v>360</v>
      </c>
      <c r="K195" s="3" t="s">
        <v>164</v>
      </c>
      <c r="L195" s="3" t="s">
        <v>61</v>
      </c>
      <c r="M195" s="3" t="s">
        <v>205</v>
      </c>
      <c r="N195" s="7">
        <v>0</v>
      </c>
      <c r="O195" s="7">
        <v>0</v>
      </c>
      <c r="P195" s="8">
        <f t="shared" si="3"/>
        <v>0</v>
      </c>
    </row>
    <row r="196" spans="1:16" ht="12.75">
      <c r="A196" s="3" t="s">
        <v>361</v>
      </c>
      <c r="B196" s="3" t="s">
        <v>362</v>
      </c>
      <c r="C196" s="4">
        <v>0</v>
      </c>
      <c r="D196" s="5"/>
      <c r="E196" s="3" t="s">
        <v>56</v>
      </c>
      <c r="F196" s="5">
        <f>DATE(106,10,2)</f>
        <v>38992</v>
      </c>
      <c r="G196" s="3" t="s">
        <v>56</v>
      </c>
      <c r="H196" s="3" t="s">
        <v>91</v>
      </c>
      <c r="I196" s="3" t="s">
        <v>341</v>
      </c>
      <c r="J196" s="3" t="s">
        <v>360</v>
      </c>
      <c r="K196" s="3" t="s">
        <v>164</v>
      </c>
      <c r="L196" s="3" t="s">
        <v>61</v>
      </c>
      <c r="M196" s="3" t="s">
        <v>205</v>
      </c>
      <c r="N196" s="7">
        <v>0</v>
      </c>
      <c r="O196" s="7">
        <v>0</v>
      </c>
      <c r="P196" s="8">
        <f t="shared" si="3"/>
        <v>0</v>
      </c>
    </row>
    <row r="197" spans="1:16" ht="12.75">
      <c r="A197" s="3" t="s">
        <v>363</v>
      </c>
      <c r="B197" s="3" t="s">
        <v>364</v>
      </c>
      <c r="C197" s="4">
        <v>50</v>
      </c>
      <c r="D197" s="5">
        <f>DATE(106,8,21)</f>
        <v>38950</v>
      </c>
      <c r="E197" s="3" t="s">
        <v>56</v>
      </c>
      <c r="F197" s="5">
        <f>DATE(106,10,30)</f>
        <v>39020</v>
      </c>
      <c r="G197" s="3" t="s">
        <v>56</v>
      </c>
      <c r="H197" s="3" t="s">
        <v>91</v>
      </c>
      <c r="I197" s="3" t="s">
        <v>341</v>
      </c>
      <c r="J197" s="3" t="s">
        <v>360</v>
      </c>
      <c r="K197" s="3" t="s">
        <v>164</v>
      </c>
      <c r="L197" s="3" t="s">
        <v>61</v>
      </c>
      <c r="M197" s="3" t="s">
        <v>205</v>
      </c>
      <c r="N197" s="7">
        <v>0</v>
      </c>
      <c r="O197" s="7">
        <v>40</v>
      </c>
      <c r="P197" s="8">
        <f t="shared" si="3"/>
        <v>40</v>
      </c>
    </row>
    <row r="198" spans="1:16" ht="12.75">
      <c r="A198" s="3" t="s">
        <v>365</v>
      </c>
      <c r="B198" s="3" t="s">
        <v>352</v>
      </c>
      <c r="C198" s="4">
        <v>0</v>
      </c>
      <c r="D198" s="5"/>
      <c r="E198" s="3" t="s">
        <v>56</v>
      </c>
      <c r="F198" s="5">
        <f>DATE(106,10,30)</f>
        <v>39020</v>
      </c>
      <c r="G198" s="3" t="s">
        <v>56</v>
      </c>
      <c r="H198" s="3" t="s">
        <v>91</v>
      </c>
      <c r="I198" s="3" t="s">
        <v>341</v>
      </c>
      <c r="J198" s="3" t="s">
        <v>360</v>
      </c>
      <c r="K198" s="3" t="s">
        <v>164</v>
      </c>
      <c r="L198" s="3" t="s">
        <v>61</v>
      </c>
      <c r="M198" s="3" t="s">
        <v>205</v>
      </c>
      <c r="N198" s="7">
        <v>0</v>
      </c>
      <c r="O198" s="7">
        <v>0</v>
      </c>
      <c r="P198" s="8">
        <f t="shared" si="3"/>
        <v>0</v>
      </c>
    </row>
    <row r="199" spans="1:16" ht="12.75">
      <c r="A199" s="3" t="s">
        <v>366</v>
      </c>
      <c r="B199" s="3" t="s">
        <v>354</v>
      </c>
      <c r="C199" s="4">
        <v>35</v>
      </c>
      <c r="D199" s="5">
        <f>DATE(106,10,31)</f>
        <v>39021</v>
      </c>
      <c r="E199" s="3" t="s">
        <v>56</v>
      </c>
      <c r="F199" s="5">
        <f>DATE(106,12,20)</f>
        <v>39071</v>
      </c>
      <c r="G199" s="3" t="s">
        <v>56</v>
      </c>
      <c r="H199" s="3" t="s">
        <v>91</v>
      </c>
      <c r="I199" s="3" t="s">
        <v>341</v>
      </c>
      <c r="J199" s="3" t="s">
        <v>360</v>
      </c>
      <c r="K199" s="3" t="s">
        <v>164</v>
      </c>
      <c r="L199" s="3" t="s">
        <v>61</v>
      </c>
      <c r="M199" s="3" t="s">
        <v>205</v>
      </c>
      <c r="N199" s="7">
        <v>0</v>
      </c>
      <c r="O199" s="7">
        <v>0</v>
      </c>
      <c r="P199" s="8">
        <f t="shared" si="3"/>
        <v>0</v>
      </c>
    </row>
    <row r="200" spans="1:16" ht="12.75">
      <c r="A200" s="3" t="s">
        <v>367</v>
      </c>
      <c r="B200" s="3" t="s">
        <v>357</v>
      </c>
      <c r="C200" s="4">
        <v>0</v>
      </c>
      <c r="D200" s="5"/>
      <c r="E200" s="3" t="s">
        <v>56</v>
      </c>
      <c r="F200" s="5">
        <f>DATE(106,12,20)</f>
        <v>39071</v>
      </c>
      <c r="G200" s="3" t="s">
        <v>56</v>
      </c>
      <c r="H200" s="3" t="s">
        <v>91</v>
      </c>
      <c r="I200" s="3" t="s">
        <v>341</v>
      </c>
      <c r="J200" s="3" t="s">
        <v>360</v>
      </c>
      <c r="K200" s="3" t="s">
        <v>164</v>
      </c>
      <c r="L200" s="3" t="s">
        <v>61</v>
      </c>
      <c r="M200" s="3" t="s">
        <v>205</v>
      </c>
      <c r="N200" s="7">
        <v>0</v>
      </c>
      <c r="O200" s="7">
        <v>0</v>
      </c>
      <c r="P200" s="8">
        <f t="shared" si="3"/>
        <v>0</v>
      </c>
    </row>
    <row r="201" spans="1:16" ht="12.75">
      <c r="A201" s="3" t="s">
        <v>368</v>
      </c>
      <c r="B201" s="3" t="s">
        <v>359</v>
      </c>
      <c r="C201" s="4">
        <v>15</v>
      </c>
      <c r="D201" s="5">
        <f>DATE(106,8,28)</f>
        <v>38957</v>
      </c>
      <c r="E201" s="3" t="s">
        <v>56</v>
      </c>
      <c r="F201" s="5">
        <f>DATE(106,9,18)</f>
        <v>38978</v>
      </c>
      <c r="G201" s="3" t="s">
        <v>56</v>
      </c>
      <c r="H201" s="3" t="s">
        <v>91</v>
      </c>
      <c r="I201" s="3" t="s">
        <v>341</v>
      </c>
      <c r="J201" s="3" t="s">
        <v>369</v>
      </c>
      <c r="K201" s="3" t="s">
        <v>164</v>
      </c>
      <c r="L201" s="3" t="s">
        <v>61</v>
      </c>
      <c r="M201" s="3" t="s">
        <v>205</v>
      </c>
      <c r="N201" s="7">
        <v>0</v>
      </c>
      <c r="O201" s="7">
        <v>0</v>
      </c>
      <c r="P201" s="8">
        <f t="shared" si="3"/>
        <v>0</v>
      </c>
    </row>
    <row r="202" spans="1:16" ht="12.75">
      <c r="A202" s="3" t="s">
        <v>370</v>
      </c>
      <c r="B202" s="3" t="s">
        <v>371</v>
      </c>
      <c r="C202" s="4">
        <v>10</v>
      </c>
      <c r="D202" s="5">
        <f>DATE(106,9,5)</f>
        <v>38965</v>
      </c>
      <c r="E202" s="3" t="s">
        <v>56</v>
      </c>
      <c r="F202" s="5">
        <f>DATE(106,9,18)</f>
        <v>38978</v>
      </c>
      <c r="G202" s="3" t="s">
        <v>56</v>
      </c>
      <c r="H202" s="3" t="s">
        <v>91</v>
      </c>
      <c r="I202" s="3" t="s">
        <v>341</v>
      </c>
      <c r="J202" s="3" t="s">
        <v>369</v>
      </c>
      <c r="K202" s="3" t="s">
        <v>164</v>
      </c>
      <c r="L202" s="3" t="s">
        <v>61</v>
      </c>
      <c r="M202" s="3" t="s">
        <v>205</v>
      </c>
      <c r="N202" s="7">
        <v>0</v>
      </c>
      <c r="O202" s="7">
        <v>0</v>
      </c>
      <c r="P202" s="8">
        <f t="shared" si="3"/>
        <v>0</v>
      </c>
    </row>
    <row r="203" spans="1:16" ht="12.75">
      <c r="A203" s="3" t="s">
        <v>372</v>
      </c>
      <c r="B203" s="3" t="s">
        <v>352</v>
      </c>
      <c r="C203" s="4">
        <v>0</v>
      </c>
      <c r="D203" s="5"/>
      <c r="E203" s="3" t="s">
        <v>56</v>
      </c>
      <c r="F203" s="5">
        <f>DATE(106,9,18)</f>
        <v>38978</v>
      </c>
      <c r="G203" s="3" t="s">
        <v>56</v>
      </c>
      <c r="H203" s="3" t="s">
        <v>91</v>
      </c>
      <c r="I203" s="3" t="s">
        <v>341</v>
      </c>
      <c r="J203" s="3" t="s">
        <v>369</v>
      </c>
      <c r="K203" s="3" t="s">
        <v>164</v>
      </c>
      <c r="L203" s="3" t="s">
        <v>61</v>
      </c>
      <c r="M203" s="3" t="s">
        <v>205</v>
      </c>
      <c r="N203" s="7">
        <v>0</v>
      </c>
      <c r="O203" s="7">
        <v>0</v>
      </c>
      <c r="P203" s="8">
        <f t="shared" si="3"/>
        <v>0</v>
      </c>
    </row>
    <row r="204" spans="1:16" ht="12.75">
      <c r="A204" s="3" t="s">
        <v>373</v>
      </c>
      <c r="B204" s="3" t="s">
        <v>374</v>
      </c>
      <c r="C204" s="4">
        <v>30</v>
      </c>
      <c r="D204" s="5">
        <f>DATE(106,9,19)</f>
        <v>38979</v>
      </c>
      <c r="E204" s="3" t="s">
        <v>56</v>
      </c>
      <c r="F204" s="5">
        <f>DATE(106,10,30)</f>
        <v>39020</v>
      </c>
      <c r="G204" s="3" t="s">
        <v>56</v>
      </c>
      <c r="H204" s="3" t="s">
        <v>91</v>
      </c>
      <c r="I204" s="3" t="s">
        <v>341</v>
      </c>
      <c r="J204" s="3" t="s">
        <v>369</v>
      </c>
      <c r="K204" s="3" t="s">
        <v>164</v>
      </c>
      <c r="L204" s="3" t="s">
        <v>61</v>
      </c>
      <c r="M204" s="3" t="s">
        <v>205</v>
      </c>
      <c r="N204" s="7">
        <v>0</v>
      </c>
      <c r="O204" s="7">
        <v>0</v>
      </c>
      <c r="P204" s="8">
        <f t="shared" si="3"/>
        <v>0</v>
      </c>
    </row>
    <row r="205" spans="1:16" ht="12.75">
      <c r="A205" s="3" t="s">
        <v>375</v>
      </c>
      <c r="B205" s="3" t="s">
        <v>376</v>
      </c>
      <c r="C205" s="4">
        <v>0</v>
      </c>
      <c r="D205" s="5"/>
      <c r="E205" s="3" t="s">
        <v>56</v>
      </c>
      <c r="F205" s="5">
        <f>DATE(106,10,30)</f>
        <v>39020</v>
      </c>
      <c r="G205" s="3" t="s">
        <v>56</v>
      </c>
      <c r="H205" s="3" t="s">
        <v>91</v>
      </c>
      <c r="I205" s="3" t="s">
        <v>341</v>
      </c>
      <c r="J205" s="3" t="s">
        <v>369</v>
      </c>
      <c r="K205" s="3" t="s">
        <v>164</v>
      </c>
      <c r="L205" s="3" t="s">
        <v>61</v>
      </c>
      <c r="M205" s="3" t="s">
        <v>205</v>
      </c>
      <c r="N205" s="7">
        <v>0</v>
      </c>
      <c r="O205" s="7">
        <v>0</v>
      </c>
      <c r="P205" s="8">
        <f t="shared" si="3"/>
        <v>0</v>
      </c>
    </row>
    <row r="206" spans="1:16" ht="12.75">
      <c r="A206" s="3" t="s">
        <v>377</v>
      </c>
      <c r="B206" s="3" t="s">
        <v>378</v>
      </c>
      <c r="C206" s="4">
        <v>20</v>
      </c>
      <c r="D206" s="5">
        <f>DATE(106,8,28)</f>
        <v>38957</v>
      </c>
      <c r="E206" s="3" t="s">
        <v>56</v>
      </c>
      <c r="F206" s="5">
        <f>DATE(106,9,25)</f>
        <v>38985</v>
      </c>
      <c r="G206" s="3" t="s">
        <v>56</v>
      </c>
      <c r="H206" s="3" t="s">
        <v>91</v>
      </c>
      <c r="I206" s="3" t="s">
        <v>341</v>
      </c>
      <c r="J206" s="3" t="s">
        <v>379</v>
      </c>
      <c r="K206" s="3" t="s">
        <v>164</v>
      </c>
      <c r="L206" s="3" t="s">
        <v>61</v>
      </c>
      <c r="M206" s="3" t="s">
        <v>205</v>
      </c>
      <c r="N206" s="7">
        <v>0</v>
      </c>
      <c r="O206" s="7">
        <v>0</v>
      </c>
      <c r="P206" s="8">
        <f t="shared" si="3"/>
        <v>0</v>
      </c>
    </row>
    <row r="207" spans="1:16" ht="12.75">
      <c r="A207" s="3" t="s">
        <v>380</v>
      </c>
      <c r="B207" s="3" t="s">
        <v>381</v>
      </c>
      <c r="C207" s="4">
        <v>10</v>
      </c>
      <c r="D207" s="5">
        <f>DATE(106,9,5)</f>
        <v>38965</v>
      </c>
      <c r="E207" s="3" t="s">
        <v>56</v>
      </c>
      <c r="F207" s="5">
        <f>DATE(106,9,18)</f>
        <v>38978</v>
      </c>
      <c r="G207" s="3" t="s">
        <v>56</v>
      </c>
      <c r="H207" s="3" t="s">
        <v>91</v>
      </c>
      <c r="I207" s="3" t="s">
        <v>341</v>
      </c>
      <c r="J207" s="3" t="s">
        <v>379</v>
      </c>
      <c r="K207" s="3" t="s">
        <v>164</v>
      </c>
      <c r="L207" s="3" t="s">
        <v>61</v>
      </c>
      <c r="M207" s="3" t="s">
        <v>205</v>
      </c>
      <c r="N207" s="7">
        <v>0</v>
      </c>
      <c r="O207" s="7">
        <v>40</v>
      </c>
      <c r="P207" s="8">
        <f t="shared" si="3"/>
        <v>40</v>
      </c>
    </row>
    <row r="208" spans="1:16" ht="12.75">
      <c r="A208" s="3" t="s">
        <v>382</v>
      </c>
      <c r="B208" s="3" t="s">
        <v>383</v>
      </c>
      <c r="C208" s="4">
        <v>0</v>
      </c>
      <c r="D208" s="5"/>
      <c r="E208" s="3" t="s">
        <v>56</v>
      </c>
      <c r="F208" s="5">
        <f>DATE(106,9,25)</f>
        <v>38985</v>
      </c>
      <c r="G208" s="3" t="s">
        <v>56</v>
      </c>
      <c r="H208" s="3" t="s">
        <v>91</v>
      </c>
      <c r="I208" s="3" t="s">
        <v>341</v>
      </c>
      <c r="J208" s="3" t="s">
        <v>379</v>
      </c>
      <c r="K208" s="3" t="s">
        <v>164</v>
      </c>
      <c r="L208" s="3" t="s">
        <v>61</v>
      </c>
      <c r="M208" s="3" t="s">
        <v>205</v>
      </c>
      <c r="N208" s="7">
        <v>0</v>
      </c>
      <c r="O208" s="7">
        <v>0</v>
      </c>
      <c r="P208" s="8">
        <f t="shared" si="3"/>
        <v>0</v>
      </c>
    </row>
    <row r="209" spans="1:16" ht="12.75">
      <c r="A209" s="3" t="s">
        <v>384</v>
      </c>
      <c r="B209" s="3" t="s">
        <v>354</v>
      </c>
      <c r="C209" s="4">
        <v>30</v>
      </c>
      <c r="D209" s="5">
        <f>DATE(106,9,12)</f>
        <v>38972</v>
      </c>
      <c r="E209" s="3" t="s">
        <v>56</v>
      </c>
      <c r="F209" s="5">
        <f>DATE(106,10,23)</f>
        <v>39013</v>
      </c>
      <c r="G209" s="3" t="s">
        <v>56</v>
      </c>
      <c r="H209" s="3" t="s">
        <v>91</v>
      </c>
      <c r="I209" s="3" t="s">
        <v>341</v>
      </c>
      <c r="J209" s="3" t="s">
        <v>379</v>
      </c>
      <c r="K209" s="3" t="s">
        <v>164</v>
      </c>
      <c r="L209" s="3" t="s">
        <v>61</v>
      </c>
      <c r="M209" s="3" t="s">
        <v>205</v>
      </c>
      <c r="N209" s="7">
        <v>0</v>
      </c>
      <c r="O209" s="7">
        <v>0</v>
      </c>
      <c r="P209" s="8">
        <f t="shared" si="3"/>
        <v>0</v>
      </c>
    </row>
    <row r="210" spans="1:16" ht="12.75">
      <c r="A210" s="3" t="s">
        <v>385</v>
      </c>
      <c r="B210" s="3" t="s">
        <v>357</v>
      </c>
      <c r="C210" s="4">
        <v>0</v>
      </c>
      <c r="D210" s="5"/>
      <c r="E210" s="3" t="s">
        <v>56</v>
      </c>
      <c r="F210" s="5">
        <f>DATE(106,10,23)</f>
        <v>39013</v>
      </c>
      <c r="G210" s="3" t="s">
        <v>56</v>
      </c>
      <c r="H210" s="3" t="s">
        <v>91</v>
      </c>
      <c r="I210" s="3" t="s">
        <v>341</v>
      </c>
      <c r="J210" s="3" t="s">
        <v>379</v>
      </c>
      <c r="K210" s="3" t="s">
        <v>164</v>
      </c>
      <c r="L210" s="3" t="s">
        <v>61</v>
      </c>
      <c r="M210" s="3" t="s">
        <v>205</v>
      </c>
      <c r="N210" s="7">
        <v>0</v>
      </c>
      <c r="O210" s="7">
        <v>0</v>
      </c>
      <c r="P210" s="8">
        <f t="shared" si="3"/>
        <v>0</v>
      </c>
    </row>
    <row r="211" spans="1:16" ht="12.75">
      <c r="A211" s="3" t="s">
        <v>386</v>
      </c>
      <c r="B211" s="3" t="s">
        <v>387</v>
      </c>
      <c r="C211" s="4">
        <v>20</v>
      </c>
      <c r="D211" s="5">
        <f>DATE(106,10,9)</f>
        <v>38999</v>
      </c>
      <c r="E211" s="3" t="s">
        <v>56</v>
      </c>
      <c r="F211" s="5">
        <f>DATE(106,11,3)</f>
        <v>39024</v>
      </c>
      <c r="G211" s="3" t="s">
        <v>56</v>
      </c>
      <c r="H211" s="3" t="s">
        <v>91</v>
      </c>
      <c r="I211" s="3" t="s">
        <v>341</v>
      </c>
      <c r="J211" s="3" t="s">
        <v>388</v>
      </c>
      <c r="K211" s="3" t="s">
        <v>164</v>
      </c>
      <c r="L211" s="3" t="s">
        <v>61</v>
      </c>
      <c r="M211" s="3" t="s">
        <v>205</v>
      </c>
      <c r="N211" s="7">
        <v>0</v>
      </c>
      <c r="O211" s="7">
        <v>0</v>
      </c>
      <c r="P211" s="8">
        <f t="shared" si="3"/>
        <v>0</v>
      </c>
    </row>
    <row r="212" spans="1:16" ht="12.75">
      <c r="A212" s="3" t="s">
        <v>389</v>
      </c>
      <c r="B212" s="3" t="s">
        <v>390</v>
      </c>
      <c r="C212" s="4">
        <v>20</v>
      </c>
      <c r="D212" s="5">
        <f>DATE(106,10,16)</f>
        <v>39006</v>
      </c>
      <c r="E212" s="3" t="s">
        <v>56</v>
      </c>
      <c r="F212" s="5">
        <f>DATE(106,11,10)</f>
        <v>39031</v>
      </c>
      <c r="G212" s="3" t="s">
        <v>56</v>
      </c>
      <c r="H212" s="3" t="s">
        <v>91</v>
      </c>
      <c r="I212" s="3" t="s">
        <v>341</v>
      </c>
      <c r="J212" s="3" t="s">
        <v>388</v>
      </c>
      <c r="K212" s="3" t="s">
        <v>164</v>
      </c>
      <c r="L212" s="3" t="s">
        <v>61</v>
      </c>
      <c r="M212" s="3" t="s">
        <v>205</v>
      </c>
      <c r="N212" s="7">
        <v>0</v>
      </c>
      <c r="O212" s="7">
        <v>0</v>
      </c>
      <c r="P212" s="8">
        <f t="shared" si="3"/>
        <v>0</v>
      </c>
    </row>
    <row r="213" spans="1:16" ht="12.75">
      <c r="A213" s="3" t="s">
        <v>391</v>
      </c>
      <c r="B213" s="3" t="s">
        <v>392</v>
      </c>
      <c r="C213" s="4">
        <v>0</v>
      </c>
      <c r="D213" s="5"/>
      <c r="E213" s="3" t="s">
        <v>56</v>
      </c>
      <c r="F213" s="5">
        <f>DATE(106,11,10)</f>
        <v>39031</v>
      </c>
      <c r="G213" s="3" t="s">
        <v>56</v>
      </c>
      <c r="H213" s="3" t="s">
        <v>91</v>
      </c>
      <c r="I213" s="3" t="s">
        <v>341</v>
      </c>
      <c r="J213" s="3" t="s">
        <v>388</v>
      </c>
      <c r="K213" s="3" t="s">
        <v>164</v>
      </c>
      <c r="L213" s="3" t="s">
        <v>61</v>
      </c>
      <c r="M213" s="3" t="s">
        <v>205</v>
      </c>
      <c r="N213" s="7">
        <v>0</v>
      </c>
      <c r="O213" s="7">
        <v>0</v>
      </c>
      <c r="P213" s="8">
        <f t="shared" si="3"/>
        <v>0</v>
      </c>
    </row>
    <row r="214" spans="1:16" ht="12.75">
      <c r="A214" s="3" t="s">
        <v>393</v>
      </c>
      <c r="B214" s="3" t="s">
        <v>394</v>
      </c>
      <c r="C214" s="4">
        <v>20</v>
      </c>
      <c r="D214" s="5">
        <f>DATE(106,11,20)</f>
        <v>39041</v>
      </c>
      <c r="E214" s="3" t="s">
        <v>56</v>
      </c>
      <c r="F214" s="5">
        <f>DATE(106,12,19)</f>
        <v>39070</v>
      </c>
      <c r="G214" s="3" t="s">
        <v>56</v>
      </c>
      <c r="H214" s="3" t="s">
        <v>91</v>
      </c>
      <c r="I214" s="3" t="s">
        <v>341</v>
      </c>
      <c r="J214" s="3" t="s">
        <v>388</v>
      </c>
      <c r="K214" s="3" t="s">
        <v>164</v>
      </c>
      <c r="L214" s="3" t="s">
        <v>61</v>
      </c>
      <c r="M214" s="3" t="s">
        <v>205</v>
      </c>
      <c r="N214" s="7">
        <v>0</v>
      </c>
      <c r="O214" s="7">
        <v>0</v>
      </c>
      <c r="P214" s="8">
        <f t="shared" si="3"/>
        <v>0</v>
      </c>
    </row>
    <row r="215" spans="1:16" ht="12.75">
      <c r="A215" s="3" t="s">
        <v>395</v>
      </c>
      <c r="B215" s="3" t="s">
        <v>396</v>
      </c>
      <c r="C215" s="4">
        <v>20</v>
      </c>
      <c r="D215" s="5">
        <f>DATE(106,12,6)</f>
        <v>39057</v>
      </c>
      <c r="E215" s="3" t="s">
        <v>56</v>
      </c>
      <c r="F215" s="5">
        <f>DATE(107,1,10)</f>
        <v>39092</v>
      </c>
      <c r="G215" s="3" t="s">
        <v>56</v>
      </c>
      <c r="H215" s="3" t="s">
        <v>91</v>
      </c>
      <c r="I215" s="3" t="s">
        <v>341</v>
      </c>
      <c r="J215" s="3" t="s">
        <v>388</v>
      </c>
      <c r="K215" s="3" t="s">
        <v>164</v>
      </c>
      <c r="L215" s="3" t="s">
        <v>61</v>
      </c>
      <c r="M215" s="3" t="s">
        <v>205</v>
      </c>
      <c r="N215" s="7">
        <v>0</v>
      </c>
      <c r="O215" s="7">
        <v>0</v>
      </c>
      <c r="P215" s="8">
        <f t="shared" si="3"/>
        <v>0</v>
      </c>
    </row>
    <row r="216" spans="1:16" ht="12.75">
      <c r="A216" s="3" t="s">
        <v>397</v>
      </c>
      <c r="B216" s="3" t="s">
        <v>398</v>
      </c>
      <c r="C216" s="4">
        <v>15</v>
      </c>
      <c r="D216" s="5">
        <f>DATE(106,12,13)</f>
        <v>39064</v>
      </c>
      <c r="E216" s="3" t="s">
        <v>56</v>
      </c>
      <c r="F216" s="5">
        <f>DATE(107,1,10)</f>
        <v>39092</v>
      </c>
      <c r="G216" s="3" t="s">
        <v>56</v>
      </c>
      <c r="H216" s="3" t="s">
        <v>91</v>
      </c>
      <c r="I216" s="3" t="s">
        <v>341</v>
      </c>
      <c r="J216" s="3" t="s">
        <v>388</v>
      </c>
      <c r="K216" s="3" t="s">
        <v>164</v>
      </c>
      <c r="L216" s="3" t="s">
        <v>61</v>
      </c>
      <c r="M216" s="3" t="s">
        <v>205</v>
      </c>
      <c r="N216" s="7">
        <v>0</v>
      </c>
      <c r="O216" s="7">
        <v>0</v>
      </c>
      <c r="P216" s="8">
        <f t="shared" si="3"/>
        <v>0</v>
      </c>
    </row>
    <row r="217" spans="1:16" ht="12.75">
      <c r="A217" s="3" t="s">
        <v>399</v>
      </c>
      <c r="B217" s="3" t="s">
        <v>400</v>
      </c>
      <c r="C217" s="4">
        <v>20</v>
      </c>
      <c r="D217" s="5">
        <f>DATE(106,9,11)</f>
        <v>38971</v>
      </c>
      <c r="E217" s="3" t="s">
        <v>56</v>
      </c>
      <c r="F217" s="5">
        <f>DATE(106,10,6)</f>
        <v>38996</v>
      </c>
      <c r="G217" s="3" t="s">
        <v>56</v>
      </c>
      <c r="H217" s="3" t="s">
        <v>91</v>
      </c>
      <c r="I217" s="3" t="s">
        <v>341</v>
      </c>
      <c r="J217" s="3" t="s">
        <v>401</v>
      </c>
      <c r="K217" s="3" t="s">
        <v>164</v>
      </c>
      <c r="L217" s="3" t="s">
        <v>61</v>
      </c>
      <c r="M217" s="3" t="s">
        <v>205</v>
      </c>
      <c r="N217" s="7">
        <v>0</v>
      </c>
      <c r="O217" s="7">
        <v>16</v>
      </c>
      <c r="P217" s="8">
        <f t="shared" si="3"/>
        <v>16</v>
      </c>
    </row>
    <row r="218" spans="1:16" ht="12.75">
      <c r="A218" s="3" t="s">
        <v>402</v>
      </c>
      <c r="B218" s="3" t="s">
        <v>403</v>
      </c>
      <c r="C218" s="4">
        <v>15</v>
      </c>
      <c r="D218" s="5">
        <f>DATE(106,9,18)</f>
        <v>38978</v>
      </c>
      <c r="E218" s="3" t="s">
        <v>56</v>
      </c>
      <c r="F218" s="5">
        <f>DATE(106,10,6)</f>
        <v>38996</v>
      </c>
      <c r="G218" s="3" t="s">
        <v>56</v>
      </c>
      <c r="H218" s="3" t="s">
        <v>91</v>
      </c>
      <c r="I218" s="3" t="s">
        <v>341</v>
      </c>
      <c r="J218" s="3" t="s">
        <v>401</v>
      </c>
      <c r="K218" s="3" t="s">
        <v>164</v>
      </c>
      <c r="L218" s="3" t="s">
        <v>61</v>
      </c>
      <c r="M218" s="3" t="s">
        <v>205</v>
      </c>
      <c r="N218" s="7">
        <v>0</v>
      </c>
      <c r="O218" s="7">
        <v>16</v>
      </c>
      <c r="P218" s="8">
        <f t="shared" si="3"/>
        <v>16</v>
      </c>
    </row>
    <row r="219" spans="1:16" ht="12.75">
      <c r="A219" s="3" t="s">
        <v>404</v>
      </c>
      <c r="B219" s="3" t="s">
        <v>352</v>
      </c>
      <c r="C219" s="4">
        <v>0</v>
      </c>
      <c r="D219" s="5"/>
      <c r="E219" s="3" t="s">
        <v>56</v>
      </c>
      <c r="F219" s="5">
        <f>DATE(106,10,6)</f>
        <v>38996</v>
      </c>
      <c r="G219" s="3" t="s">
        <v>56</v>
      </c>
      <c r="H219" s="3" t="s">
        <v>91</v>
      </c>
      <c r="I219" s="3" t="s">
        <v>341</v>
      </c>
      <c r="J219" s="3" t="s">
        <v>401</v>
      </c>
      <c r="K219" s="3" t="s">
        <v>164</v>
      </c>
      <c r="L219" s="3" t="s">
        <v>61</v>
      </c>
      <c r="M219" s="3" t="s">
        <v>205</v>
      </c>
      <c r="N219" s="7">
        <v>0</v>
      </c>
      <c r="O219" s="7">
        <v>0</v>
      </c>
      <c r="P219" s="8">
        <f t="shared" si="3"/>
        <v>0</v>
      </c>
    </row>
    <row r="220" spans="1:16" ht="12.75">
      <c r="A220" s="3" t="s">
        <v>405</v>
      </c>
      <c r="B220" s="3" t="s">
        <v>354</v>
      </c>
      <c r="C220" s="4">
        <v>25</v>
      </c>
      <c r="D220" s="5">
        <f>DATE(106,10,9)</f>
        <v>38999</v>
      </c>
      <c r="E220" s="3" t="s">
        <v>56</v>
      </c>
      <c r="F220" s="5">
        <f>DATE(106,11,10)</f>
        <v>39031</v>
      </c>
      <c r="G220" s="3" t="s">
        <v>56</v>
      </c>
      <c r="H220" s="3" t="s">
        <v>91</v>
      </c>
      <c r="I220" s="3" t="s">
        <v>341</v>
      </c>
      <c r="J220" s="3" t="s">
        <v>401</v>
      </c>
      <c r="K220" s="3" t="s">
        <v>164</v>
      </c>
      <c r="L220" s="3" t="s">
        <v>61</v>
      </c>
      <c r="M220" s="3" t="s">
        <v>205</v>
      </c>
      <c r="N220" s="7">
        <v>0</v>
      </c>
      <c r="O220" s="7">
        <v>0</v>
      </c>
      <c r="P220" s="8">
        <f t="shared" si="3"/>
        <v>0</v>
      </c>
    </row>
    <row r="221" spans="1:16" ht="12.75">
      <c r="A221" s="3" t="s">
        <v>406</v>
      </c>
      <c r="B221" s="3" t="s">
        <v>357</v>
      </c>
      <c r="C221" s="4">
        <v>0</v>
      </c>
      <c r="D221" s="5"/>
      <c r="E221" s="3" t="s">
        <v>56</v>
      </c>
      <c r="F221" s="5">
        <f>DATE(106,11,10)</f>
        <v>39031</v>
      </c>
      <c r="G221" s="3" t="s">
        <v>56</v>
      </c>
      <c r="H221" s="3" t="s">
        <v>91</v>
      </c>
      <c r="I221" s="3" t="s">
        <v>341</v>
      </c>
      <c r="J221" s="3" t="s">
        <v>401</v>
      </c>
      <c r="K221" s="3" t="s">
        <v>164</v>
      </c>
      <c r="L221" s="3" t="s">
        <v>61</v>
      </c>
      <c r="M221" s="3" t="s">
        <v>205</v>
      </c>
      <c r="N221" s="7">
        <v>0</v>
      </c>
      <c r="O221" s="7">
        <v>0</v>
      </c>
      <c r="P221" s="8">
        <f t="shared" si="3"/>
        <v>0</v>
      </c>
    </row>
    <row r="222" spans="1:16" ht="12.75">
      <c r="A222" s="3" t="s">
        <v>407</v>
      </c>
      <c r="B222" s="3" t="s">
        <v>408</v>
      </c>
      <c r="C222" s="4">
        <v>60</v>
      </c>
      <c r="D222" s="5">
        <f>DATE(106,11,7)</f>
        <v>39028</v>
      </c>
      <c r="E222" s="3" t="s">
        <v>56</v>
      </c>
      <c r="F222" s="5">
        <f>DATE(107,2,8)</f>
        <v>39121</v>
      </c>
      <c r="G222" s="3" t="s">
        <v>56</v>
      </c>
      <c r="H222" s="3" t="s">
        <v>91</v>
      </c>
      <c r="I222" s="3" t="s">
        <v>409</v>
      </c>
      <c r="J222" s="3" t="s">
        <v>348</v>
      </c>
      <c r="K222" s="3" t="s">
        <v>164</v>
      </c>
      <c r="L222" s="3" t="s">
        <v>61</v>
      </c>
      <c r="M222" s="3" t="s">
        <v>205</v>
      </c>
      <c r="N222" s="7">
        <v>0</v>
      </c>
      <c r="O222" s="7">
        <v>0</v>
      </c>
      <c r="P222" s="8">
        <f t="shared" si="3"/>
        <v>0</v>
      </c>
    </row>
    <row r="223" spans="1:16" ht="12.75">
      <c r="A223" s="3" t="s">
        <v>410</v>
      </c>
      <c r="B223" s="3" t="s">
        <v>411</v>
      </c>
      <c r="C223" s="4">
        <v>0</v>
      </c>
      <c r="D223" s="5"/>
      <c r="E223" s="3" t="s">
        <v>56</v>
      </c>
      <c r="F223" s="5">
        <f>DATE(107,2,8)</f>
        <v>39121</v>
      </c>
      <c r="G223" s="3" t="s">
        <v>56</v>
      </c>
      <c r="H223" s="3" t="s">
        <v>91</v>
      </c>
      <c r="I223" s="3" t="s">
        <v>409</v>
      </c>
      <c r="J223" s="3" t="s">
        <v>348</v>
      </c>
      <c r="K223" s="3" t="s">
        <v>164</v>
      </c>
      <c r="L223" s="3" t="s">
        <v>61</v>
      </c>
      <c r="M223" s="3" t="s">
        <v>205</v>
      </c>
      <c r="N223" s="7">
        <v>0</v>
      </c>
      <c r="O223" s="7">
        <v>0</v>
      </c>
      <c r="P223" s="8">
        <f t="shared" si="3"/>
        <v>0</v>
      </c>
    </row>
    <row r="224" spans="1:16" ht="12.75">
      <c r="A224" s="3" t="s">
        <v>416</v>
      </c>
      <c r="B224" s="3" t="s">
        <v>417</v>
      </c>
      <c r="C224" s="4">
        <v>0</v>
      </c>
      <c r="D224" s="5"/>
      <c r="E224" s="3" t="s">
        <v>56</v>
      </c>
      <c r="F224" s="5">
        <f>DATE(107,2,15)</f>
        <v>39128</v>
      </c>
      <c r="G224" s="3" t="s">
        <v>56</v>
      </c>
      <c r="H224" s="3" t="s">
        <v>91</v>
      </c>
      <c r="I224" s="3" t="s">
        <v>409</v>
      </c>
      <c r="J224" s="3" t="s">
        <v>360</v>
      </c>
      <c r="K224" s="3" t="s">
        <v>418</v>
      </c>
      <c r="L224" s="3" t="s">
        <v>61</v>
      </c>
      <c r="M224" s="3" t="s">
        <v>205</v>
      </c>
      <c r="N224" s="7">
        <v>0</v>
      </c>
      <c r="O224" s="7">
        <v>0</v>
      </c>
      <c r="P224" s="8">
        <f t="shared" si="3"/>
        <v>0</v>
      </c>
    </row>
    <row r="225" spans="1:16" ht="12.75">
      <c r="A225" s="3" t="s">
        <v>419</v>
      </c>
      <c r="B225" s="3" t="s">
        <v>420</v>
      </c>
      <c r="C225" s="4">
        <v>60</v>
      </c>
      <c r="D225" s="5">
        <f>DATE(106,10,31)</f>
        <v>39021</v>
      </c>
      <c r="E225" s="3" t="s">
        <v>56</v>
      </c>
      <c r="F225" s="5">
        <f>DATE(107,2,1)</f>
        <v>39114</v>
      </c>
      <c r="G225" s="3" t="s">
        <v>56</v>
      </c>
      <c r="H225" s="3" t="s">
        <v>91</v>
      </c>
      <c r="I225" s="3" t="s">
        <v>409</v>
      </c>
      <c r="J225" s="3" t="s">
        <v>369</v>
      </c>
      <c r="K225" s="3" t="s">
        <v>164</v>
      </c>
      <c r="L225" s="3" t="s">
        <v>61</v>
      </c>
      <c r="M225" s="3" t="s">
        <v>205</v>
      </c>
      <c r="N225" s="7">
        <v>0</v>
      </c>
      <c r="O225" s="7">
        <v>0</v>
      </c>
      <c r="P225" s="8">
        <f t="shared" si="3"/>
        <v>0</v>
      </c>
    </row>
    <row r="226" spans="1:16" ht="12.75">
      <c r="A226" s="3" t="s">
        <v>421</v>
      </c>
      <c r="B226" s="3" t="s">
        <v>422</v>
      </c>
      <c r="C226" s="4">
        <v>0</v>
      </c>
      <c r="D226" s="5"/>
      <c r="E226" s="3" t="s">
        <v>56</v>
      </c>
      <c r="F226" s="5">
        <f>DATE(107,2,1)</f>
        <v>39114</v>
      </c>
      <c r="G226" s="3" t="s">
        <v>56</v>
      </c>
      <c r="H226" s="3" t="s">
        <v>91</v>
      </c>
      <c r="I226" s="3" t="s">
        <v>409</v>
      </c>
      <c r="J226" s="3" t="s">
        <v>369</v>
      </c>
      <c r="K226" s="3" t="s">
        <v>164</v>
      </c>
      <c r="L226" s="3" t="s">
        <v>61</v>
      </c>
      <c r="M226" s="3" t="s">
        <v>205</v>
      </c>
      <c r="N226" s="7">
        <v>0</v>
      </c>
      <c r="O226" s="7">
        <v>0</v>
      </c>
      <c r="P226" s="8">
        <f t="shared" si="3"/>
        <v>0</v>
      </c>
    </row>
    <row r="227" spans="1:16" ht="12.75">
      <c r="A227" s="3" t="s">
        <v>423</v>
      </c>
      <c r="B227" s="3" t="s">
        <v>424</v>
      </c>
      <c r="C227" s="4">
        <v>0</v>
      </c>
      <c r="D227" s="5"/>
      <c r="E227" s="3" t="s">
        <v>56</v>
      </c>
      <c r="F227" s="5">
        <f>DATE(107,1,25)</f>
        <v>39107</v>
      </c>
      <c r="G227" s="3" t="s">
        <v>56</v>
      </c>
      <c r="H227" s="3" t="s">
        <v>91</v>
      </c>
      <c r="I227" s="3" t="s">
        <v>409</v>
      </c>
      <c r="J227" s="3" t="s">
        <v>379</v>
      </c>
      <c r="K227" s="3" t="s">
        <v>164</v>
      </c>
      <c r="L227" s="3" t="s">
        <v>61</v>
      </c>
      <c r="M227" s="3" t="s">
        <v>205</v>
      </c>
      <c r="N227" s="7">
        <v>0</v>
      </c>
      <c r="O227" s="7">
        <v>0</v>
      </c>
      <c r="P227" s="8">
        <f t="shared" si="3"/>
        <v>0</v>
      </c>
    </row>
    <row r="228" spans="1:16" ht="12.75">
      <c r="A228" s="3" t="s">
        <v>431</v>
      </c>
      <c r="B228" s="3" t="s">
        <v>432</v>
      </c>
      <c r="C228" s="4">
        <v>0</v>
      </c>
      <c r="D228" s="5"/>
      <c r="E228" s="3" t="s">
        <v>56</v>
      </c>
      <c r="F228" s="5">
        <f>DATE(107,1,31)</f>
        <v>39113</v>
      </c>
      <c r="G228" s="3" t="s">
        <v>56</v>
      </c>
      <c r="H228" s="3" t="s">
        <v>91</v>
      </c>
      <c r="I228" s="3" t="s">
        <v>409</v>
      </c>
      <c r="J228" s="3" t="s">
        <v>388</v>
      </c>
      <c r="K228" s="3" t="s">
        <v>418</v>
      </c>
      <c r="L228" s="3" t="s">
        <v>61</v>
      </c>
      <c r="M228" s="3" t="s">
        <v>205</v>
      </c>
      <c r="N228" s="7">
        <v>0</v>
      </c>
      <c r="O228" s="7">
        <v>0</v>
      </c>
      <c r="P228" s="8">
        <f t="shared" si="3"/>
        <v>0</v>
      </c>
    </row>
    <row r="229" spans="1:16" ht="12.75">
      <c r="A229" s="3" t="s">
        <v>433</v>
      </c>
      <c r="B229" s="3" t="s">
        <v>434</v>
      </c>
      <c r="C229" s="4">
        <v>50</v>
      </c>
      <c r="D229" s="5">
        <f>DATE(106,11,13)</f>
        <v>39034</v>
      </c>
      <c r="E229" s="3" t="s">
        <v>56</v>
      </c>
      <c r="F229" s="5">
        <f>DATE(107,1,31)</f>
        <v>39113</v>
      </c>
      <c r="G229" s="3" t="s">
        <v>56</v>
      </c>
      <c r="H229" s="3" t="s">
        <v>91</v>
      </c>
      <c r="I229" s="3" t="s">
        <v>409</v>
      </c>
      <c r="J229" s="3" t="s">
        <v>401</v>
      </c>
      <c r="K229" s="3" t="s">
        <v>164</v>
      </c>
      <c r="L229" s="3" t="s">
        <v>61</v>
      </c>
      <c r="M229" s="3" t="s">
        <v>205</v>
      </c>
      <c r="N229" s="7">
        <v>0</v>
      </c>
      <c r="O229" s="7">
        <v>0</v>
      </c>
      <c r="P229" s="8">
        <f t="shared" si="3"/>
        <v>0</v>
      </c>
    </row>
    <row r="230" spans="1:16" ht="12.75">
      <c r="A230" s="3" t="s">
        <v>435</v>
      </c>
      <c r="B230" s="3" t="s">
        <v>436</v>
      </c>
      <c r="C230" s="4">
        <v>0</v>
      </c>
      <c r="D230" s="5"/>
      <c r="E230" s="3" t="s">
        <v>56</v>
      </c>
      <c r="F230" s="5">
        <f>DATE(107,1,31)</f>
        <v>39113</v>
      </c>
      <c r="G230" s="3" t="s">
        <v>56</v>
      </c>
      <c r="H230" s="3" t="s">
        <v>91</v>
      </c>
      <c r="I230" s="3" t="s">
        <v>409</v>
      </c>
      <c r="J230" s="3" t="s">
        <v>401</v>
      </c>
      <c r="K230" s="3" t="s">
        <v>164</v>
      </c>
      <c r="L230" s="3" t="s">
        <v>61</v>
      </c>
      <c r="M230" s="3" t="s">
        <v>205</v>
      </c>
      <c r="N230" s="7">
        <v>0</v>
      </c>
      <c r="O230" s="7">
        <v>0</v>
      </c>
      <c r="P230" s="8">
        <f t="shared" si="3"/>
        <v>0</v>
      </c>
    </row>
    <row r="231" spans="1:16" ht="12.75">
      <c r="A231" s="3" t="s">
        <v>437</v>
      </c>
      <c r="B231" s="3" t="s">
        <v>438</v>
      </c>
      <c r="C231" s="4">
        <v>65</v>
      </c>
      <c r="D231" s="5">
        <f>DATE(107,7,2)</f>
        <v>39265</v>
      </c>
      <c r="E231" s="3" t="s">
        <v>56</v>
      </c>
      <c r="F231" s="5">
        <f>DATE(107,10,2)</f>
        <v>39357</v>
      </c>
      <c r="G231" s="3" t="s">
        <v>56</v>
      </c>
      <c r="H231" s="3" t="s">
        <v>174</v>
      </c>
      <c r="I231" s="3" t="s">
        <v>439</v>
      </c>
      <c r="J231" s="3" t="s">
        <v>440</v>
      </c>
      <c r="K231" s="3" t="s">
        <v>164</v>
      </c>
      <c r="L231" s="3" t="s">
        <v>61</v>
      </c>
      <c r="M231" s="3" t="s">
        <v>205</v>
      </c>
      <c r="N231" s="7">
        <v>0</v>
      </c>
      <c r="O231" s="7">
        <v>251</v>
      </c>
      <c r="P231" s="8">
        <f t="shared" si="3"/>
        <v>251</v>
      </c>
    </row>
    <row r="232" spans="1:16" ht="12.75">
      <c r="A232" s="3" t="s">
        <v>441</v>
      </c>
      <c r="B232" s="3" t="s">
        <v>442</v>
      </c>
      <c r="C232" s="4">
        <v>60</v>
      </c>
      <c r="D232" s="5">
        <f>DATE(107,10,3)</f>
        <v>39358</v>
      </c>
      <c r="E232" s="3" t="s">
        <v>56</v>
      </c>
      <c r="F232" s="5">
        <f>DATE(108,1,7)</f>
        <v>39454</v>
      </c>
      <c r="G232" s="3" t="s">
        <v>56</v>
      </c>
      <c r="H232" s="3" t="s">
        <v>174</v>
      </c>
      <c r="I232" s="3" t="s">
        <v>439</v>
      </c>
      <c r="J232" s="3" t="s">
        <v>440</v>
      </c>
      <c r="K232" s="3" t="s">
        <v>164</v>
      </c>
      <c r="L232" s="3" t="s">
        <v>61</v>
      </c>
      <c r="M232" s="3" t="s">
        <v>205</v>
      </c>
      <c r="N232" s="7">
        <v>0</v>
      </c>
      <c r="O232" s="7">
        <v>503</v>
      </c>
      <c r="P232" s="8">
        <f t="shared" si="3"/>
        <v>503</v>
      </c>
    </row>
    <row r="233" spans="1:16" ht="12.75">
      <c r="A233" s="3" t="s">
        <v>443</v>
      </c>
      <c r="B233" s="3" t="s">
        <v>444</v>
      </c>
      <c r="C233" s="4">
        <v>280</v>
      </c>
      <c r="D233" s="5">
        <f>DATE(108,1,8)</f>
        <v>39455</v>
      </c>
      <c r="E233" s="3" t="s">
        <v>56</v>
      </c>
      <c r="F233" s="5">
        <f>DATE(109,2,18)</f>
        <v>39862</v>
      </c>
      <c r="G233" s="3" t="s">
        <v>56</v>
      </c>
      <c r="H233" s="3" t="s">
        <v>174</v>
      </c>
      <c r="I233" s="3" t="s">
        <v>439</v>
      </c>
      <c r="J233" s="3" t="s">
        <v>440</v>
      </c>
      <c r="K233" s="3" t="s">
        <v>164</v>
      </c>
      <c r="L233" s="3" t="s">
        <v>61</v>
      </c>
      <c r="M233" s="3" t="s">
        <v>205</v>
      </c>
      <c r="N233" s="7">
        <v>0</v>
      </c>
      <c r="O233" s="7">
        <v>86</v>
      </c>
      <c r="P233" s="8">
        <f t="shared" si="3"/>
        <v>86</v>
      </c>
    </row>
    <row r="234" spans="1:16" ht="12.75">
      <c r="A234" s="3" t="s">
        <v>456</v>
      </c>
      <c r="B234" s="3" t="s">
        <v>457</v>
      </c>
      <c r="C234" s="4">
        <v>325</v>
      </c>
      <c r="D234" s="5">
        <f>DATE(107,7,2)</f>
        <v>39265</v>
      </c>
      <c r="E234" s="3" t="s">
        <v>56</v>
      </c>
      <c r="F234" s="5">
        <f>DATE(108,10,16)</f>
        <v>39737</v>
      </c>
      <c r="G234" s="3" t="s">
        <v>56</v>
      </c>
      <c r="H234" s="3" t="s">
        <v>174</v>
      </c>
      <c r="I234" s="3" t="s">
        <v>439</v>
      </c>
      <c r="J234" s="3" t="s">
        <v>458</v>
      </c>
      <c r="K234" s="3" t="s">
        <v>245</v>
      </c>
      <c r="L234" s="3" t="s">
        <v>61</v>
      </c>
      <c r="M234" s="3" t="s">
        <v>205</v>
      </c>
      <c r="N234" s="7">
        <v>0</v>
      </c>
      <c r="O234" s="7">
        <v>20</v>
      </c>
      <c r="P234" s="8">
        <f t="shared" si="3"/>
        <v>20</v>
      </c>
    </row>
    <row r="235" spans="1:16" ht="12.75">
      <c r="A235" s="3" t="s">
        <v>459</v>
      </c>
      <c r="B235" s="3" t="s">
        <v>460</v>
      </c>
      <c r="C235" s="4">
        <v>130</v>
      </c>
      <c r="D235" s="5">
        <f>DATE(107,7,2)</f>
        <v>39265</v>
      </c>
      <c r="E235" s="3" t="s">
        <v>56</v>
      </c>
      <c r="F235" s="5">
        <f>DATE(108,1,14)</f>
        <v>39461</v>
      </c>
      <c r="G235" s="3" t="s">
        <v>56</v>
      </c>
      <c r="H235" s="3" t="s">
        <v>174</v>
      </c>
      <c r="I235" s="3" t="s">
        <v>439</v>
      </c>
      <c r="J235" s="3" t="s">
        <v>458</v>
      </c>
      <c r="K235" s="3" t="s">
        <v>245</v>
      </c>
      <c r="L235" s="3" t="s">
        <v>61</v>
      </c>
      <c r="M235" s="3" t="s">
        <v>205</v>
      </c>
      <c r="N235" s="7">
        <v>0</v>
      </c>
      <c r="O235" s="7">
        <v>869</v>
      </c>
      <c r="P235" s="8">
        <f t="shared" si="3"/>
        <v>869</v>
      </c>
    </row>
    <row r="236" spans="1:16" ht="12.75">
      <c r="A236" s="3" t="s">
        <v>461</v>
      </c>
      <c r="B236" s="3" t="s">
        <v>462</v>
      </c>
      <c r="C236" s="4">
        <v>130</v>
      </c>
      <c r="D236" s="5">
        <f>DATE(108,1,15)</f>
        <v>39462</v>
      </c>
      <c r="E236" s="3" t="s">
        <v>56</v>
      </c>
      <c r="F236" s="5">
        <f>DATE(108,7,16)</f>
        <v>39645</v>
      </c>
      <c r="G236" s="3" t="s">
        <v>56</v>
      </c>
      <c r="H236" s="3" t="s">
        <v>174</v>
      </c>
      <c r="I236" s="3" t="s">
        <v>439</v>
      </c>
      <c r="J236" s="3" t="s">
        <v>458</v>
      </c>
      <c r="K236" s="3" t="s">
        <v>245</v>
      </c>
      <c r="L236" s="3" t="s">
        <v>61</v>
      </c>
      <c r="M236" s="3" t="s">
        <v>205</v>
      </c>
      <c r="N236" s="7">
        <v>0</v>
      </c>
      <c r="O236" s="7">
        <v>869</v>
      </c>
      <c r="P236" s="8">
        <f t="shared" si="3"/>
        <v>869</v>
      </c>
    </row>
    <row r="237" spans="1:16" ht="12.75">
      <c r="A237" s="3" t="s">
        <v>463</v>
      </c>
      <c r="B237" s="3" t="s">
        <v>464</v>
      </c>
      <c r="C237" s="4">
        <v>60</v>
      </c>
      <c r="D237" s="5">
        <f>DATE(108,7,17)</f>
        <v>39646</v>
      </c>
      <c r="E237" s="3" t="s">
        <v>56</v>
      </c>
      <c r="F237" s="5">
        <f>DATE(108,10,9)</f>
        <v>39730</v>
      </c>
      <c r="G237" s="3" t="s">
        <v>56</v>
      </c>
      <c r="H237" s="3" t="s">
        <v>174</v>
      </c>
      <c r="I237" s="3" t="s">
        <v>439</v>
      </c>
      <c r="J237" s="3" t="s">
        <v>458</v>
      </c>
      <c r="K237" s="3" t="s">
        <v>245</v>
      </c>
      <c r="L237" s="3" t="s">
        <v>61</v>
      </c>
      <c r="M237" s="3" t="s">
        <v>205</v>
      </c>
      <c r="N237" s="7">
        <v>0</v>
      </c>
      <c r="O237" s="7">
        <v>98</v>
      </c>
      <c r="P237" s="8">
        <f t="shared" si="3"/>
        <v>98</v>
      </c>
    </row>
    <row r="238" spans="1:16" ht="12.75">
      <c r="A238" s="3" t="s">
        <v>467</v>
      </c>
      <c r="B238" s="3" t="s">
        <v>468</v>
      </c>
      <c r="C238" s="4">
        <v>65</v>
      </c>
      <c r="D238" s="5">
        <f>DATE(107,10,1)</f>
        <v>39356</v>
      </c>
      <c r="E238" s="3" t="s">
        <v>56</v>
      </c>
      <c r="F238" s="5">
        <f>DATE(108,1,10)</f>
        <v>39457</v>
      </c>
      <c r="G238" s="3" t="s">
        <v>56</v>
      </c>
      <c r="H238" s="3" t="s">
        <v>174</v>
      </c>
      <c r="I238" s="3" t="s">
        <v>439</v>
      </c>
      <c r="J238" s="3" t="s">
        <v>469</v>
      </c>
      <c r="K238" s="3" t="s">
        <v>164</v>
      </c>
      <c r="L238" s="3" t="s">
        <v>61</v>
      </c>
      <c r="M238" s="3" t="s">
        <v>205</v>
      </c>
      <c r="N238" s="7">
        <v>0</v>
      </c>
      <c r="O238" s="7">
        <v>82</v>
      </c>
      <c r="P238" s="8">
        <f t="shared" si="3"/>
        <v>82</v>
      </c>
    </row>
    <row r="239" spans="1:16" ht="12.75">
      <c r="A239" s="3" t="s">
        <v>471</v>
      </c>
      <c r="B239" s="3" t="s">
        <v>472</v>
      </c>
      <c r="C239" s="4">
        <v>40</v>
      </c>
      <c r="D239" s="5">
        <f>DATE(108,1,11)</f>
        <v>39458</v>
      </c>
      <c r="E239" s="3" t="s">
        <v>56</v>
      </c>
      <c r="F239" s="5">
        <f>DATE(108,3,6)</f>
        <v>39513</v>
      </c>
      <c r="G239" s="3" t="s">
        <v>56</v>
      </c>
      <c r="H239" s="3" t="s">
        <v>174</v>
      </c>
      <c r="I239" s="3" t="s">
        <v>439</v>
      </c>
      <c r="J239" s="3" t="s">
        <v>469</v>
      </c>
      <c r="K239" s="3" t="s">
        <v>164</v>
      </c>
      <c r="L239" s="3" t="s">
        <v>61</v>
      </c>
      <c r="M239" s="3" t="s">
        <v>205</v>
      </c>
      <c r="N239" s="7">
        <v>0</v>
      </c>
      <c r="O239" s="7">
        <v>82</v>
      </c>
      <c r="P239" s="8">
        <f t="shared" si="3"/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C40" sqref="C40"/>
    </sheetView>
  </sheetViews>
  <sheetFormatPr defaultColWidth="9.140625" defaultRowHeight="12.75"/>
  <cols>
    <col min="1" max="1" width="5.421875" style="0" bestFit="1" customWidth="1"/>
    <col min="2" max="2" width="15.28125" style="0" bestFit="1" customWidth="1"/>
    <col min="3" max="3" width="10.00390625" style="0" bestFit="1" customWidth="1"/>
    <col min="4" max="4" width="9.8515625" style="0" bestFit="1" customWidth="1"/>
    <col min="5" max="5" width="9.7109375" style="0" bestFit="1" customWidth="1"/>
    <col min="6" max="6" width="10.00390625" style="0" bestFit="1" customWidth="1"/>
    <col min="7" max="7" width="9.8515625" style="0" bestFit="1" customWidth="1"/>
    <col min="8" max="8" width="9.421875" style="0" bestFit="1" customWidth="1"/>
    <col min="9" max="9" width="9.7109375" style="0" bestFit="1" customWidth="1"/>
    <col min="10" max="10" width="10.140625" style="0" bestFit="1" customWidth="1"/>
    <col min="11" max="11" width="9.8515625" style="0" bestFit="1" customWidth="1"/>
    <col min="12" max="12" width="10.140625" style="0" bestFit="1" customWidth="1"/>
    <col min="13" max="13" width="9.421875" style="0" bestFit="1" customWidth="1"/>
    <col min="15" max="15" width="10.00390625" style="0" bestFit="1" customWidth="1"/>
    <col min="16" max="16" width="9.8515625" style="0" bestFit="1" customWidth="1"/>
    <col min="17" max="17" width="9.7109375" style="0" bestFit="1" customWidth="1"/>
    <col min="18" max="18" width="10.00390625" style="0" bestFit="1" customWidth="1"/>
    <col min="19" max="19" width="9.8515625" style="0" bestFit="1" customWidth="1"/>
    <col min="20" max="20" width="9.421875" style="0" bestFit="1" customWidth="1"/>
    <col min="21" max="21" width="9.7109375" style="0" bestFit="1" customWidth="1"/>
    <col min="22" max="22" width="10.140625" style="0" bestFit="1" customWidth="1"/>
    <col min="23" max="23" width="9.8515625" style="0" bestFit="1" customWidth="1"/>
    <col min="24" max="24" width="10.140625" style="0" bestFit="1" customWidth="1"/>
    <col min="25" max="25" width="9.421875" style="0" bestFit="1" customWidth="1"/>
    <col min="27" max="27" width="10.00390625" style="0" bestFit="1" customWidth="1"/>
    <col min="28" max="28" width="9.8515625" style="0" bestFit="1" customWidth="1"/>
  </cols>
  <sheetData>
    <row r="1" spans="1:28" ht="12.75">
      <c r="A1" t="s">
        <v>0</v>
      </c>
      <c r="B1" t="s">
        <v>1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</row>
    <row r="2" spans="2:28" ht="12.75">
      <c r="B2" t="s">
        <v>2</v>
      </c>
      <c r="C2">
        <v>1.8</v>
      </c>
      <c r="D2">
        <v>1.3</v>
      </c>
      <c r="E2">
        <v>1.1</v>
      </c>
      <c r="F2">
        <v>0.5</v>
      </c>
      <c r="G2">
        <v>0.4</v>
      </c>
      <c r="H2">
        <v>0.5</v>
      </c>
      <c r="I2">
        <v>0.3</v>
      </c>
      <c r="J2">
        <v>0.4</v>
      </c>
      <c r="K2">
        <v>0.4</v>
      </c>
      <c r="L2">
        <v>0.4</v>
      </c>
      <c r="M2">
        <v>0.4</v>
      </c>
      <c r="N2">
        <v>0.4</v>
      </c>
      <c r="O2">
        <v>0.4</v>
      </c>
      <c r="P2">
        <v>0.2</v>
      </c>
      <c r="Q2">
        <v>0.3</v>
      </c>
      <c r="R2">
        <v>0.3</v>
      </c>
      <c r="S2">
        <v>0.2</v>
      </c>
      <c r="T2">
        <v>0.3</v>
      </c>
      <c r="U2">
        <v>0.3</v>
      </c>
      <c r="V2">
        <v>0.3</v>
      </c>
      <c r="W2">
        <v>0.3</v>
      </c>
      <c r="X2">
        <v>0.3</v>
      </c>
      <c r="Y2">
        <v>0.3</v>
      </c>
      <c r="Z2">
        <v>0.3</v>
      </c>
      <c r="AA2">
        <v>0.3</v>
      </c>
      <c r="AB2">
        <v>0.2</v>
      </c>
    </row>
    <row r="3" spans="2:8" ht="12.75">
      <c r="B3" t="s">
        <v>3</v>
      </c>
      <c r="C3">
        <v>0.2</v>
      </c>
      <c r="D3">
        <v>0.9</v>
      </c>
      <c r="E3">
        <v>0.2</v>
      </c>
      <c r="F3">
        <v>0.2</v>
      </c>
      <c r="G3">
        <v>0.1</v>
      </c>
      <c r="H3">
        <v>0</v>
      </c>
    </row>
    <row r="4" spans="2:28" ht="12.75">
      <c r="B4" t="s">
        <v>4</v>
      </c>
      <c r="C4">
        <v>0.6</v>
      </c>
      <c r="D4">
        <v>1.1</v>
      </c>
      <c r="E4">
        <v>0.5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2:7" ht="12.75">
      <c r="B5" t="s">
        <v>5</v>
      </c>
      <c r="C5">
        <v>1.2</v>
      </c>
      <c r="D5">
        <v>1.5</v>
      </c>
      <c r="E5">
        <v>1.1</v>
      </c>
      <c r="F5">
        <v>0.5</v>
      </c>
      <c r="G5">
        <v>0.7</v>
      </c>
    </row>
    <row r="6" spans="2:7" ht="12.75">
      <c r="B6" t="s">
        <v>6</v>
      </c>
      <c r="D6">
        <v>0.2</v>
      </c>
      <c r="E6">
        <v>0.5</v>
      </c>
      <c r="F6">
        <v>1.2</v>
      </c>
      <c r="G6">
        <v>1.2</v>
      </c>
    </row>
    <row r="7" spans="2:28" ht="12.75">
      <c r="B7" t="s">
        <v>7</v>
      </c>
      <c r="C7">
        <v>0.6</v>
      </c>
      <c r="D7">
        <v>0.6</v>
      </c>
      <c r="E7">
        <v>0.6</v>
      </c>
      <c r="F7">
        <v>0.6</v>
      </c>
      <c r="G7">
        <v>0.4</v>
      </c>
      <c r="H7">
        <v>0.6</v>
      </c>
      <c r="I7">
        <v>0.6</v>
      </c>
      <c r="J7">
        <v>0.6</v>
      </c>
      <c r="K7">
        <v>0.6</v>
      </c>
      <c r="L7">
        <v>0.6</v>
      </c>
      <c r="M7">
        <v>0.6</v>
      </c>
      <c r="N7">
        <v>0.6</v>
      </c>
      <c r="O7">
        <v>0.6</v>
      </c>
      <c r="P7">
        <v>0.5</v>
      </c>
      <c r="Q7">
        <v>0.3</v>
      </c>
      <c r="R7">
        <v>0.2</v>
      </c>
      <c r="S7">
        <v>0.2</v>
      </c>
      <c r="T7">
        <v>0.3</v>
      </c>
      <c r="U7">
        <v>0.3</v>
      </c>
      <c r="V7">
        <v>0.3</v>
      </c>
      <c r="W7">
        <v>0.3</v>
      </c>
      <c r="X7">
        <v>0.3</v>
      </c>
      <c r="Y7">
        <v>0.3</v>
      </c>
      <c r="Z7">
        <v>0.3</v>
      </c>
      <c r="AA7">
        <v>0.3</v>
      </c>
      <c r="AB7">
        <v>0.2</v>
      </c>
    </row>
    <row r="8" spans="2:28" ht="12.75">
      <c r="B8" t="s">
        <v>8</v>
      </c>
      <c r="C8">
        <v>0.5</v>
      </c>
      <c r="D8">
        <v>1.9</v>
      </c>
      <c r="E8">
        <v>0.6</v>
      </c>
      <c r="F8">
        <v>0.4</v>
      </c>
      <c r="G8">
        <v>0.4</v>
      </c>
      <c r="H8">
        <v>0.7</v>
      </c>
      <c r="I8">
        <v>0.3</v>
      </c>
      <c r="J8">
        <v>0.2</v>
      </c>
      <c r="K8">
        <v>0.2</v>
      </c>
      <c r="L8">
        <v>0.2</v>
      </c>
      <c r="M8">
        <v>0.2</v>
      </c>
      <c r="N8">
        <v>1.6</v>
      </c>
      <c r="O8">
        <v>1.8</v>
      </c>
      <c r="P8">
        <v>1.5</v>
      </c>
      <c r="Q8">
        <v>2.5</v>
      </c>
      <c r="R8">
        <v>2.2</v>
      </c>
      <c r="S8">
        <v>1.5</v>
      </c>
      <c r="T8">
        <v>1.4</v>
      </c>
      <c r="U8">
        <v>1.2</v>
      </c>
      <c r="V8">
        <v>1</v>
      </c>
      <c r="W8">
        <v>1</v>
      </c>
      <c r="X8">
        <v>0.9</v>
      </c>
      <c r="Y8">
        <v>0.9</v>
      </c>
      <c r="Z8">
        <v>0.6</v>
      </c>
      <c r="AA8">
        <v>0.3</v>
      </c>
      <c r="AB8">
        <v>0.3</v>
      </c>
    </row>
    <row r="9" spans="2:16" ht="12.75">
      <c r="B9" t="s">
        <v>36</v>
      </c>
      <c r="C9">
        <v>0.7</v>
      </c>
      <c r="E9">
        <v>0.1</v>
      </c>
      <c r="F9">
        <v>0.1</v>
      </c>
      <c r="G9">
        <v>2.2</v>
      </c>
      <c r="H9">
        <v>1.7</v>
      </c>
      <c r="I9">
        <v>0.3</v>
      </c>
      <c r="O9">
        <v>0</v>
      </c>
      <c r="P9">
        <v>0</v>
      </c>
    </row>
    <row r="10" ht="12.75">
      <c r="B10" t="s">
        <v>35</v>
      </c>
    </row>
    <row r="11" spans="2:28" s="1" customFormat="1" ht="12.75">
      <c r="B11" s="1" t="s">
        <v>37</v>
      </c>
      <c r="C11" s="1">
        <f>SUM(C2:C9)</f>
        <v>5.6</v>
      </c>
      <c r="D11" s="1">
        <f aca="true" t="shared" si="0" ref="D11:AB11">SUM(D2:D9)</f>
        <v>7.5</v>
      </c>
      <c r="E11" s="1">
        <f t="shared" si="0"/>
        <v>4.699999999999999</v>
      </c>
      <c r="F11" s="1">
        <f t="shared" si="0"/>
        <v>3.5</v>
      </c>
      <c r="G11" s="1">
        <f t="shared" si="0"/>
        <v>5.4</v>
      </c>
      <c r="H11" s="1">
        <f t="shared" si="0"/>
        <v>3.5</v>
      </c>
      <c r="I11" s="1">
        <f t="shared" si="0"/>
        <v>1.5</v>
      </c>
      <c r="J11" s="1">
        <f t="shared" si="0"/>
        <v>1.2</v>
      </c>
      <c r="K11" s="1">
        <f t="shared" si="0"/>
        <v>1.2</v>
      </c>
      <c r="L11" s="1">
        <f t="shared" si="0"/>
        <v>1.2</v>
      </c>
      <c r="M11" s="1">
        <f t="shared" si="0"/>
        <v>1.2</v>
      </c>
      <c r="N11" s="1">
        <f t="shared" si="0"/>
        <v>2.6</v>
      </c>
      <c r="O11" s="1">
        <f t="shared" si="0"/>
        <v>2.8</v>
      </c>
      <c r="P11" s="1">
        <f t="shared" si="0"/>
        <v>2.2</v>
      </c>
      <c r="Q11" s="1">
        <f t="shared" si="0"/>
        <v>3.1</v>
      </c>
      <c r="R11" s="1">
        <f t="shared" si="0"/>
        <v>2.7</v>
      </c>
      <c r="S11" s="1">
        <f t="shared" si="0"/>
        <v>1.9</v>
      </c>
      <c r="T11" s="1">
        <f t="shared" si="0"/>
        <v>2</v>
      </c>
      <c r="U11" s="1">
        <f t="shared" si="0"/>
        <v>1.7999999999999998</v>
      </c>
      <c r="V11" s="1">
        <f t="shared" si="0"/>
        <v>1.6</v>
      </c>
      <c r="W11" s="1">
        <f t="shared" si="0"/>
        <v>1.6</v>
      </c>
      <c r="X11" s="1">
        <f t="shared" si="0"/>
        <v>1.5</v>
      </c>
      <c r="Y11" s="1">
        <f t="shared" si="0"/>
        <v>1.5</v>
      </c>
      <c r="Z11" s="1">
        <f t="shared" si="0"/>
        <v>1.2</v>
      </c>
      <c r="AA11" s="1">
        <f t="shared" si="0"/>
        <v>0.8999999999999999</v>
      </c>
      <c r="AB11" s="1">
        <f t="shared" si="0"/>
        <v>0.7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2006-09-08T19:31:34Z</cp:lastPrinted>
  <dcterms:created xsi:type="dcterms:W3CDTF">2006-09-06T19:35:03Z</dcterms:created>
  <dcterms:modified xsi:type="dcterms:W3CDTF">2006-09-08T19:31:39Z</dcterms:modified>
  <cp:category/>
  <cp:version/>
  <cp:contentType/>
  <cp:contentStatus/>
</cp:coreProperties>
</file>