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320" windowHeight="12345" tabRatio="898" activeTab="6"/>
  </bookViews>
  <sheets>
    <sheet name="Baseline Reconciliation" sheetId="1" r:id="rId1"/>
    <sheet name="BCWS by JOB" sheetId="2" r:id="rId2"/>
    <sheet name="ACWP by JOB" sheetId="3" r:id="rId3"/>
    <sheet name="BCWP by JOB" sheetId="4" r:id="rId4"/>
    <sheet name="COST PERFORMANCE BY RLM &amp; JOB" sheetId="5" r:id="rId5"/>
    <sheet name="TOTAL PROJECT REPORT" sheetId="6" r:id="rId6"/>
    <sheet name="Monthly Report-LARRY" sheetId="7" r:id="rId7"/>
    <sheet name="Monthly Report-JIM" sheetId="8" r:id="rId8"/>
    <sheet name="Monthly Report-AL" sheetId="9" r:id="rId9"/>
    <sheet name="Monthly Report- PHIL" sheetId="10" r:id="rId10"/>
  </sheets>
  <definedNames>
    <definedName name="_xlnm.Print_Area" localSheetId="3">'BCWP by JOB'!$CR$1:$CS$72</definedName>
    <definedName name="_xlnm.Print_Area" localSheetId="1">'BCWS by JOB'!$D$1:$E$77</definedName>
    <definedName name="_xlnm.Print_Area" localSheetId="4">'COST PERFORMANCE BY RLM &amp; JOB'!$A$1:$I$78</definedName>
    <definedName name="_xlnm.Print_Area" localSheetId="9">'Monthly Report- PHIL'!$A$2:$G$86</definedName>
    <definedName name="_xlnm.Print_Area" localSheetId="8">'Monthly Report-AL'!$A$2:$G$84</definedName>
    <definedName name="_xlnm.Print_Area" localSheetId="7">'Monthly Report-JIM'!$A$2:$G$84</definedName>
    <definedName name="_xlnm.Print_Area" localSheetId="6">'Monthly Report-LARRY'!$A$2:$G$83</definedName>
    <definedName name="_xlnm.Print_Area" localSheetId="5">'TOTAL PROJECT REPORT'!$A$2:$G$85</definedName>
    <definedName name="_xlnm.Print_Titles" localSheetId="1">'BCWS by JOB'!$1:$1</definedName>
  </definedNames>
  <calcPr fullCalcOnLoad="1"/>
</workbook>
</file>

<file path=xl/sharedStrings.xml><?xml version="1.0" encoding="utf-8"?>
<sst xmlns="http://schemas.openxmlformats.org/spreadsheetml/2006/main" count="1999" uniqueCount="606">
  <si>
    <t>schedule variance</t>
  </si>
  <si>
    <t xml:space="preserve">RLMS  </t>
  </si>
  <si>
    <t>Total</t>
  </si>
  <si>
    <t xml:space="preserve">A </t>
  </si>
  <si>
    <t>A  Total</t>
  </si>
  <si>
    <t xml:space="preserve">D </t>
  </si>
  <si>
    <t>D  Total</t>
  </si>
  <si>
    <t xml:space="preserve">H </t>
  </si>
  <si>
    <t>H  Total</t>
  </si>
  <si>
    <t xml:space="preserve">V </t>
  </si>
  <si>
    <t>V  Total</t>
  </si>
  <si>
    <t>JJJJ</t>
  </si>
  <si>
    <t>highlighted schedule variances =</t>
  </si>
  <si>
    <t>highlighted cost variances =</t>
  </si>
  <si>
    <t>NCSX Cost Performance Report</t>
  </si>
  <si>
    <t>Period May 1, 2007 through August 31, 2007</t>
  </si>
  <si>
    <t>(Measured against unofficial proposed baseline)</t>
  </si>
  <si>
    <t>09AUG07A</t>
  </si>
  <si>
    <t>Variance target 1 early finish</t>
  </si>
  <si>
    <t>Coils Support Structure - PDR</t>
  </si>
  <si>
    <t>AB/BC/AA inboard interface - FDR</t>
  </si>
  <si>
    <t>05OCT07*</t>
  </si>
  <si>
    <t>PF Coils - FDR</t>
  </si>
  <si>
    <t>1702-515</t>
  </si>
  <si>
    <t>C-C Joint - FDR</t>
  </si>
  <si>
    <t xml:space="preserve"> - </t>
  </si>
  <si>
    <t>Base Support - PDR</t>
  </si>
  <si>
    <t>ROWGOSKI COIL - FDR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</si>
  <si>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</si>
  <si>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</si>
  <si>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</si>
  <si>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</si>
  <si>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</si>
  <si>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</si>
  <si>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METDCP-6</t>
  </si>
  <si>
    <t>Dimensional control plans for station 6</t>
  </si>
  <si>
    <t>1702-525M</t>
  </si>
  <si>
    <t>Base Support Structure FDR</t>
  </si>
  <si>
    <t>METFY07R1 - Dimensional control plans for station 2</t>
  </si>
  <si>
    <t>1803-205 - Station 2 Assembly Drawings</t>
  </si>
  <si>
    <t>INTRF-045 - FDR prep outboard shims</t>
  </si>
  <si>
    <t>1803-201 - Station 2 Assembly Specification</t>
  </si>
  <si>
    <t>1416-506 - Check and promote top-level models/drawings</t>
  </si>
  <si>
    <t>1803-3.4 - Stage 3 support FDR</t>
  </si>
  <si>
    <t>1501-525P - Coils Support Structure - PDR</t>
  </si>
  <si>
    <t>3101-326 - ROWGOSKI COIL - FDR</t>
  </si>
  <si>
    <t>S21-5.04X - Shims required  for 1st 3 pack MC assy</t>
  </si>
  <si>
    <t>METDCP-3 - Dimensional control plans for station 3</t>
  </si>
  <si>
    <t>1416-601 - Prepare EM and structural analysis of leads</t>
  </si>
  <si>
    <t>INTRF-055 - AB/BC/AA inboard interface - FDR</t>
  </si>
  <si>
    <t>1302-225M - PF Coil PDR</t>
  </si>
  <si>
    <t>1361C-104M - ** DELIVER TF COILS FOR FPA #1 ASSY **</t>
  </si>
  <si>
    <t>1803-5.6 -  Station 5 FDR</t>
  </si>
  <si>
    <t>METDCP-5 - Dimensional control plans for station 5</t>
  </si>
  <si>
    <t>1361C-106 - Fab, Test &amp; Deliver Coil #6</t>
  </si>
  <si>
    <t>1302-270 - PF Coils - FDR</t>
  </si>
  <si>
    <t>1416-605 - Prepare Type-ABC closeout FDR</t>
  </si>
  <si>
    <t>1702-515 - Base support - PDR</t>
  </si>
  <si>
    <t>INTRF-055 -AB/BC/AA inboard interface-FDR</t>
  </si>
  <si>
    <t>1702-515 - Base Support - PDR</t>
  </si>
  <si>
    <t>1421-3144 - C-C Joint - FDR</t>
  </si>
  <si>
    <t>R1810-1329 - Final Scan of VVSA #3 Station 1 complete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</si>
  <si>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</si>
  <si>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</si>
  <si>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</si>
  <si>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</si>
  <si>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</si>
  <si>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</si>
  <si>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</si>
  <si>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</si>
  <si>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</si>
  <si>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</si>
  <si>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</si>
  <si>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</si>
  <si>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</si>
  <si>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</si>
  <si>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</si>
  <si>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</si>
  <si>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</si>
  <si>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</si>
  <si>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</si>
  <si>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</si>
  <si>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</si>
  <si>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</si>
  <si>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</si>
  <si>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</si>
  <si>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</si>
  <si>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</si>
  <si>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</si>
  <si>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</si>
  <si>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</si>
  <si>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</si>
  <si>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</si>
  <si>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</si>
  <si>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</si>
  <si>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</si>
  <si>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</si>
  <si>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</si>
  <si>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</si>
  <si>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</si>
  <si>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</si>
  <si>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</si>
  <si>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</si>
  <si>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</si>
  <si>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</si>
  <si>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</si>
  <si>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</si>
  <si>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</si>
  <si>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METFY07R1</t>
  </si>
  <si>
    <t>01JUN07*</t>
  </si>
  <si>
    <t>01JUN07A</t>
  </si>
  <si>
    <t>1803-205</t>
  </si>
  <si>
    <t>11JUN07*</t>
  </si>
  <si>
    <t>11JUN07A</t>
  </si>
  <si>
    <t>INTRF-045</t>
  </si>
  <si>
    <t>FDR prep outboard shims</t>
  </si>
  <si>
    <t>25JUN07A</t>
  </si>
  <si>
    <t>29JUN07A</t>
  </si>
  <si>
    <t>1803-201</t>
  </si>
  <si>
    <t>01JUL07A</t>
  </si>
  <si>
    <t>1416-506</t>
  </si>
  <si>
    <t>1501-525P</t>
  </si>
  <si>
    <t>20JUL07*</t>
  </si>
  <si>
    <t>20JUL07A</t>
  </si>
  <si>
    <t>INTRF-055</t>
  </si>
  <si>
    <t>METDCP-3</t>
  </si>
  <si>
    <t>1361C-104M</t>
  </si>
  <si>
    <t>1416-601</t>
  </si>
  <si>
    <t>01OCT07*</t>
  </si>
  <si>
    <t>1302-225M</t>
  </si>
  <si>
    <t>METDCP-5</t>
  </si>
  <si>
    <t>1361C-106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</si>
  <si>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</si>
  <si>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</si>
  <si>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</si>
  <si>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</si>
  <si>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</si>
  <si>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</si>
  <si>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</si>
  <si>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ACWP May 1,2007 - Aug 30,2007</t>
  </si>
  <si>
    <t>BCWS May 1,2007 - Aug 30,2007</t>
  </si>
  <si>
    <t>BCWP May 1,2007 - Aug 30,2007</t>
  </si>
  <si>
    <t>BCWS May 1,2007 - Augy 30,2007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</si>
  <si>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</si>
  <si>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</si>
  <si>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</si>
  <si>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</si>
  <si>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</si>
  <si>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</si>
  <si>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</si>
  <si>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</si>
  <si>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</si>
  <si>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</si>
  <si>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</si>
  <si>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</si>
  <si>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</si>
  <si>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</si>
  <si>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</si>
  <si>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</si>
  <si>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</si>
  <si>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</si>
  <si>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</si>
  <si>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</si>
  <si>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</si>
  <si>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</si>
  <si>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</si>
  <si>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</si>
  <si>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</si>
  <si>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</si>
  <si>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</si>
  <si>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</si>
  <si>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</si>
  <si>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</si>
  <si>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</si>
  <si>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</si>
  <si>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</si>
  <si>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</si>
  <si>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</si>
  <si>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</si>
  <si>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</si>
  <si>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</si>
  <si>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</si>
  <si>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</si>
  <si>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</si>
  <si>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</si>
  <si>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</si>
  <si>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</si>
  <si>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</si>
  <si>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</si>
  <si>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</si>
  <si>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</si>
  <si>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</si>
  <si>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</si>
  <si>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</si>
  <si>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</si>
  <si>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</si>
  <si>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</si>
  <si>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</si>
  <si>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</si>
  <si>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</si>
  <si>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</si>
  <si>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</si>
  <si>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</si>
  <si>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</si>
  <si>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</si>
  <si>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</si>
  <si>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</si>
  <si>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</si>
  <si>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</si>
  <si>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</si>
  <si>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</si>
  <si>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</si>
  <si>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</si>
  <si>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</si>
  <si>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</si>
  <si>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</si>
  <si>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</si>
  <si>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</si>
  <si>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</si>
  <si>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</si>
  <si>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</si>
  <si>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</si>
  <si>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</si>
  <si>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</si>
  <si>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</si>
  <si>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</si>
  <si>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</si>
  <si>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</si>
  <si>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</si>
  <si>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</si>
  <si>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</si>
  <si>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</si>
  <si>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</si>
  <si>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</si>
  <si>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</si>
  <si>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</si>
  <si>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</si>
  <si>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</si>
  <si>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</si>
  <si>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</si>
  <si>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</si>
  <si>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</si>
  <si>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</si>
  <si>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</si>
  <si>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</si>
  <si>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</si>
  <si>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</si>
  <si>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</si>
  <si>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</si>
  <si>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</si>
  <si>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</si>
  <si>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</si>
  <si>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</si>
  <si>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</si>
  <si>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</si>
  <si>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</si>
  <si>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</si>
  <si>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</si>
  <si>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</si>
  <si>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</si>
  <si>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</si>
  <si>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</si>
  <si>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</si>
  <si>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</si>
  <si>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</si>
  <si>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</si>
  <si>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</si>
  <si>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</si>
  <si>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</si>
  <si>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</si>
  <si>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</si>
  <si>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</si>
  <si>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</si>
  <si>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</si>
  <si>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</si>
  <si>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</si>
  <si>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</si>
  <si>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</si>
  <si>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</si>
  <si>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</si>
  <si>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</si>
  <si>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</si>
  <si>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</si>
  <si>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</si>
  <si>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</si>
  <si>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</si>
  <si>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</si>
  <si>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</si>
  <si>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</si>
  <si>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</si>
  <si>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</si>
  <si>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</si>
  <si>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</si>
  <si>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</si>
  <si>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</si>
  <si>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</si>
  <si>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</si>
  <si>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</si>
  <si>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</si>
  <si>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</si>
  <si>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</si>
  <si>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</si>
  <si>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</si>
  <si>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</si>
  <si>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</si>
  <si>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</si>
  <si>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</si>
  <si>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</si>
  <si>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</si>
  <si>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</si>
  <si>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</si>
  <si>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</si>
  <si>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</si>
  <si>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</si>
  <si>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</si>
  <si>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</si>
  <si>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</si>
  <si>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</si>
  <si>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</si>
  <si>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</si>
  <si>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</si>
  <si>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</si>
  <si>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</si>
  <si>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</si>
  <si>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</si>
  <si>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</si>
  <si>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</si>
  <si>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</si>
  <si>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</si>
  <si>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</si>
  <si>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</si>
  <si>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</si>
  <si>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</si>
  <si>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</si>
  <si>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</si>
  <si>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</si>
  <si>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</si>
  <si>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</si>
  <si>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</si>
  <si>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</si>
  <si>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</si>
  <si>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</si>
  <si>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</si>
  <si>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</si>
  <si>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</si>
  <si>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</si>
  <si>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</si>
  <si>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</si>
  <si>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</si>
  <si>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</si>
  <si>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</si>
  <si>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</si>
  <si>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</si>
  <si>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</si>
  <si>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</si>
  <si>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</si>
  <si>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</si>
  <si>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</si>
  <si>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</si>
  <si>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</si>
  <si>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</si>
  <si>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</si>
  <si>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</si>
  <si>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</si>
  <si>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</si>
  <si>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</si>
  <si>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</si>
  <si>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</si>
  <si>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</si>
  <si>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</si>
  <si>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</si>
  <si>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</si>
  <si>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</si>
  <si>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add'l cont</t>
  </si>
  <si>
    <t>Job 1429 Interface R&amp;D/Test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</si>
  <si>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</si>
  <si>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</si>
  <si>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</si>
  <si>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</si>
  <si>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</si>
  <si>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</si>
  <si>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</si>
  <si>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</si>
  <si>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</si>
  <si>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</si>
  <si>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</si>
  <si>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</si>
  <si>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</si>
  <si>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</si>
  <si>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</si>
  <si>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</si>
  <si>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</si>
  <si>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</si>
  <si>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</si>
  <si>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</si>
  <si>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</si>
  <si>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</si>
  <si>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</si>
  <si>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</si>
  <si>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</si>
  <si>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</si>
  <si>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</si>
  <si>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</si>
  <si>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</si>
  <si>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</si>
  <si>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</si>
  <si>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</si>
  <si>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</si>
  <si>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</si>
  <si>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</si>
  <si>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</si>
  <si>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</si>
  <si>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</si>
  <si>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</si>
  <si>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</si>
  <si>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</si>
  <si>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</si>
  <si>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</si>
  <si>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</si>
  <si>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</si>
  <si>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</si>
  <si>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</si>
  <si>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</si>
  <si>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</si>
  <si>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</si>
  <si>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</si>
  <si>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</si>
  <si>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</si>
  <si>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</si>
  <si>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</si>
  <si>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</si>
  <si>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</si>
  <si>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</si>
  <si>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</si>
  <si>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</si>
  <si>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</si>
  <si>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</si>
  <si>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</si>
  <si>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</si>
  <si>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</si>
  <si>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</si>
  <si>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</si>
  <si>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</si>
  <si>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</si>
  <si>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</si>
  <si>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</si>
  <si>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</si>
  <si>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</si>
  <si>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</si>
  <si>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</si>
  <si>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</si>
  <si>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</si>
  <si>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</si>
  <si>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</si>
  <si>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</si>
  <si>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</si>
  <si>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</si>
  <si>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</si>
  <si>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</si>
  <si>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</si>
  <si>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</si>
  <si>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</si>
  <si>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PF Coil PDR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</si>
  <si>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</si>
  <si>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</si>
  <si>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</si>
  <si>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</si>
  <si>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</si>
  <si>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</si>
  <si>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</si>
  <si>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</si>
  <si>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</si>
  <si>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</si>
  <si>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</si>
  <si>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</si>
  <si>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</si>
  <si>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</si>
  <si>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</si>
  <si>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</si>
  <si>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</si>
  <si>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</si>
  <si>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</si>
  <si>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</si>
  <si>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</si>
  <si>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</si>
  <si>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</si>
  <si>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</si>
  <si>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</si>
  <si>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</si>
  <si>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</si>
  <si>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</si>
  <si>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</si>
  <si>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</si>
  <si>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</si>
  <si>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</si>
  <si>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</si>
  <si>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</si>
  <si>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</si>
  <si>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</si>
  <si>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</si>
  <si>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</si>
  <si>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</si>
  <si>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</si>
  <si>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</si>
  <si>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</si>
  <si>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</si>
  <si>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</si>
  <si>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</si>
  <si>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</si>
  <si>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</si>
  <si>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</si>
  <si>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</si>
  <si>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</si>
  <si>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</si>
  <si>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</si>
  <si>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</si>
  <si>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</si>
  <si>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</si>
  <si>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</si>
  <si>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</si>
  <si>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</si>
  <si>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</si>
  <si>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</si>
  <si>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</si>
  <si>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</si>
  <si>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</si>
  <si>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</si>
  <si>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</si>
  <si>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</si>
  <si>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</si>
  <si>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</si>
  <si>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</si>
  <si>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</si>
  <si>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</si>
  <si>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</si>
  <si>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</si>
  <si>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</si>
  <si>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</si>
  <si>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</si>
  <si>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</si>
  <si>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</si>
  <si>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</si>
  <si>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</si>
  <si>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</si>
  <si>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</si>
  <si>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</si>
  <si>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</si>
  <si>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</si>
  <si>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</si>
  <si>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</si>
  <si>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</si>
  <si>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</si>
  <si>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</si>
  <si>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</si>
  <si>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</si>
  <si>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</si>
  <si>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</si>
  <si>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</si>
  <si>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</si>
  <si>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</si>
  <si>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</si>
  <si>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</si>
  <si>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</si>
  <si>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</si>
  <si>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</si>
  <si>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</si>
  <si>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</si>
  <si>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</si>
  <si>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</si>
  <si>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</si>
  <si>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</si>
  <si>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</si>
  <si>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</si>
  <si>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</si>
  <si>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</si>
  <si>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</si>
  <si>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</si>
  <si>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</si>
  <si>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</si>
  <si>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</si>
  <si>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</si>
  <si>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</si>
  <si>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</si>
  <si>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</si>
  <si>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</si>
  <si>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</si>
  <si>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</si>
  <si>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</si>
  <si>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</si>
  <si>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</si>
  <si>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Dimensional control plans for station 2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</si>
  <si>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</si>
  <si>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</si>
  <si>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</si>
  <si>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</si>
  <si>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</si>
  <si>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</si>
  <si>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</si>
  <si>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</si>
  <si>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</si>
  <si>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</si>
  <si>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</si>
  <si>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Dimensional control plans for station 5</t>
  </si>
  <si>
    <t>Fab, Test &amp; Deliver Coil #6</t>
  </si>
  <si>
    <t xml:space="preserve">WBS 1803:  Completed disposition of all outstanding chits on Station 3 FDR and issued drawings for fabrication (less SISSCO rigging interface and laser mounts).  SISSCO rigging interface structure models and preliminary drawings were completed.   </t>
  </si>
  <si>
    <t>WBS 1803:  FEA analysis of SISSCO rigging interface structure showed the structure to be inadequate.  Additional hours have been used to rework the design, resulting in a cost variance for August.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</si>
</sst>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.00"/>
    <numFmt numFmtId="168" formatCode=".0"/>
    <numFmt numFmtId="169" formatCode="#,##0.0"/>
    <numFmt numFmtId="170" formatCode="0.0"/>
    <numFmt numFmtId="171" formatCode="&quot;$&quot;#,##0"/>
    <numFmt numFmtId="172" formatCode="0.000"/>
    <numFmt numFmtId="173" formatCode="_(* #,##0.000_);_(* \(#,##0.000\);_(* &quot;-&quot;??_);_(@_)"/>
    <numFmt numFmtId="174" formatCode="0.0%"/>
    <numFmt numFmtId="175" formatCode=".000"/>
    <numFmt numFmtId="176" formatCode="\+\ #,##0_);\-#,##0"/>
    <numFmt numFmtId="177" formatCode="0.00_)"/>
    <numFmt numFmtId="178" formatCode="\+\ 0.000;\ \-\ 0.000"/>
    <numFmt numFmtId="179" formatCode="&quot;$&quot;#,##0\*"/>
    <numFmt numFmtId="180" formatCode="#,##0.000\*"/>
    <numFmt numFmtId="181" formatCode="mmmmm\-yy"/>
    <numFmt numFmtId="182" formatCode="mmmyy"/>
    <numFmt numFmtId="183" formatCode="mmm\ yy"/>
    <numFmt numFmtId="184" formatCode="_(* #,##0.000_);_(* \(#,##0.000\);_(* &quot;-&quot;???_);_(@_)"/>
    <numFmt numFmtId="185" formatCode="_(* #,##0.0000_);_(* \(#,##0.0000\);_(* &quot;-&quot;??_);_(@_)"/>
    <numFmt numFmtId="186" formatCode=".0000"/>
    <numFmt numFmtId="187" formatCode=";;"/>
    <numFmt numFmtId="188" formatCode="mmm\-yyyy"/>
    <numFmt numFmtId="189" formatCode="0.0000"/>
    <numFmt numFmtId="190" formatCode="&quot;$&quot;#,##0.00"/>
    <numFmt numFmtId="191" formatCode="0.00000"/>
    <numFmt numFmtId="192" formatCode="m/d/yy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&quot;$&quot;#,##0.0_);[Red]\(&quot;$&quot;#,##0.0\)"/>
    <numFmt numFmtId="196" formatCode="&quot;$&quot;#,##0.000_);[Red]\(&quot;$&quot;#,##0.000\)"/>
    <numFmt numFmtId="197" formatCode="_(&quot;$&quot;* #,##0.000_);_(&quot;$&quot;* \(#,##0.000\);_(&quot;$&quot;* &quot;-&quot;??_);_(@_)"/>
    <numFmt numFmtId="198" formatCode=".00000"/>
    <numFmt numFmtId="199" formatCode="#,##0.000"/>
    <numFmt numFmtId="200" formatCode="[Blue]#,##0_);[Red]\(#,##0\)"/>
    <numFmt numFmtId="201" formatCode="[Blue]#,##0.0_);[Red]\(#,##0.0\)"/>
    <numFmt numFmtId="202" formatCode="0.00;[Red]0.00"/>
    <numFmt numFmtId="203" formatCode="0.0;[Red]0.0"/>
    <numFmt numFmtId="204" formatCode="&quot;$&quot;#,##0.0"/>
    <numFmt numFmtId="205" formatCode="[Blue]#,##0.00_);[Red]\(#,##0.00\)"/>
    <numFmt numFmtId="206" formatCode="[Blue]#,##0.000_);[Red]\(#,##0.000\)"/>
    <numFmt numFmtId="207" formatCode="[$-409]dddd\,\ mmmm\ dd\,\ yyyy"/>
    <numFmt numFmtId="208" formatCode="mm/dd/yy;@"/>
    <numFmt numFmtId="209" formatCode="m/d/yy;@"/>
    <numFmt numFmtId="210" formatCode="#,##0.0000"/>
    <numFmt numFmtId="211" formatCode=".000000"/>
    <numFmt numFmtId="212" formatCode=".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mmm\-yy;@"/>
    <numFmt numFmtId="218" formatCode="#,##0.0000000000000000"/>
    <numFmt numFmtId="219" formatCode="[$-409]mmmm\-yy;@"/>
    <numFmt numFmtId="220" formatCode="#,##0.00000"/>
    <numFmt numFmtId="221" formatCode="[$-409]mmmm\ d\,\ yyyy;@"/>
    <numFmt numFmtId="222" formatCode="mmmm\-yyyy"/>
    <numFmt numFmtId="223" formatCode="0.000000"/>
    <numFmt numFmtId="224" formatCode="0.00000000"/>
    <numFmt numFmtId="225" formatCode="0.0000000"/>
    <numFmt numFmtId="226" formatCode="[$-409]d\-mmm\-yy;@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9"/>
      <name val="Arial"/>
      <family val="2"/>
    </font>
    <font>
      <sz val="12"/>
      <name val="Arial"/>
      <family val="2"/>
    </font>
    <font>
      <u val="singleAccounting"/>
      <sz val="9"/>
      <name val="Arial"/>
      <family val="2"/>
    </font>
    <font>
      <u val="singleAccounting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2" borderId="0" xfId="0" applyNumberFormat="1" applyFill="1" applyAlignment="1">
      <alignment/>
    </xf>
    <xf numFmtId="0" fontId="1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6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/>
    </xf>
    <xf numFmtId="0" fontId="23" fillId="3" borderId="8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9" xfId="0" applyFont="1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16" fillId="0" borderId="15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17" fontId="30" fillId="0" borderId="12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5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217" fontId="31" fillId="0" borderId="12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217" fontId="30" fillId="0" borderId="18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32" fillId="0" borderId="3" xfId="0" applyFont="1" applyFill="1" applyBorder="1" applyAlignment="1">
      <alignment/>
    </xf>
    <xf numFmtId="0" fontId="32" fillId="0" borderId="4" xfId="0" applyFont="1" applyFill="1" applyBorder="1" applyAlignment="1">
      <alignment/>
    </xf>
    <xf numFmtId="0" fontId="29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20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 horizontal="left"/>
    </xf>
    <xf numFmtId="0" fontId="27" fillId="0" borderId="23" xfId="0" applyFont="1" applyBorder="1" applyAlignment="1">
      <alignment vertical="top"/>
    </xf>
    <xf numFmtId="0" fontId="27" fillId="0" borderId="24" xfId="0" applyFont="1" applyBorder="1" applyAlignment="1">
      <alignment vertical="top"/>
    </xf>
    <xf numFmtId="0" fontId="25" fillId="0" borderId="25" xfId="0" applyFont="1" applyFill="1" applyBorder="1" applyAlignment="1">
      <alignment horizontal="centerContinuous"/>
    </xf>
    <xf numFmtId="0" fontId="25" fillId="0" borderId="26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0" borderId="28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9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34" fillId="0" borderId="4" xfId="0" applyFont="1" applyBorder="1" applyAlignment="1">
      <alignment horizontal="centerContinuous"/>
    </xf>
    <xf numFmtId="0" fontId="35" fillId="0" borderId="4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30" xfId="0" applyFont="1" applyBorder="1" applyAlignment="1">
      <alignment/>
    </xf>
    <xf numFmtId="0" fontId="5" fillId="5" borderId="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0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4" xfId="0" applyFont="1" applyBorder="1" applyAlignment="1">
      <alignment/>
    </xf>
    <xf numFmtId="0" fontId="5" fillId="5" borderId="35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71" fontId="0" fillId="5" borderId="0" xfId="0" applyNumberFormat="1" applyFont="1" applyFill="1" applyBorder="1" applyAlignment="1">
      <alignment horizontal="center" vertical="top"/>
    </xf>
    <xf numFmtId="171" fontId="0" fillId="6" borderId="0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71" fontId="0" fillId="5" borderId="11" xfId="0" applyNumberFormat="1" applyFont="1" applyFill="1" applyBorder="1" applyAlignment="1">
      <alignment horizontal="center" vertical="top"/>
    </xf>
    <xf numFmtId="171" fontId="0" fillId="6" borderId="11" xfId="0" applyNumberFormat="1" applyFont="1" applyFill="1" applyBorder="1" applyAlignment="1">
      <alignment horizontal="center" vertical="top"/>
    </xf>
    <xf numFmtId="171" fontId="0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71" fontId="5" fillId="3" borderId="0" xfId="0" applyNumberFormat="1" applyFont="1" applyFill="1" applyBorder="1" applyAlignment="1">
      <alignment horizontal="center" vertical="top"/>
    </xf>
    <xf numFmtId="171" fontId="5" fillId="6" borderId="0" xfId="0" applyNumberFormat="1" applyFont="1" applyFill="1" applyBorder="1" applyAlignment="1">
      <alignment horizontal="center" vertical="top"/>
    </xf>
    <xf numFmtId="171" fontId="5" fillId="7" borderId="0" xfId="0" applyNumberFormat="1" applyFont="1" applyFill="1" applyBorder="1" applyAlignment="1">
      <alignment horizontal="center" vertical="top"/>
    </xf>
    <xf numFmtId="171" fontId="5" fillId="5" borderId="0" xfId="0" applyNumberFormat="1" applyFont="1" applyFill="1" applyBorder="1" applyAlignment="1">
      <alignment horizontal="center" vertical="top"/>
    </xf>
    <xf numFmtId="171" fontId="5" fillId="4" borderId="0" xfId="0" applyNumberFormat="1" applyFont="1" applyFill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71" fontId="0" fillId="9" borderId="11" xfId="0" applyNumberFormat="1" applyFont="1" applyFill="1" applyBorder="1" applyAlignment="1">
      <alignment horizontal="center" vertical="top"/>
    </xf>
    <xf numFmtId="171" fontId="0" fillId="9" borderId="0" xfId="0" applyNumberFormat="1" applyFont="1" applyFill="1" applyBorder="1" applyAlignment="1" quotePrefix="1">
      <alignment horizontal="center" vertical="top"/>
    </xf>
    <xf numFmtId="171" fontId="0" fillId="8" borderId="0" xfId="0" applyNumberFormat="1" applyFill="1" applyAlignment="1">
      <alignment/>
    </xf>
    <xf numFmtId="171" fontId="0" fillId="5" borderId="0" xfId="15" applyNumberFormat="1" applyFont="1" applyFill="1" applyBorder="1" applyAlignment="1">
      <alignment horizontal="center" vertical="top"/>
    </xf>
    <xf numFmtId="171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71" fontId="7" fillId="5" borderId="0" xfId="0" applyNumberFormat="1" applyFont="1" applyFill="1" applyBorder="1" applyAlignment="1">
      <alignment horizontal="center" vertical="top"/>
    </xf>
    <xf numFmtId="171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71" fontId="0" fillId="9" borderId="0" xfId="0" applyNumberFormat="1" applyFont="1" applyFill="1" applyBorder="1" applyAlignment="1">
      <alignment horizontal="center" vertical="top"/>
    </xf>
    <xf numFmtId="171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71" fontId="5" fillId="3" borderId="37" xfId="0" applyNumberFormat="1" applyFont="1" applyFill="1" applyBorder="1" applyAlignment="1">
      <alignment horizontal="center" vertical="top"/>
    </xf>
    <xf numFmtId="171" fontId="5" fillId="6" borderId="37" xfId="0" applyNumberFormat="1" applyFont="1" applyFill="1" applyBorder="1" applyAlignment="1">
      <alignment horizontal="center" vertical="top"/>
    </xf>
    <xf numFmtId="171" fontId="5" fillId="0" borderId="3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1" fontId="6" fillId="3" borderId="0" xfId="0" applyNumberFormat="1" applyFont="1" applyFill="1" applyBorder="1" applyAlignment="1">
      <alignment horizontal="center" vertical="top"/>
    </xf>
    <xf numFmtId="171" fontId="6" fillId="6" borderId="0" xfId="0" applyNumberFormat="1" applyFont="1" applyFill="1" applyBorder="1" applyAlignment="1">
      <alignment horizontal="center" vertical="top"/>
    </xf>
    <xf numFmtId="171" fontId="6" fillId="7" borderId="0" xfId="0" applyNumberFormat="1" applyFont="1" applyFill="1" applyBorder="1" applyAlignment="1">
      <alignment horizontal="center" vertical="top"/>
    </xf>
    <xf numFmtId="171" fontId="6" fillId="5" borderId="0" xfId="0" applyNumberFormat="1" applyFont="1" applyFill="1" applyBorder="1" applyAlignment="1">
      <alignment horizontal="center" vertical="top"/>
    </xf>
    <xf numFmtId="171" fontId="6" fillId="4" borderId="0" xfId="0" applyNumberFormat="1" applyFont="1" applyFill="1" applyBorder="1" applyAlignment="1">
      <alignment horizontal="center" vertical="top"/>
    </xf>
    <xf numFmtId="171" fontId="0" fillId="5" borderId="37" xfId="0" applyNumberFormat="1" applyFont="1" applyFill="1" applyBorder="1" applyAlignment="1">
      <alignment horizontal="center" vertical="top"/>
    </xf>
    <xf numFmtId="171" fontId="0" fillId="6" borderId="37" xfId="0" applyNumberFormat="1" applyFont="1" applyFill="1" applyBorder="1" applyAlignment="1">
      <alignment horizontal="center" vertical="top"/>
    </xf>
    <xf numFmtId="171" fontId="0" fillId="0" borderId="37" xfId="0" applyNumberFormat="1" applyFont="1" applyBorder="1" applyAlignment="1">
      <alignment horizontal="center"/>
    </xf>
    <xf numFmtId="171" fontId="6" fillId="3" borderId="38" xfId="0" applyNumberFormat="1" applyFont="1" applyFill="1" applyBorder="1" applyAlignment="1">
      <alignment horizontal="center"/>
    </xf>
    <xf numFmtId="171" fontId="6" fillId="6" borderId="38" xfId="0" applyNumberFormat="1" applyFont="1" applyFill="1" applyBorder="1" applyAlignment="1">
      <alignment horizontal="center"/>
    </xf>
    <xf numFmtId="171" fontId="6" fillId="7" borderId="38" xfId="0" applyNumberFormat="1" applyFont="1" applyFill="1" applyBorder="1" applyAlignment="1">
      <alignment horizontal="center"/>
    </xf>
    <xf numFmtId="171" fontId="6" fillId="5" borderId="38" xfId="0" applyNumberFormat="1" applyFont="1" applyFill="1" applyBorder="1" applyAlignment="1">
      <alignment horizontal="center"/>
    </xf>
    <xf numFmtId="171" fontId="6" fillId="4" borderId="3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1" fontId="8" fillId="5" borderId="0" xfId="0" applyNumberFormat="1" applyFont="1" applyFill="1" applyAlignment="1">
      <alignment horizontal="center"/>
    </xf>
    <xf numFmtId="171" fontId="8" fillId="6" borderId="0" xfId="0" applyNumberFormat="1" applyFont="1" applyFill="1" applyAlignment="1">
      <alignment horizontal="center"/>
    </xf>
    <xf numFmtId="171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71" fontId="6" fillId="3" borderId="0" xfId="0" applyNumberFormat="1" applyFont="1" applyFill="1" applyAlignment="1">
      <alignment horizontal="center"/>
    </xf>
    <xf numFmtId="171" fontId="0" fillId="6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/>
    </xf>
    <xf numFmtId="171" fontId="8" fillId="7" borderId="0" xfId="0" applyNumberFormat="1" applyFont="1" applyFill="1" applyAlignment="1">
      <alignment horizontal="center"/>
    </xf>
    <xf numFmtId="171" fontId="0" fillId="5" borderId="0" xfId="0" applyNumberFormat="1" applyFont="1" applyFill="1" applyAlignment="1">
      <alignment horizontal="center"/>
    </xf>
    <xf numFmtId="171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71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5" xfId="0" applyFont="1" applyFill="1" applyBorder="1" applyAlignment="1">
      <alignment horizontal="centerContinuous"/>
    </xf>
    <xf numFmtId="0" fontId="14" fillId="10" borderId="30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171" fontId="14" fillId="10" borderId="0" xfId="0" applyNumberFormat="1" applyFont="1" applyFill="1" applyAlignment="1">
      <alignment horizontal="center"/>
    </xf>
    <xf numFmtId="171" fontId="14" fillId="10" borderId="11" xfId="0" applyNumberFormat="1" applyFont="1" applyFill="1" applyBorder="1" applyAlignment="1">
      <alignment horizontal="center"/>
    </xf>
    <xf numFmtId="171" fontId="8" fillId="10" borderId="0" xfId="0" applyNumberFormat="1" applyFont="1" applyFill="1" applyBorder="1" applyAlignment="1">
      <alignment horizontal="center" vertical="top"/>
    </xf>
    <xf numFmtId="171" fontId="8" fillId="10" borderId="0" xfId="0" applyNumberFormat="1" applyFont="1" applyFill="1" applyAlignment="1">
      <alignment horizontal="center"/>
    </xf>
    <xf numFmtId="171" fontId="8" fillId="10" borderId="37" xfId="0" applyNumberFormat="1" applyFont="1" applyFill="1" applyBorder="1" applyAlignment="1">
      <alignment horizontal="center"/>
    </xf>
    <xf numFmtId="171" fontId="14" fillId="10" borderId="37" xfId="0" applyNumberFormat="1" applyFont="1" applyFill="1" applyBorder="1" applyAlignment="1">
      <alignment horizontal="center"/>
    </xf>
    <xf numFmtId="171" fontId="8" fillId="10" borderId="38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71" fontId="32" fillId="2" borderId="0" xfId="0" applyNumberFormat="1" applyFont="1" applyFill="1" applyBorder="1" applyAlignment="1">
      <alignment horizontal="center"/>
    </xf>
    <xf numFmtId="171" fontId="32" fillId="3" borderId="0" xfId="0" applyNumberFormat="1" applyFont="1" applyFill="1" applyBorder="1" applyAlignment="1">
      <alignment horizontal="center"/>
    </xf>
    <xf numFmtId="0" fontId="37" fillId="0" borderId="39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16" fillId="0" borderId="37" xfId="0" applyFont="1" applyFill="1" applyBorder="1" applyAlignment="1">
      <alignment vertical="top"/>
    </xf>
    <xf numFmtId="0" fontId="1" fillId="0" borderId="4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3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44" xfId="0" applyFill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Fill="1" applyBorder="1" applyAlignment="1">
      <alignment/>
    </xf>
    <xf numFmtId="0" fontId="24" fillId="0" borderId="47" xfId="0" applyFont="1" applyFill="1" applyBorder="1" applyAlignment="1">
      <alignment horizontal="left"/>
    </xf>
    <xf numFmtId="0" fontId="26" fillId="0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37" fillId="0" borderId="50" xfId="0" applyFont="1" applyFill="1" applyBorder="1" applyAlignment="1">
      <alignment horizontal="left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37" fillId="0" borderId="53" xfId="0" applyFont="1" applyFill="1" applyBorder="1" applyAlignment="1">
      <alignment horizontal="left"/>
    </xf>
    <xf numFmtId="0" fontId="30" fillId="0" borderId="21" xfId="0" applyFont="1" applyBorder="1" applyAlignment="1">
      <alignment/>
    </xf>
    <xf numFmtId="171" fontId="32" fillId="2" borderId="44" xfId="0" applyNumberFormat="1" applyFont="1" applyFill="1" applyBorder="1" applyAlignment="1">
      <alignment horizontal="center"/>
    </xf>
    <xf numFmtId="0" fontId="16" fillId="2" borderId="44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0" fillId="0" borderId="45" xfId="0" applyFont="1" applyBorder="1" applyAlignment="1">
      <alignment horizontal="right"/>
    </xf>
    <xf numFmtId="0" fontId="16" fillId="3" borderId="11" xfId="0" applyFont="1" applyFill="1" applyBorder="1" applyAlignment="1">
      <alignment/>
    </xf>
    <xf numFmtId="0" fontId="16" fillId="11" borderId="46" xfId="0" applyFont="1" applyFill="1" applyBorder="1" applyAlignment="1">
      <alignment/>
    </xf>
    <xf numFmtId="0" fontId="33" fillId="0" borderId="49" xfId="0" applyFont="1" applyBorder="1" applyAlignment="1">
      <alignment horizontal="centerContinuous"/>
    </xf>
    <xf numFmtId="0" fontId="33" fillId="0" borderId="43" xfId="0" applyFont="1" applyBorder="1" applyAlignment="1">
      <alignment horizontal="centerContinuous"/>
    </xf>
    <xf numFmtId="0" fontId="16" fillId="3" borderId="54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Continuous" wrapText="1"/>
    </xf>
    <xf numFmtId="0" fontId="33" fillId="0" borderId="21" xfId="0" applyFont="1" applyBorder="1" applyAlignment="1">
      <alignment horizontal="centerContinuous"/>
    </xf>
    <xf numFmtId="0" fontId="16" fillId="0" borderId="54" xfId="0" applyFont="1" applyBorder="1" applyAlignment="1">
      <alignment horizontal="centerContinuous"/>
    </xf>
    <xf numFmtId="0" fontId="16" fillId="0" borderId="55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3" xfId="0" applyFont="1" applyFill="1" applyBorder="1" applyAlignment="1">
      <alignment horizontal="left"/>
    </xf>
    <xf numFmtId="0" fontId="40" fillId="0" borderId="8" xfId="0" applyFont="1" applyFill="1" applyBorder="1" applyAlignment="1">
      <alignment horizontal="left"/>
    </xf>
    <xf numFmtId="222" fontId="39" fillId="0" borderId="5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54" xfId="0" applyFill="1" applyBorder="1" applyAlignment="1">
      <alignment/>
    </xf>
    <xf numFmtId="2" fontId="1" fillId="0" borderId="54" xfId="0" applyNumberFormat="1" applyFont="1" applyFill="1" applyBorder="1" applyAlignment="1">
      <alignment horizontal="center"/>
    </xf>
    <xf numFmtId="170" fontId="1" fillId="0" borderId="43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0" fontId="1" fillId="0" borderId="44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70" fontId="15" fillId="0" borderId="44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/>
    </xf>
    <xf numFmtId="165" fontId="1" fillId="7" borderId="0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 wrapText="1"/>
    </xf>
    <xf numFmtId="165" fontId="2" fillId="0" borderId="54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71" fontId="16" fillId="2" borderId="0" xfId="0" applyNumberFormat="1" applyFont="1" applyFill="1" applyBorder="1" applyAlignment="1">
      <alignment horizontal="center"/>
    </xf>
    <xf numFmtId="43" fontId="16" fillId="2" borderId="0" xfId="15" applyFont="1" applyFill="1" applyBorder="1" applyAlignment="1">
      <alignment horizontal="center"/>
    </xf>
    <xf numFmtId="43" fontId="16" fillId="2" borderId="0" xfId="15" applyFont="1" applyFill="1" applyBorder="1" applyAlignment="1">
      <alignment/>
    </xf>
    <xf numFmtId="2" fontId="16" fillId="2" borderId="44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15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43" fontId="16" fillId="2" borderId="0" xfId="15" applyNumberFormat="1" applyFont="1" applyFill="1" applyBorder="1" applyAlignment="1">
      <alignment/>
    </xf>
    <xf numFmtId="43" fontId="16" fillId="2" borderId="44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 horizontal="center" wrapText="1"/>
    </xf>
    <xf numFmtId="2" fontId="1" fillId="0" borderId="54" xfId="15" applyNumberFormat="1" applyFont="1" applyFill="1" applyBorder="1" applyAlignment="1">
      <alignment horizontal="center"/>
    </xf>
    <xf numFmtId="2" fontId="15" fillId="0" borderId="0" xfId="15" applyNumberFormat="1" applyFont="1" applyFill="1" applyBorder="1" applyAlignment="1">
      <alignment horizontal="center"/>
    </xf>
    <xf numFmtId="2" fontId="1" fillId="0" borderId="0" xfId="15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2" fillId="0" borderId="0" xfId="0" applyFont="1" applyAlignment="1">
      <alignment horizontal="right"/>
    </xf>
    <xf numFmtId="165" fontId="42" fillId="0" borderId="0" xfId="0" applyNumberFormat="1" applyFont="1" applyAlignment="1">
      <alignment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70" fontId="42" fillId="0" borderId="0" xfId="0" applyNumberFormat="1" applyFont="1" applyFill="1" applyBorder="1" applyAlignment="1">
      <alignment/>
    </xf>
    <xf numFmtId="15" fontId="16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0" fontId="42" fillId="0" borderId="4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2" fontId="6" fillId="0" borderId="11" xfId="15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70" fontId="6" fillId="0" borderId="46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42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2" fontId="44" fillId="0" borderId="0" xfId="15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170" fontId="44" fillId="0" borderId="44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0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170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0" fontId="0" fillId="0" borderId="63" xfId="0" applyNumberFormat="1" applyBorder="1" applyAlignment="1">
      <alignment/>
    </xf>
    <xf numFmtId="0" fontId="0" fillId="0" borderId="56" xfId="0" applyBorder="1" applyAlignment="1">
      <alignment/>
    </xf>
    <xf numFmtId="0" fontId="5" fillId="8" borderId="0" xfId="0" applyFont="1" applyFill="1" applyBorder="1" applyAlignment="1">
      <alignment/>
    </xf>
    <xf numFmtId="2" fontId="3" fillId="8" borderId="0" xfId="0" applyNumberFormat="1" applyFont="1" applyFill="1" applyBorder="1" applyAlignment="1">
      <alignment horizontal="center"/>
    </xf>
    <xf numFmtId="170" fontId="3" fillId="8" borderId="44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2" fontId="3" fillId="4" borderId="0" xfId="15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2" fontId="45" fillId="0" borderId="0" xfId="15" applyNumberFormat="1" applyFont="1" applyFill="1" applyBorder="1" applyAlignment="1">
      <alignment horizontal="center"/>
    </xf>
    <xf numFmtId="43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70" fontId="45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45" fillId="0" borderId="0" xfId="0" applyFont="1" applyAlignment="1">
      <alignment horizontal="centerContinuous"/>
    </xf>
    <xf numFmtId="165" fontId="45" fillId="0" borderId="0" xfId="0" applyNumberFormat="1" applyFont="1" applyAlignment="1">
      <alignment horizontal="centerContinuous"/>
    </xf>
    <xf numFmtId="2" fontId="45" fillId="0" borderId="0" xfId="0" applyNumberFormat="1" applyFont="1" applyAlignment="1">
      <alignment horizontal="centerContinuous"/>
    </xf>
    <xf numFmtId="0" fontId="46" fillId="0" borderId="0" xfId="0" applyFont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65" fontId="11" fillId="0" borderId="32" xfId="0" applyNumberFormat="1" applyFont="1" applyFill="1" applyBorder="1" applyAlignment="1">
      <alignment/>
    </xf>
    <xf numFmtId="2" fontId="11" fillId="0" borderId="32" xfId="15" applyNumberFormat="1" applyFont="1" applyFill="1" applyBorder="1" applyAlignment="1">
      <alignment horizontal="center"/>
    </xf>
    <xf numFmtId="43" fontId="11" fillId="0" borderId="32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170" fontId="11" fillId="0" borderId="33" xfId="0" applyNumberFormat="1" applyFont="1" applyFill="1" applyBorder="1" applyAlignment="1">
      <alignment/>
    </xf>
    <xf numFmtId="0" fontId="29" fillId="0" borderId="8" xfId="0" applyFont="1" applyBorder="1" applyAlignment="1">
      <alignment horizontal="center" wrapText="1"/>
    </xf>
    <xf numFmtId="0" fontId="29" fillId="0" borderId="64" xfId="0" applyFont="1" applyBorder="1" applyAlignment="1">
      <alignment horizontal="center" wrapText="1"/>
    </xf>
    <xf numFmtId="0" fontId="16" fillId="0" borderId="9" xfId="0" applyFont="1" applyFill="1" applyBorder="1" applyAlignment="1">
      <alignment/>
    </xf>
    <xf numFmtId="217" fontId="30" fillId="0" borderId="9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217" fontId="30" fillId="0" borderId="0" xfId="0" applyNumberFormat="1" applyFont="1" applyFill="1" applyBorder="1" applyAlignment="1">
      <alignment horizontal="center"/>
    </xf>
    <xf numFmtId="217" fontId="31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16" fillId="0" borderId="65" xfId="0" applyFont="1" applyFill="1" applyBorder="1" applyAlignment="1">
      <alignment/>
    </xf>
    <xf numFmtId="0" fontId="16" fillId="0" borderId="66" xfId="0" applyFont="1" applyFill="1" applyBorder="1" applyAlignment="1">
      <alignment/>
    </xf>
    <xf numFmtId="217" fontId="30" fillId="0" borderId="54" xfId="0" applyNumberFormat="1" applyFont="1" applyFill="1" applyBorder="1" applyAlignment="1">
      <alignment horizontal="center"/>
    </xf>
    <xf numFmtId="0" fontId="16" fillId="0" borderId="4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44" xfId="0" applyFont="1" applyFill="1" applyBorder="1" applyAlignment="1">
      <alignment horizontal="center"/>
    </xf>
    <xf numFmtId="0" fontId="31" fillId="0" borderId="45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5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217" fontId="31" fillId="0" borderId="11" xfId="0" applyNumberFormat="1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15" fontId="16" fillId="0" borderId="0" xfId="0" applyNumberFormat="1" applyFont="1" applyAlignment="1">
      <alignment horizontal="center"/>
    </xf>
    <xf numFmtId="0" fontId="16" fillId="5" borderId="20" xfId="0" applyFont="1" applyFill="1" applyBorder="1" applyAlignment="1">
      <alignment/>
    </xf>
    <xf numFmtId="0" fontId="16" fillId="5" borderId="0" xfId="0" applyFont="1" applyFill="1" applyAlignment="1">
      <alignment/>
    </xf>
    <xf numFmtId="15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left"/>
    </xf>
    <xf numFmtId="217" fontId="30" fillId="5" borderId="0" xfId="0" applyNumberFormat="1" applyFont="1" applyFill="1" applyBorder="1" applyAlignment="1">
      <alignment horizontal="center"/>
    </xf>
    <xf numFmtId="0" fontId="16" fillId="5" borderId="44" xfId="0" applyFont="1" applyFill="1" applyBorder="1" applyAlignment="1">
      <alignment/>
    </xf>
    <xf numFmtId="0" fontId="30" fillId="4" borderId="21" xfId="0" applyFont="1" applyFill="1" applyBorder="1" applyAlignment="1">
      <alignment/>
    </xf>
    <xf numFmtId="0" fontId="30" fillId="4" borderId="0" xfId="0" applyFont="1" applyFill="1" applyAlignment="1">
      <alignment/>
    </xf>
    <xf numFmtId="15" fontId="30" fillId="4" borderId="0" xfId="0" applyNumberFormat="1" applyFont="1" applyFill="1" applyAlignment="1">
      <alignment horizontal="center"/>
    </xf>
    <xf numFmtId="0" fontId="30" fillId="4" borderId="20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15" fontId="0" fillId="0" borderId="0" xfId="0" applyNumberFormat="1" applyFill="1" applyBorder="1" applyAlignment="1">
      <alignment horizontal="center"/>
    </xf>
    <xf numFmtId="217" fontId="30" fillId="0" borderId="0" xfId="0" applyNumberFormat="1" applyFont="1" applyFill="1" applyBorder="1" applyAlignment="1">
      <alignment/>
    </xf>
    <xf numFmtId="0" fontId="16" fillId="0" borderId="67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4" xfId="0" applyFont="1" applyFill="1" applyBorder="1" applyAlignment="1">
      <alignment horizontal="center"/>
    </xf>
    <xf numFmtId="15" fontId="16" fillId="0" borderId="54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31" fillId="0" borderId="4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5" fontId="31" fillId="0" borderId="0" xfId="0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2" xfId="15" applyNumberFormat="1" applyFont="1" applyFill="1" applyBorder="1" applyAlignment="1">
      <alignment horizontal="center"/>
    </xf>
    <xf numFmtId="0" fontId="30" fillId="0" borderId="12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31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5" borderId="15" xfId="0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15" fontId="16" fillId="5" borderId="0" xfId="0" applyNumberFormat="1" applyFont="1" applyFill="1" applyBorder="1" applyAlignment="1">
      <alignment horizontal="center"/>
    </xf>
    <xf numFmtId="15" fontId="16" fillId="5" borderId="0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15" xfId="0" applyFont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71" fontId="32" fillId="0" borderId="0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6" fillId="0" borderId="68" xfId="0" applyFont="1" applyBorder="1" applyAlignment="1">
      <alignment/>
    </xf>
    <xf numFmtId="15" fontId="16" fillId="0" borderId="37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/>
    </xf>
    <xf numFmtId="217" fontId="30" fillId="0" borderId="4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17" fontId="30" fillId="0" borderId="37" xfId="0" applyNumberFormat="1" applyFont="1" applyFill="1" applyBorder="1" applyAlignment="1">
      <alignment/>
    </xf>
    <xf numFmtId="0" fontId="30" fillId="4" borderId="3" xfId="0" applyFont="1" applyFill="1" applyBorder="1" applyAlignment="1">
      <alignment/>
    </xf>
    <xf numFmtId="0" fontId="30" fillId="4" borderId="4" xfId="0" applyFont="1" applyFill="1" applyBorder="1" applyAlignment="1">
      <alignment horizontal="center"/>
    </xf>
    <xf numFmtId="15" fontId="30" fillId="4" borderId="4" xfId="0" applyNumberFormat="1" applyFont="1" applyFill="1" applyBorder="1" applyAlignment="1">
      <alignment horizontal="center"/>
    </xf>
    <xf numFmtId="0" fontId="30" fillId="4" borderId="15" xfId="0" applyFont="1" applyFill="1" applyBorder="1" applyAlignment="1">
      <alignment/>
    </xf>
    <xf numFmtId="0" fontId="30" fillId="4" borderId="0" xfId="0" applyFont="1" applyFill="1" applyBorder="1" applyAlignment="1">
      <alignment horizontal="center"/>
    </xf>
    <xf numFmtId="15" fontId="30" fillId="4" borderId="0" xfId="0" applyNumberFormat="1" applyFont="1" applyFill="1" applyBorder="1" applyAlignment="1">
      <alignment horizontal="center"/>
    </xf>
    <xf numFmtId="0" fontId="24" fillId="4" borderId="15" xfId="0" applyFont="1" applyFill="1" applyBorder="1" applyAlignment="1">
      <alignment/>
    </xf>
    <xf numFmtId="0" fontId="24" fillId="4" borderId="0" xfId="0" applyFont="1" applyFill="1" applyBorder="1" applyAlignment="1">
      <alignment horizontal="center"/>
    </xf>
    <xf numFmtId="15" fontId="24" fillId="4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0" fillId="3" borderId="5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16" fillId="3" borderId="21" xfId="0" applyFont="1" applyFill="1" applyBorder="1" applyAlignment="1">
      <alignment horizontal="center" vertical="top" wrapText="1"/>
    </xf>
    <xf numFmtId="0" fontId="27" fillId="3" borderId="20" xfId="0" applyFont="1" applyFill="1" applyBorder="1" applyAlignment="1">
      <alignment vertical="top" wrapText="1"/>
    </xf>
    <xf numFmtId="0" fontId="27" fillId="3" borderId="54" xfId="0" applyFont="1" applyFill="1" applyBorder="1" applyAlignment="1">
      <alignment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16" fillId="3" borderId="20" xfId="0" applyFont="1" applyFill="1" applyBorder="1" applyAlignment="1">
      <alignment horizontal="center" vertical="top" wrapText="1"/>
    </xf>
    <xf numFmtId="0" fontId="27" fillId="3" borderId="45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0" fontId="27" fillId="3" borderId="46" xfId="0" applyFont="1" applyFill="1" applyBorder="1" applyAlignment="1">
      <alignment vertical="top" wrapText="1"/>
    </xf>
    <xf numFmtId="0" fontId="29" fillId="0" borderId="69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3" fillId="0" borderId="69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27" fillId="3" borderId="70" xfId="0" applyFont="1" applyFill="1" applyBorder="1" applyAlignment="1">
      <alignment horizontal="left" vertical="top" wrapText="1"/>
    </xf>
    <xf numFmtId="0" fontId="27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left" vertical="top" wrapText="1"/>
    </xf>
    <xf numFmtId="0" fontId="27" fillId="3" borderId="15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68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/>
    </xf>
    <xf numFmtId="0" fontId="25" fillId="0" borderId="54" xfId="0" applyFont="1" applyFill="1" applyBorder="1" applyAlignment="1">
      <alignment horizontal="left"/>
    </xf>
    <xf numFmtId="0" fontId="24" fillId="0" borderId="54" xfId="0" applyFont="1" applyFill="1" applyBorder="1" applyAlignment="1">
      <alignment horizontal="left"/>
    </xf>
    <xf numFmtId="0" fontId="24" fillId="0" borderId="55" xfId="0" applyFont="1" applyFill="1" applyBorder="1" applyAlignment="1">
      <alignment horizontal="left"/>
    </xf>
    <xf numFmtId="0" fontId="16" fillId="3" borderId="15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15" xfId="0" applyFont="1" applyFill="1" applyBorder="1" applyAlignment="1">
      <alignment vertical="top" wrapText="1"/>
    </xf>
    <xf numFmtId="0" fontId="27" fillId="3" borderId="68" xfId="0" applyFont="1" applyFill="1" applyBorder="1" applyAlignment="1">
      <alignment vertical="top" wrapText="1"/>
    </xf>
    <xf numFmtId="0" fontId="27" fillId="3" borderId="37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28" fillId="0" borderId="32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wrapText="1"/>
    </xf>
    <xf numFmtId="0" fontId="0" fillId="2" borderId="54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16" fillId="0" borderId="54" xfId="0" applyFont="1" applyBorder="1" applyAlignment="1">
      <alignment/>
    </xf>
    <xf numFmtId="0" fontId="0" fillId="0" borderId="43" xfId="0" applyBorder="1" applyAlignment="1">
      <alignment/>
    </xf>
    <xf numFmtId="0" fontId="16" fillId="3" borderId="20" xfId="0" applyFont="1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0" fillId="3" borderId="45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46" xfId="0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7" fillId="3" borderId="71" xfId="0" applyFont="1" applyFill="1" applyBorder="1" applyAlignment="1">
      <alignment vertical="top" wrapText="1"/>
    </xf>
    <xf numFmtId="0" fontId="27" fillId="3" borderId="72" xfId="0" applyFont="1" applyFill="1" applyBorder="1" applyAlignment="1">
      <alignment vertical="top" wrapText="1"/>
    </xf>
    <xf numFmtId="0" fontId="18" fillId="0" borderId="68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left"/>
    </xf>
    <xf numFmtId="0" fontId="27" fillId="0" borderId="68" xfId="0" applyFont="1" applyFill="1" applyBorder="1" applyAlignment="1">
      <alignment vertical="top" wrapText="1"/>
    </xf>
    <xf numFmtId="0" fontId="27" fillId="0" borderId="37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7" fillId="0" borderId="68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23" fillId="0" borderId="6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JOB'!$K$1:$AH$1</c:f>
              <c:strCache>
                <c:ptCount val="24"/>
                <c:pt idx="0">
                  <c:v> OCT fy08</c:v>
                </c:pt>
                <c:pt idx="1">
                  <c:v> NOV fy08</c:v>
                </c:pt>
                <c:pt idx="2">
                  <c:v> DEC fy08</c:v>
                </c:pt>
                <c:pt idx="3">
                  <c:v> JAN fy08</c:v>
                </c:pt>
                <c:pt idx="4">
                  <c:v> FEB fy08</c:v>
                </c:pt>
                <c:pt idx="5">
                  <c:v> MAR fy08</c:v>
                </c:pt>
                <c:pt idx="6">
                  <c:v> APR fy08</c:v>
                </c:pt>
                <c:pt idx="7">
                  <c:v> MAY fy08</c:v>
                </c:pt>
                <c:pt idx="8">
                  <c:v> JUN fy08</c:v>
                </c:pt>
                <c:pt idx="9">
                  <c:v> JUL fy08</c:v>
                </c:pt>
                <c:pt idx="10">
                  <c:v> AUG fy08</c:v>
                </c:pt>
                <c:pt idx="11">
                  <c:v> SEP fy08</c:v>
                </c:pt>
                <c:pt idx="12">
                  <c:v> OCT fy09</c:v>
                </c:pt>
                <c:pt idx="13">
                  <c:v> NOV fy09</c:v>
                </c:pt>
                <c:pt idx="14">
                  <c:v> DEC fy09</c:v>
                </c:pt>
                <c:pt idx="15">
                  <c:v> JAN fy09</c:v>
                </c:pt>
                <c:pt idx="16">
                  <c:v> FEB fy09</c:v>
                </c:pt>
                <c:pt idx="17">
                  <c:v> MAR fy09</c:v>
                </c:pt>
                <c:pt idx="18">
                  <c:v> APR fy09</c:v>
                </c:pt>
                <c:pt idx="19">
                  <c:v> MAY fy09</c:v>
                </c:pt>
                <c:pt idx="20">
                  <c:v> JUN fy09</c:v>
                </c:pt>
                <c:pt idx="21">
                  <c:v> JUL fy09</c:v>
                </c:pt>
                <c:pt idx="22">
                  <c:v> AUG fy09</c:v>
                </c:pt>
                <c:pt idx="23">
                  <c:v> SEP fy09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JOB'!$K$1:$AH$1</c:f>
              <c:strCache>
                <c:ptCount val="24"/>
                <c:pt idx="0">
                  <c:v> OCT fy08</c:v>
                </c:pt>
                <c:pt idx="1">
                  <c:v> NOV fy08</c:v>
                </c:pt>
                <c:pt idx="2">
                  <c:v> DEC fy08</c:v>
                </c:pt>
                <c:pt idx="3">
                  <c:v> JAN fy08</c:v>
                </c:pt>
                <c:pt idx="4">
                  <c:v> FEB fy08</c:v>
                </c:pt>
                <c:pt idx="5">
                  <c:v> MAR fy08</c:v>
                </c:pt>
                <c:pt idx="6">
                  <c:v> APR fy08</c:v>
                </c:pt>
                <c:pt idx="7">
                  <c:v> MAY fy08</c:v>
                </c:pt>
                <c:pt idx="8">
                  <c:v> JUN fy08</c:v>
                </c:pt>
                <c:pt idx="9">
                  <c:v> JUL fy08</c:v>
                </c:pt>
                <c:pt idx="10">
                  <c:v> AUG fy08</c:v>
                </c:pt>
                <c:pt idx="11">
                  <c:v> SEP fy08</c:v>
                </c:pt>
                <c:pt idx="12">
                  <c:v> OCT fy09</c:v>
                </c:pt>
                <c:pt idx="13">
                  <c:v> NOV fy09</c:v>
                </c:pt>
                <c:pt idx="14">
                  <c:v> DEC fy09</c:v>
                </c:pt>
                <c:pt idx="15">
                  <c:v> JAN fy09</c:v>
                </c:pt>
                <c:pt idx="16">
                  <c:v> FEB fy09</c:v>
                </c:pt>
                <c:pt idx="17">
                  <c:v> MAR fy09</c:v>
                </c:pt>
                <c:pt idx="18">
                  <c:v> APR fy09</c:v>
                </c:pt>
                <c:pt idx="19">
                  <c:v> MAY fy09</c:v>
                </c:pt>
                <c:pt idx="20">
                  <c:v> JUN fy09</c:v>
                </c:pt>
                <c:pt idx="21">
                  <c:v> JUL fy09</c:v>
                </c:pt>
                <c:pt idx="22">
                  <c:v> AUG fy09</c:v>
                </c:pt>
                <c:pt idx="23">
                  <c:v> SEP fy09</c:v>
                </c:pt>
              </c:strCache>
            </c:strRef>
          </c:cat>
          <c:val>
            <c:numRef>
              <c:f>'BCWS by JOB'!$BH$79:$CE$79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1300</c:v>
                </c:pt>
                <c:pt idx="13">
                  <c:v>1400</c:v>
                </c:pt>
                <c:pt idx="14">
                  <c:v>1450</c:v>
                </c:pt>
                <c:pt idx="15">
                  <c:v>1500</c:v>
                </c:pt>
                <c:pt idx="16">
                  <c:v>1450</c:v>
                </c:pt>
                <c:pt idx="17">
                  <c:v>1300</c:v>
                </c:pt>
                <c:pt idx="18">
                  <c:v>1100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2">
                  <c:v>400</c:v>
                </c:pt>
                <c:pt idx="23">
                  <c:v>200</c:v>
                </c:pt>
              </c:numCache>
            </c:numRef>
          </c:val>
          <c:smooth val="0"/>
        </c:ser>
        <c:axId val="11042453"/>
        <c:axId val="32273214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Design and Procurement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'BCWS by JOB'!$E$100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JOB'!$F$100:$Q$100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3572</c:v>
                </c:pt>
                <c:pt idx="7">
                  <c:v>3872</c:v>
                </c:pt>
                <c:pt idx="8">
                  <c:v>4306</c:v>
                </c:pt>
                <c:pt idx="9">
                  <c:v>4678</c:v>
                </c:pt>
                <c:pt idx="10">
                  <c:v>5072</c:v>
                </c:pt>
                <c:pt idx="11">
                  <c:v>5423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JOB'!$F$102:$Q$102</c:f>
              <c:numCache>
                <c:ptCount val="12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</c:numCache>
            </c:numRef>
          </c:val>
          <c:smooth val="0"/>
        </c:ser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535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'BCWS by JOB'!$E$104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JOB'!$F$104:$Q$104</c:f>
              <c:numCache>
                <c:ptCount val="12"/>
                <c:pt idx="0">
                  <c:v>-103</c:v>
                </c:pt>
                <c:pt idx="1">
                  <c:v>-102</c:v>
                </c:pt>
                <c:pt idx="2">
                  <c:v>-101</c:v>
                </c:pt>
                <c:pt idx="3">
                  <c:v>-99</c:v>
                </c:pt>
                <c:pt idx="4">
                  <c:v>-98</c:v>
                </c:pt>
                <c:pt idx="5">
                  <c:v>-95</c:v>
                </c:pt>
                <c:pt idx="6">
                  <c:v>-92</c:v>
                </c:pt>
                <c:pt idx="7">
                  <c:v>-90</c:v>
                </c:pt>
                <c:pt idx="8">
                  <c:v>-87</c:v>
                </c:pt>
                <c:pt idx="9">
                  <c:v>-84</c:v>
                </c:pt>
                <c:pt idx="10">
                  <c:v>-81</c:v>
                </c:pt>
                <c:pt idx="11">
                  <c:v>-78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JOB'!$E$106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JOB'!$F$106:$Q$106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</c:numCache>
            </c:numRef>
          </c:val>
          <c:smooth val="0"/>
        </c:ser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311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"/>
          <c:w val="0.954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JOB'!$F$108:$Q$108</c:f>
              <c:numCache>
                <c:ptCount val="12"/>
                <c:pt idx="0">
                  <c:v>621</c:v>
                </c:pt>
                <c:pt idx="1">
                  <c:v>1829</c:v>
                </c:pt>
                <c:pt idx="2">
                  <c:v>3381</c:v>
                </c:pt>
                <c:pt idx="3">
                  <c:v>4745</c:v>
                </c:pt>
                <c:pt idx="4">
                  <c:v>5878</c:v>
                </c:pt>
                <c:pt idx="5">
                  <c:v>7841</c:v>
                </c:pt>
                <c:pt idx="6">
                  <c:v>8990</c:v>
                </c:pt>
                <c:pt idx="7">
                  <c:v>9873</c:v>
                </c:pt>
                <c:pt idx="8">
                  <c:v>11175</c:v>
                </c:pt>
                <c:pt idx="9">
                  <c:v>12290</c:v>
                </c:pt>
                <c:pt idx="10">
                  <c:v>13412</c:v>
                </c:pt>
                <c:pt idx="11">
                  <c:v>14464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JOB'!$F$109:$Q$109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JOB'!$F$110:$Q$110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</c:numCache>
            </c:numRef>
          </c:val>
          <c:smooth val="0"/>
        </c:ser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568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Construction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55"/>
          <c:w val="0.9527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JOB'!$E$96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JOB'!$F$96:$Q$96</c:f>
              <c:numCache>
                <c:ptCount val="12"/>
                <c:pt idx="0">
                  <c:v>196</c:v>
                </c:pt>
                <c:pt idx="1">
                  <c:v>690</c:v>
                </c:pt>
                <c:pt idx="2">
                  <c:v>1538</c:v>
                </c:pt>
                <c:pt idx="3">
                  <c:v>2300</c:v>
                </c:pt>
                <c:pt idx="4">
                  <c:v>2913</c:v>
                </c:pt>
                <c:pt idx="5">
                  <c:v>4120</c:v>
                </c:pt>
                <c:pt idx="6">
                  <c:v>4755</c:v>
                </c:pt>
                <c:pt idx="7">
                  <c:v>5241</c:v>
                </c:pt>
                <c:pt idx="8">
                  <c:v>5967</c:v>
                </c:pt>
                <c:pt idx="9">
                  <c:v>6575</c:v>
                </c:pt>
                <c:pt idx="10">
                  <c:v>7168</c:v>
                </c:pt>
                <c:pt idx="11">
                  <c:v>7727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JOB'!$F$97:$Q$97</c:f>
              <c:numCache>
                <c:ptCount val="12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JOB'!$F$98:$Q$98</c:f>
              <c:numCache>
                <c:ptCount val="12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</c:numCache>
            </c:numRef>
          </c:val>
          <c:smooth val="0"/>
        </c:ser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0960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5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 Management and Oversight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825"/>
          <c:w val="0.95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JOB'!$E$92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JOB'!$F$92:$Q$92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JOB'!$F$94:$Q$94</c:f>
              <c:numCache>
                <c:ptCount val="12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</c:numCache>
            </c:numRef>
          </c:val>
          <c:smooth val="0"/>
        </c:ser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0731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951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JOB'!$F$104:$Q$104</c:f>
              <c:numCache>
                <c:ptCount val="12"/>
                <c:pt idx="0">
                  <c:v>-103</c:v>
                </c:pt>
                <c:pt idx="1">
                  <c:v>-102</c:v>
                </c:pt>
                <c:pt idx="2">
                  <c:v>-101</c:v>
                </c:pt>
                <c:pt idx="3">
                  <c:v>-99</c:v>
                </c:pt>
                <c:pt idx="4">
                  <c:v>-98</c:v>
                </c:pt>
                <c:pt idx="5">
                  <c:v>-95</c:v>
                </c:pt>
                <c:pt idx="6">
                  <c:v>-92</c:v>
                </c:pt>
                <c:pt idx="7">
                  <c:v>-90</c:v>
                </c:pt>
                <c:pt idx="8">
                  <c:v>-87</c:v>
                </c:pt>
                <c:pt idx="9">
                  <c:v>-84</c:v>
                </c:pt>
                <c:pt idx="10">
                  <c:v>-81</c:v>
                </c:pt>
                <c:pt idx="11">
                  <c:v>-78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JOB'!$E$106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JOB'!$F$106:$Q$106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</c:numCache>
            </c:numRef>
          </c:val>
          <c:smooth val="0"/>
        </c:ser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230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6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Design and Procurement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075"/>
          <c:w val="0.953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JOB'!$F$100:$Q$100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3572</c:v>
                </c:pt>
                <c:pt idx="7">
                  <c:v>3872</c:v>
                </c:pt>
                <c:pt idx="8">
                  <c:v>4306</c:v>
                </c:pt>
                <c:pt idx="9">
                  <c:v>4678</c:v>
                </c:pt>
                <c:pt idx="10">
                  <c:v>5072</c:v>
                </c:pt>
                <c:pt idx="11">
                  <c:v>5423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JOB'!$E$101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JOB'!$F$101:$Q$101</c:f>
              <c:numCache>
                <c:ptCount val="12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JOB'!$F$102:$Q$102</c:f>
              <c:numCache>
                <c:ptCount val="12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</c:numCache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6344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 Management and Oversight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475"/>
          <c:w val="0.951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JOB'!$E$92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JOB'!$F$92:$Q$92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JOB'!$F$94:$Q$94</c:f>
              <c:numCache>
                <c:ptCount val="12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</c:numCache>
            </c:numRef>
          </c:val>
          <c:smooth val="0"/>
        </c:ser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023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Construction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05"/>
          <c:w val="0.951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JOB'!$E$96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JOB'!$F$96:$Q$96</c:f>
              <c:numCache>
                <c:ptCount val="12"/>
                <c:pt idx="0">
                  <c:v>196</c:v>
                </c:pt>
                <c:pt idx="1">
                  <c:v>690</c:v>
                </c:pt>
                <c:pt idx="2">
                  <c:v>1538</c:v>
                </c:pt>
                <c:pt idx="3">
                  <c:v>2300</c:v>
                </c:pt>
                <c:pt idx="4">
                  <c:v>2913</c:v>
                </c:pt>
                <c:pt idx="5">
                  <c:v>4120</c:v>
                </c:pt>
                <c:pt idx="6">
                  <c:v>4755</c:v>
                </c:pt>
                <c:pt idx="7">
                  <c:v>5241</c:v>
                </c:pt>
                <c:pt idx="8">
                  <c:v>5967</c:v>
                </c:pt>
                <c:pt idx="9">
                  <c:v>6575</c:v>
                </c:pt>
                <c:pt idx="10">
                  <c:v>7168</c:v>
                </c:pt>
                <c:pt idx="11">
                  <c:v>7727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JOB'!$F$97:$Q$97</c:f>
              <c:numCache>
                <c:ptCount val="12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JOB'!$F$98:$Q$98</c:f>
              <c:numCache>
                <c:ptCount val="12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</c:numCache>
            </c:numRef>
          </c:val>
          <c:smooth val="0"/>
        </c:ser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706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5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Design and Procurement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"/>
          <c:w val="0.9512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JOB'!$F$100:$Q$100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3572</c:v>
                </c:pt>
                <c:pt idx="7">
                  <c:v>3872</c:v>
                </c:pt>
                <c:pt idx="8">
                  <c:v>4306</c:v>
                </c:pt>
                <c:pt idx="9">
                  <c:v>4678</c:v>
                </c:pt>
                <c:pt idx="10">
                  <c:v>5072</c:v>
                </c:pt>
                <c:pt idx="11">
                  <c:v>5423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JOB'!$E$101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JOB'!$F$101:$Q$101</c:f>
              <c:numCache>
                <c:ptCount val="12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JOB'!$F$102:$Q$102</c:f>
              <c:numCache>
                <c:ptCount val="12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</c:numCache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09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5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8"/>
          <c:w val="0.951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JOB'!$F$104:$Q$104</c:f>
              <c:numCache>
                <c:ptCount val="12"/>
                <c:pt idx="0">
                  <c:v>-103</c:v>
                </c:pt>
                <c:pt idx="1">
                  <c:v>-102</c:v>
                </c:pt>
                <c:pt idx="2">
                  <c:v>-101</c:v>
                </c:pt>
                <c:pt idx="3">
                  <c:v>-99</c:v>
                </c:pt>
                <c:pt idx="4">
                  <c:v>-98</c:v>
                </c:pt>
                <c:pt idx="5">
                  <c:v>-95</c:v>
                </c:pt>
                <c:pt idx="6">
                  <c:v>-92</c:v>
                </c:pt>
                <c:pt idx="7">
                  <c:v>-90</c:v>
                </c:pt>
                <c:pt idx="8">
                  <c:v>-87</c:v>
                </c:pt>
                <c:pt idx="9">
                  <c:v>-84</c:v>
                </c:pt>
                <c:pt idx="10">
                  <c:v>-81</c:v>
                </c:pt>
                <c:pt idx="11">
                  <c:v>-78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JOB'!$E$106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JOB'!$F$106:$Q$106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</c:numCache>
            </c:numRef>
          </c:val>
          <c:smooth val="0"/>
        </c:ser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22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6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375"/>
          <c:w val="0.951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'BCWS by JOB'!$E$108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JOB'!$F$108:$Q$108</c:f>
              <c:numCache>
                <c:ptCount val="12"/>
                <c:pt idx="0">
                  <c:v>621</c:v>
                </c:pt>
                <c:pt idx="1">
                  <c:v>1829</c:v>
                </c:pt>
                <c:pt idx="2">
                  <c:v>3381</c:v>
                </c:pt>
                <c:pt idx="3">
                  <c:v>4745</c:v>
                </c:pt>
                <c:pt idx="4">
                  <c:v>5878</c:v>
                </c:pt>
                <c:pt idx="5">
                  <c:v>7841</c:v>
                </c:pt>
                <c:pt idx="6">
                  <c:v>8990</c:v>
                </c:pt>
                <c:pt idx="7">
                  <c:v>9873</c:v>
                </c:pt>
                <c:pt idx="8">
                  <c:v>11175</c:v>
                </c:pt>
                <c:pt idx="9">
                  <c:v>12290</c:v>
                </c:pt>
                <c:pt idx="10">
                  <c:v>13412</c:v>
                </c:pt>
                <c:pt idx="11">
                  <c:v>14464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JOB'!$F$109:$Q$109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JOB'!$F$110:$Q$110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</c:numCache>
            </c:numRef>
          </c:val>
          <c:smooth val="0"/>
        </c:ser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3937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JOB'!$K$1:$AH$1</c:f>
              <c:strCache>
                <c:ptCount val="24"/>
                <c:pt idx="0">
                  <c:v> OCT fy08</c:v>
                </c:pt>
                <c:pt idx="1">
                  <c:v> NOV fy08</c:v>
                </c:pt>
                <c:pt idx="2">
                  <c:v> DEC fy08</c:v>
                </c:pt>
                <c:pt idx="3">
                  <c:v> JAN fy08</c:v>
                </c:pt>
                <c:pt idx="4">
                  <c:v> FEB fy08</c:v>
                </c:pt>
                <c:pt idx="5">
                  <c:v> MAR fy08</c:v>
                </c:pt>
                <c:pt idx="6">
                  <c:v> APR fy08</c:v>
                </c:pt>
                <c:pt idx="7">
                  <c:v> MAY fy08</c:v>
                </c:pt>
                <c:pt idx="8">
                  <c:v> JUN fy08</c:v>
                </c:pt>
                <c:pt idx="9">
                  <c:v> JUL fy08</c:v>
                </c:pt>
                <c:pt idx="10">
                  <c:v> AUG fy08</c:v>
                </c:pt>
                <c:pt idx="11">
                  <c:v> SEP fy08</c:v>
                </c:pt>
                <c:pt idx="12">
                  <c:v> OCT fy09</c:v>
                </c:pt>
                <c:pt idx="13">
                  <c:v> NOV fy09</c:v>
                </c:pt>
                <c:pt idx="14">
                  <c:v> DEC fy09</c:v>
                </c:pt>
                <c:pt idx="15">
                  <c:v> JAN fy09</c:v>
                </c:pt>
                <c:pt idx="16">
                  <c:v> FEB fy09</c:v>
                </c:pt>
                <c:pt idx="17">
                  <c:v> MAR fy09</c:v>
                </c:pt>
                <c:pt idx="18">
                  <c:v> APR fy09</c:v>
                </c:pt>
                <c:pt idx="19">
                  <c:v> MAY fy09</c:v>
                </c:pt>
                <c:pt idx="20">
                  <c:v> JUN fy09</c:v>
                </c:pt>
                <c:pt idx="21">
                  <c:v> JUL fy09</c:v>
                </c:pt>
                <c:pt idx="22">
                  <c:v> AUG fy09</c:v>
                </c:pt>
                <c:pt idx="23">
                  <c:v> SEP fy09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JOB'!$K$1:$AH$1</c:f>
              <c:strCache>
                <c:ptCount val="24"/>
                <c:pt idx="0">
                  <c:v> OCT fy08</c:v>
                </c:pt>
                <c:pt idx="1">
                  <c:v> NOV fy08</c:v>
                </c:pt>
                <c:pt idx="2">
                  <c:v> DEC fy08</c:v>
                </c:pt>
                <c:pt idx="3">
                  <c:v> JAN fy08</c:v>
                </c:pt>
                <c:pt idx="4">
                  <c:v> FEB fy08</c:v>
                </c:pt>
                <c:pt idx="5">
                  <c:v> MAR fy08</c:v>
                </c:pt>
                <c:pt idx="6">
                  <c:v> APR fy08</c:v>
                </c:pt>
                <c:pt idx="7">
                  <c:v> MAY fy08</c:v>
                </c:pt>
                <c:pt idx="8">
                  <c:v> JUN fy08</c:v>
                </c:pt>
                <c:pt idx="9">
                  <c:v> JUL fy08</c:v>
                </c:pt>
                <c:pt idx="10">
                  <c:v> AUG fy08</c:v>
                </c:pt>
                <c:pt idx="11">
                  <c:v> SEP fy08</c:v>
                </c:pt>
                <c:pt idx="12">
                  <c:v> OCT fy09</c:v>
                </c:pt>
                <c:pt idx="13">
                  <c:v> NOV fy09</c:v>
                </c:pt>
                <c:pt idx="14">
                  <c:v> DEC fy09</c:v>
                </c:pt>
                <c:pt idx="15">
                  <c:v> JAN fy09</c:v>
                </c:pt>
                <c:pt idx="16">
                  <c:v> FEB fy09</c:v>
                </c:pt>
                <c:pt idx="17">
                  <c:v> MAR fy09</c:v>
                </c:pt>
                <c:pt idx="18">
                  <c:v> APR fy09</c:v>
                </c:pt>
                <c:pt idx="19">
                  <c:v> MAY fy09</c:v>
                </c:pt>
                <c:pt idx="20">
                  <c:v> JUN fy09</c:v>
                </c:pt>
                <c:pt idx="21">
                  <c:v> JUL fy09</c:v>
                </c:pt>
                <c:pt idx="22">
                  <c:v> AUG fy09</c:v>
                </c:pt>
                <c:pt idx="23">
                  <c:v> SEP fy09</c:v>
                </c:pt>
              </c:strCache>
            </c:strRef>
          </c:cat>
          <c:val>
            <c:numRef>
              <c:f>'BCWS by JOB'!$BH$79:$CE$79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1300</c:v>
                </c:pt>
                <c:pt idx="13">
                  <c:v>1400</c:v>
                </c:pt>
                <c:pt idx="14">
                  <c:v>1450</c:v>
                </c:pt>
                <c:pt idx="15">
                  <c:v>1500</c:v>
                </c:pt>
                <c:pt idx="16">
                  <c:v>1450</c:v>
                </c:pt>
                <c:pt idx="17">
                  <c:v>1300</c:v>
                </c:pt>
                <c:pt idx="18">
                  <c:v>1100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2">
                  <c:v>400</c:v>
                </c:pt>
                <c:pt idx="23">
                  <c:v>200</c:v>
                </c:pt>
              </c:numCache>
            </c:numRef>
          </c:val>
          <c:smooth val="0"/>
        </c:ser>
        <c:axId val="27389969"/>
        <c:axId val="45183130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 Management and Oversight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'BCWS by JOB'!$E$92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JOB'!$F$92:$Q$92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JOB'!$F$94:$Q$94</c:f>
              <c:numCache>
                <c:ptCount val="12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</c:numCache>
            </c:numRef>
          </c:val>
          <c:smooth val="0"/>
        </c:ser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49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Construction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'BCWS by JOB'!$E$96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JOB'!$F$96:$Q$96</c:f>
              <c:numCache>
                <c:ptCount val="12"/>
                <c:pt idx="0">
                  <c:v>196</c:v>
                </c:pt>
                <c:pt idx="1">
                  <c:v>690</c:v>
                </c:pt>
                <c:pt idx="2">
                  <c:v>1538</c:v>
                </c:pt>
                <c:pt idx="3">
                  <c:v>2300</c:v>
                </c:pt>
                <c:pt idx="4">
                  <c:v>2913</c:v>
                </c:pt>
                <c:pt idx="5">
                  <c:v>4120</c:v>
                </c:pt>
                <c:pt idx="6">
                  <c:v>4755</c:v>
                </c:pt>
                <c:pt idx="7">
                  <c:v>5241</c:v>
                </c:pt>
                <c:pt idx="8">
                  <c:v>5967</c:v>
                </c:pt>
                <c:pt idx="9">
                  <c:v>6575</c:v>
                </c:pt>
                <c:pt idx="10">
                  <c:v>7168</c:v>
                </c:pt>
                <c:pt idx="11">
                  <c:v>7727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'BCWS by JOB'!$E$93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JOB'!$F$93:$Q$93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'BCWS by JOB'!$E$98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JOB'!$F$91:$Q$91</c:f>
              <c:strCache>
                <c:ptCount val="12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</c:strCache>
            </c:strRef>
          </c:cat>
          <c:val>
            <c:numRef>
              <c:f>'BCWS by JOB'!$F$98:$Q$98</c:f>
              <c:numCache>
                <c:ptCount val="12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</c:numCache>
            </c:numRef>
          </c:val>
          <c:smooth val="0"/>
        </c:ser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1585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161925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724650" y="24193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79</xdr:row>
      <xdr:rowOff>0</xdr:rowOff>
    </xdr:from>
    <xdr:to>
      <xdr:col>78</xdr:col>
      <xdr:colOff>447675</xdr:colOff>
      <xdr:row>79</xdr:row>
      <xdr:rowOff>0</xdr:rowOff>
    </xdr:to>
    <xdr:graphicFrame>
      <xdr:nvGraphicFramePr>
        <xdr:cNvPr id="2" name="Chart 397"/>
        <xdr:cNvGraphicFramePr/>
      </xdr:nvGraphicFramePr>
      <xdr:xfrm>
        <a:off x="42548175" y="12887325"/>
        <a:ext cx="1527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115</xdr:row>
      <xdr:rowOff>57150</xdr:rowOff>
    </xdr:from>
    <xdr:to>
      <xdr:col>12</xdr:col>
      <xdr:colOff>695325</xdr:colOff>
      <xdr:row>132</xdr:row>
      <xdr:rowOff>66675</xdr:rowOff>
    </xdr:to>
    <xdr:graphicFrame>
      <xdr:nvGraphicFramePr>
        <xdr:cNvPr id="3" name="Chart 398"/>
        <xdr:cNvGraphicFramePr/>
      </xdr:nvGraphicFramePr>
      <xdr:xfrm>
        <a:off x="6838950" y="18821400"/>
        <a:ext cx="5705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115</xdr:row>
      <xdr:rowOff>0</xdr:rowOff>
    </xdr:from>
    <xdr:to>
      <xdr:col>20</xdr:col>
      <xdr:colOff>533400</xdr:colOff>
      <xdr:row>132</xdr:row>
      <xdr:rowOff>28575</xdr:rowOff>
    </xdr:to>
    <xdr:graphicFrame>
      <xdr:nvGraphicFramePr>
        <xdr:cNvPr id="4" name="Chart 400"/>
        <xdr:cNvGraphicFramePr/>
      </xdr:nvGraphicFramePr>
      <xdr:xfrm>
        <a:off x="12601575" y="18764250"/>
        <a:ext cx="57245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133</xdr:row>
      <xdr:rowOff>28575</xdr:rowOff>
    </xdr:from>
    <xdr:to>
      <xdr:col>13</xdr:col>
      <xdr:colOff>0</xdr:colOff>
      <xdr:row>150</xdr:row>
      <xdr:rowOff>85725</xdr:rowOff>
    </xdr:to>
    <xdr:graphicFrame>
      <xdr:nvGraphicFramePr>
        <xdr:cNvPr id="5" name="Chart 401"/>
        <xdr:cNvGraphicFramePr/>
      </xdr:nvGraphicFramePr>
      <xdr:xfrm>
        <a:off x="6867525" y="21707475"/>
        <a:ext cx="57245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133</xdr:row>
      <xdr:rowOff>0</xdr:rowOff>
    </xdr:from>
    <xdr:to>
      <xdr:col>20</xdr:col>
      <xdr:colOff>542925</xdr:colOff>
      <xdr:row>150</xdr:row>
      <xdr:rowOff>57150</xdr:rowOff>
    </xdr:to>
    <xdr:graphicFrame>
      <xdr:nvGraphicFramePr>
        <xdr:cNvPr id="6" name="Chart 402"/>
        <xdr:cNvGraphicFramePr/>
      </xdr:nvGraphicFramePr>
      <xdr:xfrm>
        <a:off x="12592050" y="21678900"/>
        <a:ext cx="57435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1114425</xdr:colOff>
      <xdr:row>121</xdr:row>
      <xdr:rowOff>95250</xdr:rowOff>
    </xdr:from>
    <xdr:to>
      <xdr:col>5</xdr:col>
      <xdr:colOff>123825</xdr:colOff>
      <xdr:row>138</xdr:row>
      <xdr:rowOff>133350</xdr:rowOff>
    </xdr:to>
    <xdr:graphicFrame>
      <xdr:nvGraphicFramePr>
        <xdr:cNvPr id="7" name="Chart 403"/>
        <xdr:cNvGraphicFramePr/>
      </xdr:nvGraphicFramePr>
      <xdr:xfrm>
        <a:off x="1114425" y="19831050"/>
        <a:ext cx="57340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57150</xdr:rowOff>
    </xdr:from>
    <xdr:to>
      <xdr:col>4</xdr:col>
      <xdr:colOff>0</xdr:colOff>
      <xdr:row>14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48425" y="25717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48425" y="25717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0</xdr:colOff>
      <xdr:row>79</xdr:row>
      <xdr:rowOff>0</xdr:rowOff>
    </xdr:from>
    <xdr:to>
      <xdr:col>78</xdr:col>
      <xdr:colOff>457200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6448425" y="13039725"/>
        <a:ext cx="281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107</xdr:row>
      <xdr:rowOff>38100</xdr:rowOff>
    </xdr:from>
    <xdr:to>
      <xdr:col>12</xdr:col>
      <xdr:colOff>0</xdr:colOff>
      <xdr:row>124</xdr:row>
      <xdr:rowOff>57150</xdr:rowOff>
    </xdr:to>
    <xdr:graphicFrame>
      <xdr:nvGraphicFramePr>
        <xdr:cNvPr id="3" name="Chart 5"/>
        <xdr:cNvGraphicFramePr/>
      </xdr:nvGraphicFramePr>
      <xdr:xfrm>
        <a:off x="6448425" y="17611725"/>
        <a:ext cx="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107</xdr:row>
      <xdr:rowOff>0</xdr:rowOff>
    </xdr:from>
    <xdr:to>
      <xdr:col>20</xdr:col>
      <xdr:colOff>0</xdr:colOff>
      <xdr:row>124</xdr:row>
      <xdr:rowOff>28575</xdr:rowOff>
    </xdr:to>
    <xdr:graphicFrame>
      <xdr:nvGraphicFramePr>
        <xdr:cNvPr id="4" name="Chart 6"/>
        <xdr:cNvGraphicFramePr/>
      </xdr:nvGraphicFramePr>
      <xdr:xfrm>
        <a:off x="6448425" y="1757362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125</xdr:row>
      <xdr:rowOff>28575</xdr:rowOff>
    </xdr:from>
    <xdr:to>
      <xdr:col>13</xdr:col>
      <xdr:colOff>0</xdr:colOff>
      <xdr:row>142</xdr:row>
      <xdr:rowOff>66675</xdr:rowOff>
    </xdr:to>
    <xdr:graphicFrame>
      <xdr:nvGraphicFramePr>
        <xdr:cNvPr id="5" name="Chart 7"/>
        <xdr:cNvGraphicFramePr/>
      </xdr:nvGraphicFramePr>
      <xdr:xfrm>
        <a:off x="6448425" y="20516850"/>
        <a:ext cx="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125</xdr:row>
      <xdr:rowOff>0</xdr:rowOff>
    </xdr:from>
    <xdr:to>
      <xdr:col>20</xdr:col>
      <xdr:colOff>0</xdr:colOff>
      <xdr:row>142</xdr:row>
      <xdr:rowOff>57150</xdr:rowOff>
    </xdr:to>
    <xdr:graphicFrame>
      <xdr:nvGraphicFramePr>
        <xdr:cNvPr id="6" name="Chart 8"/>
        <xdr:cNvGraphicFramePr/>
      </xdr:nvGraphicFramePr>
      <xdr:xfrm>
        <a:off x="6448425" y="20488275"/>
        <a:ext cx="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14</xdr:row>
      <xdr:rowOff>57150</xdr:rowOff>
    </xdr:from>
    <xdr:to>
      <xdr:col>4</xdr:col>
      <xdr:colOff>0</xdr:colOff>
      <xdr:row>14</xdr:row>
      <xdr:rowOff>161925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448425" y="25717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57150</xdr:rowOff>
    </xdr:from>
    <xdr:to>
      <xdr:col>6</xdr:col>
      <xdr:colOff>0</xdr:colOff>
      <xdr:row>17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0" y="31813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85725</xdr:rowOff>
    </xdr:from>
    <xdr:to>
      <xdr:col>3</xdr:col>
      <xdr:colOff>1304925</xdr:colOff>
      <xdr:row>69</xdr:row>
      <xdr:rowOff>9525</xdr:rowOff>
    </xdr:to>
    <xdr:graphicFrame>
      <xdr:nvGraphicFramePr>
        <xdr:cNvPr id="1" name="Chart 3"/>
        <xdr:cNvGraphicFramePr/>
      </xdr:nvGraphicFramePr>
      <xdr:xfrm>
        <a:off x="57150" y="9077325"/>
        <a:ext cx="61150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3</xdr:col>
      <xdr:colOff>1304925</xdr:colOff>
      <xdr:row>66</xdr:row>
      <xdr:rowOff>104775</xdr:rowOff>
    </xdr:to>
    <xdr:graphicFrame>
      <xdr:nvGraphicFramePr>
        <xdr:cNvPr id="1" name="Chart 3"/>
        <xdr:cNvGraphicFramePr/>
      </xdr:nvGraphicFramePr>
      <xdr:xfrm>
        <a:off x="0" y="8486775"/>
        <a:ext cx="5991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50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2219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1285875</xdr:colOff>
      <xdr:row>70</xdr:row>
      <xdr:rowOff>123825</xdr:rowOff>
    </xdr:to>
    <xdr:graphicFrame>
      <xdr:nvGraphicFramePr>
        <xdr:cNvPr id="2" name="Chart 4"/>
        <xdr:cNvGraphicFramePr/>
      </xdr:nvGraphicFramePr>
      <xdr:xfrm>
        <a:off x="0" y="9258300"/>
        <a:ext cx="5972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71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0" y="9296400"/>
        <a:ext cx="5762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3</xdr:col>
      <xdr:colOff>1333500</xdr:colOff>
      <xdr:row>69</xdr:row>
      <xdr:rowOff>123825</xdr:rowOff>
    </xdr:to>
    <xdr:graphicFrame>
      <xdr:nvGraphicFramePr>
        <xdr:cNvPr id="1" name="Chart 3"/>
        <xdr:cNvGraphicFramePr/>
      </xdr:nvGraphicFramePr>
      <xdr:xfrm>
        <a:off x="0" y="9096375"/>
        <a:ext cx="60198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zoomScale="85" zoomScaleNormal="85" workbookViewId="0" topLeftCell="C1">
      <selection activeCell="N141" sqref="N141"/>
    </sheetView>
  </sheetViews>
  <sheetFormatPr defaultColWidth="9.140625" defaultRowHeight="12.75"/>
  <cols>
    <col min="1" max="1" width="6.421875" style="101" customWidth="1"/>
    <col min="2" max="2" width="5.421875" style="101" bestFit="1" customWidth="1"/>
    <col min="3" max="3" width="26.00390625" style="101" customWidth="1"/>
    <col min="4" max="4" width="10.00390625" style="101" customWidth="1"/>
    <col min="5" max="5" width="45.421875" style="101" customWidth="1"/>
    <col min="6" max="6" width="14.00390625" style="184" customWidth="1"/>
    <col min="7" max="7" width="2.7109375" style="185" customWidth="1"/>
    <col min="8" max="12" width="11.8515625" style="23" customWidth="1"/>
    <col min="13" max="13" width="12.421875" style="23" customWidth="1"/>
    <col min="14" max="14" width="13.7109375" style="196" customWidth="1"/>
    <col min="15" max="15" width="14.140625" style="106" customWidth="1"/>
    <col min="16" max="16" width="14.140625" style="101" customWidth="1"/>
    <col min="17" max="17" width="9.421875" style="101" customWidth="1"/>
    <col min="18" max="18" width="27.421875" style="101" customWidth="1"/>
    <col min="19" max="16384" width="9.140625" style="101" customWidth="1"/>
  </cols>
  <sheetData>
    <row r="1" spans="3:14" ht="24" thickBot="1">
      <c r="C1" s="102" t="s">
        <v>487</v>
      </c>
      <c r="D1" s="103"/>
      <c r="E1" s="104"/>
      <c r="F1" s="105"/>
      <c r="G1" s="105"/>
      <c r="H1" s="104"/>
      <c r="I1" s="104"/>
      <c r="J1" s="104"/>
      <c r="K1" s="104"/>
      <c r="L1" s="104"/>
      <c r="M1" s="104"/>
      <c r="N1" s="186"/>
    </row>
    <row r="2" spans="3:16" ht="42" thickBot="1">
      <c r="C2" s="107" t="s">
        <v>426</v>
      </c>
      <c r="D2" s="107"/>
      <c r="E2" s="107" t="s">
        <v>322</v>
      </c>
      <c r="F2" s="108" t="s">
        <v>488</v>
      </c>
      <c r="G2" s="109"/>
      <c r="H2" s="110" t="s">
        <v>489</v>
      </c>
      <c r="I2" s="111"/>
      <c r="J2" s="111"/>
      <c r="K2" s="111"/>
      <c r="L2" s="112"/>
      <c r="M2" s="113" t="s">
        <v>428</v>
      </c>
      <c r="N2" s="187"/>
      <c r="O2" s="114" t="s">
        <v>490</v>
      </c>
      <c r="P2" s="101" t="s">
        <v>491</v>
      </c>
    </row>
    <row r="3" spans="3:14" ht="18.75" thickBot="1">
      <c r="C3" s="115"/>
      <c r="D3" s="115"/>
      <c r="E3" s="115"/>
      <c r="F3" s="116"/>
      <c r="G3" s="117"/>
      <c r="H3" s="118" t="s">
        <v>492</v>
      </c>
      <c r="I3" s="118" t="s">
        <v>493</v>
      </c>
      <c r="J3" s="118" t="s">
        <v>494</v>
      </c>
      <c r="K3" s="118" t="s">
        <v>495</v>
      </c>
      <c r="L3" s="118" t="s">
        <v>496</v>
      </c>
      <c r="M3" s="119" t="s">
        <v>429</v>
      </c>
      <c r="N3" s="188" t="s">
        <v>497</v>
      </c>
    </row>
    <row r="4" spans="3:18" ht="15" customHeight="1">
      <c r="C4" s="101" t="s">
        <v>498</v>
      </c>
      <c r="D4" s="101" t="s">
        <v>499</v>
      </c>
      <c r="E4" s="120" t="s">
        <v>306</v>
      </c>
      <c r="F4" s="121">
        <v>424</v>
      </c>
      <c r="G4" s="122"/>
      <c r="H4" s="123"/>
      <c r="I4" s="123"/>
      <c r="J4" s="123"/>
      <c r="K4" s="123"/>
      <c r="L4" s="123"/>
      <c r="M4" s="123">
        <f aca="true" t="shared" si="0" ref="M4:M9">SUM(H4:L4)</f>
        <v>0</v>
      </c>
      <c r="N4" s="189">
        <f aca="true" t="shared" si="1" ref="N4:N9">SUM(F4:L4)</f>
        <v>424</v>
      </c>
      <c r="O4" s="124">
        <v>424</v>
      </c>
      <c r="P4" s="7">
        <f aca="true" t="shared" si="2" ref="P4:P9">+N4-O4</f>
        <v>0</v>
      </c>
      <c r="Q4" s="125">
        <f aca="true" t="shared" si="3" ref="Q4:Q67">+P4/O4</f>
        <v>0</v>
      </c>
      <c r="R4">
        <v>1201</v>
      </c>
    </row>
    <row r="5" spans="4:18" ht="15" customHeight="1">
      <c r="D5" s="101" t="s">
        <v>499</v>
      </c>
      <c r="E5" s="120" t="s">
        <v>441</v>
      </c>
      <c r="F5" s="121">
        <v>1770.9</v>
      </c>
      <c r="G5" s="122"/>
      <c r="H5" s="123"/>
      <c r="I5" s="123"/>
      <c r="J5" s="123"/>
      <c r="K5" s="123"/>
      <c r="L5" s="123"/>
      <c r="M5" s="123">
        <f t="shared" si="0"/>
        <v>0</v>
      </c>
      <c r="N5" s="189">
        <f t="shared" si="1"/>
        <v>1770.9</v>
      </c>
      <c r="O5" s="124">
        <v>1791</v>
      </c>
      <c r="P5" s="7">
        <f t="shared" si="2"/>
        <v>-20.09999999999991</v>
      </c>
      <c r="Q5" s="125">
        <f t="shared" si="3"/>
        <v>-0.011222780569514187</v>
      </c>
      <c r="R5">
        <v>1202</v>
      </c>
    </row>
    <row r="6" spans="4:18" ht="15" customHeight="1">
      <c r="D6" s="101" t="s">
        <v>499</v>
      </c>
      <c r="E6" s="120" t="s">
        <v>307</v>
      </c>
      <c r="F6" s="121">
        <v>1217</v>
      </c>
      <c r="G6" s="122"/>
      <c r="H6" s="123"/>
      <c r="I6" s="123"/>
      <c r="J6" s="123"/>
      <c r="K6" s="123"/>
      <c r="L6" s="123"/>
      <c r="M6" s="123">
        <f t="shared" si="0"/>
        <v>0</v>
      </c>
      <c r="N6" s="189">
        <f t="shared" si="1"/>
        <v>1217</v>
      </c>
      <c r="O6" s="124">
        <v>944</v>
      </c>
      <c r="P6" s="7">
        <f t="shared" si="2"/>
        <v>273</v>
      </c>
      <c r="Q6" s="125">
        <f t="shared" si="3"/>
        <v>0.2891949152542373</v>
      </c>
      <c r="R6">
        <v>1203</v>
      </c>
    </row>
    <row r="7" spans="1:18" ht="15" customHeight="1">
      <c r="A7" s="120" t="s">
        <v>308</v>
      </c>
      <c r="D7" s="101" t="s">
        <v>500</v>
      </c>
      <c r="E7" s="101" t="s">
        <v>143</v>
      </c>
      <c r="F7" s="121">
        <v>535.9</v>
      </c>
      <c r="G7" s="122"/>
      <c r="H7" s="123">
        <v>47</v>
      </c>
      <c r="I7" s="123">
        <v>162</v>
      </c>
      <c r="J7" s="123">
        <v>1</v>
      </c>
      <c r="K7" s="123">
        <v>198</v>
      </c>
      <c r="L7" s="123">
        <v>0</v>
      </c>
      <c r="M7" s="123">
        <f t="shared" si="0"/>
        <v>408</v>
      </c>
      <c r="N7" s="189">
        <f t="shared" si="1"/>
        <v>943.9</v>
      </c>
      <c r="O7" s="124">
        <v>557</v>
      </c>
      <c r="P7" s="7">
        <f t="shared" si="2"/>
        <v>386.9</v>
      </c>
      <c r="Q7" s="125">
        <f t="shared" si="3"/>
        <v>0.6946140035906643</v>
      </c>
      <c r="R7">
        <v>1204</v>
      </c>
    </row>
    <row r="8" spans="4:18" ht="15" customHeight="1">
      <c r="D8" s="101" t="s">
        <v>499</v>
      </c>
      <c r="E8" s="120" t="s">
        <v>309</v>
      </c>
      <c r="F8" s="121">
        <v>15.954</v>
      </c>
      <c r="G8" s="122"/>
      <c r="H8" s="123"/>
      <c r="I8" s="123"/>
      <c r="J8" s="123"/>
      <c r="K8" s="123"/>
      <c r="L8" s="123"/>
      <c r="M8" s="123">
        <f t="shared" si="0"/>
        <v>0</v>
      </c>
      <c r="N8" s="189">
        <f t="shared" si="1"/>
        <v>15.954</v>
      </c>
      <c r="O8" s="124">
        <v>74</v>
      </c>
      <c r="P8" s="7">
        <f t="shared" si="2"/>
        <v>-58.046</v>
      </c>
      <c r="Q8" s="125">
        <f t="shared" si="3"/>
        <v>-0.7844054054054054</v>
      </c>
      <c r="R8">
        <v>1206</v>
      </c>
    </row>
    <row r="9" spans="4:18" ht="15" customHeight="1">
      <c r="D9" s="101" t="s">
        <v>500</v>
      </c>
      <c r="E9" s="120" t="s">
        <v>310</v>
      </c>
      <c r="F9" s="126">
        <v>5788.9</v>
      </c>
      <c r="G9" s="127"/>
      <c r="H9" s="128">
        <v>-252</v>
      </c>
      <c r="I9" s="128">
        <v>0</v>
      </c>
      <c r="J9" s="128">
        <v>0</v>
      </c>
      <c r="K9" s="128">
        <v>0</v>
      </c>
      <c r="L9" s="128">
        <v>0</v>
      </c>
      <c r="M9" s="128">
        <f t="shared" si="0"/>
        <v>-252</v>
      </c>
      <c r="N9" s="190">
        <f t="shared" si="1"/>
        <v>5536.9</v>
      </c>
      <c r="O9" s="124">
        <v>5741</v>
      </c>
      <c r="P9" s="7">
        <f t="shared" si="2"/>
        <v>-204.10000000000036</v>
      </c>
      <c r="Q9" s="125">
        <f t="shared" si="3"/>
        <v>-0.03555129768333049</v>
      </c>
      <c r="R9">
        <v>1250</v>
      </c>
    </row>
    <row r="10" spans="5:18" ht="15" customHeight="1">
      <c r="E10" s="129" t="s">
        <v>448</v>
      </c>
      <c r="F10" s="130">
        <f>SUM(F4:F9)</f>
        <v>9752.654</v>
      </c>
      <c r="G10" s="131"/>
      <c r="H10" s="132">
        <f aca="true" t="shared" si="4" ref="H10:P10">SUM(H4:H9)</f>
        <v>-205</v>
      </c>
      <c r="I10" s="132">
        <f t="shared" si="4"/>
        <v>162</v>
      </c>
      <c r="J10" s="132">
        <f t="shared" si="4"/>
        <v>1</v>
      </c>
      <c r="K10" s="132">
        <f t="shared" si="4"/>
        <v>198</v>
      </c>
      <c r="L10" s="132">
        <f t="shared" si="4"/>
        <v>0</v>
      </c>
      <c r="M10" s="133">
        <f t="shared" si="4"/>
        <v>156</v>
      </c>
      <c r="N10" s="191">
        <f t="shared" si="4"/>
        <v>9908.653999999999</v>
      </c>
      <c r="O10" s="134">
        <f t="shared" si="4"/>
        <v>9531</v>
      </c>
      <c r="P10" s="133">
        <f t="shared" si="4"/>
        <v>377.65399999999966</v>
      </c>
      <c r="Q10" s="125">
        <f t="shared" si="3"/>
        <v>0.039623754065680375</v>
      </c>
      <c r="R10"/>
    </row>
    <row r="11" spans="5:18" ht="15" customHeight="1">
      <c r="E11" s="120"/>
      <c r="F11" s="121"/>
      <c r="G11" s="122"/>
      <c r="H11" s="123"/>
      <c r="I11" s="123"/>
      <c r="J11" s="123"/>
      <c r="K11" s="123"/>
      <c r="L11" s="123"/>
      <c r="M11" s="123"/>
      <c r="N11" s="189"/>
      <c r="O11" s="134"/>
      <c r="P11" s="7">
        <f aca="true" t="shared" si="5" ref="P11:P74">+N11-O11</f>
        <v>0</v>
      </c>
      <c r="Q11" s="125" t="e">
        <f t="shared" si="3"/>
        <v>#DIV/0!</v>
      </c>
      <c r="R11"/>
    </row>
    <row r="12" spans="3:18" ht="15" customHeight="1">
      <c r="C12" s="101" t="s">
        <v>501</v>
      </c>
      <c r="D12" s="101" t="s">
        <v>499</v>
      </c>
      <c r="E12" s="120" t="s">
        <v>311</v>
      </c>
      <c r="F12" s="121">
        <v>970.1</v>
      </c>
      <c r="G12" s="122"/>
      <c r="H12" s="123"/>
      <c r="I12" s="123"/>
      <c r="J12" s="123"/>
      <c r="K12" s="123"/>
      <c r="L12" s="123"/>
      <c r="M12" s="123">
        <f aca="true" t="shared" si="6" ref="M12:M21">SUM(H12:L12)</f>
        <v>0</v>
      </c>
      <c r="N12" s="189">
        <f aca="true" t="shared" si="7" ref="N12:N21">SUM(F12:L12)</f>
        <v>970.1</v>
      </c>
      <c r="O12" s="124">
        <v>837</v>
      </c>
      <c r="P12" s="7">
        <f t="shared" si="5"/>
        <v>133.10000000000002</v>
      </c>
      <c r="Q12" s="125">
        <f t="shared" si="3"/>
        <v>0.1590203106332139</v>
      </c>
      <c r="R12">
        <v>1301</v>
      </c>
    </row>
    <row r="13" spans="1:18" ht="15" customHeight="1">
      <c r="A13" s="120" t="s">
        <v>330</v>
      </c>
      <c r="D13" s="101" t="s">
        <v>499</v>
      </c>
      <c r="E13" s="101" t="s">
        <v>144</v>
      </c>
      <c r="F13" s="121">
        <v>19.338</v>
      </c>
      <c r="G13" s="122"/>
      <c r="H13" s="123">
        <v>44</v>
      </c>
      <c r="I13" s="123">
        <v>213</v>
      </c>
      <c r="J13" s="123">
        <v>0</v>
      </c>
      <c r="K13" s="123">
        <v>0</v>
      </c>
      <c r="L13" s="123">
        <v>0</v>
      </c>
      <c r="M13" s="123">
        <f t="shared" si="6"/>
        <v>257</v>
      </c>
      <c r="N13" s="189">
        <f t="shared" si="7"/>
        <v>276.338</v>
      </c>
      <c r="O13" s="124">
        <v>253</v>
      </c>
      <c r="P13" s="7">
        <f t="shared" si="5"/>
        <v>23.338000000000022</v>
      </c>
      <c r="Q13" s="125">
        <f t="shared" si="3"/>
        <v>0.09224505928853764</v>
      </c>
      <c r="R13">
        <v>1302</v>
      </c>
    </row>
    <row r="14" spans="4:17" ht="15" customHeight="1">
      <c r="D14" s="101" t="s">
        <v>499</v>
      </c>
      <c r="E14" s="120" t="s">
        <v>331</v>
      </c>
      <c r="F14" s="121">
        <v>154.9</v>
      </c>
      <c r="G14" s="122"/>
      <c r="H14" s="123"/>
      <c r="I14" s="123"/>
      <c r="J14" s="123"/>
      <c r="K14" s="123"/>
      <c r="L14" s="123"/>
      <c r="M14" s="123">
        <f t="shared" si="6"/>
        <v>0</v>
      </c>
      <c r="N14" s="189">
        <f t="shared" si="7"/>
        <v>154.9</v>
      </c>
      <c r="P14" s="7">
        <f t="shared" si="5"/>
        <v>154.9</v>
      </c>
      <c r="Q14" s="125" t="e">
        <f t="shared" si="3"/>
        <v>#DIV/0!</v>
      </c>
    </row>
    <row r="15" spans="4:18" ht="15" customHeight="1">
      <c r="D15" s="101" t="s">
        <v>499</v>
      </c>
      <c r="E15" s="120" t="s">
        <v>320</v>
      </c>
      <c r="F15" s="121">
        <v>535.99</v>
      </c>
      <c r="G15" s="122"/>
      <c r="H15" s="123"/>
      <c r="I15" s="123"/>
      <c r="J15" s="123"/>
      <c r="K15" s="123"/>
      <c r="L15" s="123"/>
      <c r="M15" s="123">
        <f t="shared" si="6"/>
        <v>0</v>
      </c>
      <c r="N15" s="189">
        <f t="shared" si="7"/>
        <v>535.99</v>
      </c>
      <c r="O15" s="124">
        <v>400</v>
      </c>
      <c r="P15" s="7">
        <f t="shared" si="5"/>
        <v>135.99</v>
      </c>
      <c r="Q15" s="125">
        <f t="shared" si="3"/>
        <v>0.339975</v>
      </c>
      <c r="R15">
        <v>1350</v>
      </c>
    </row>
    <row r="16" spans="4:18" ht="15" customHeight="1">
      <c r="D16" s="101" t="s">
        <v>499</v>
      </c>
      <c r="E16" s="120" t="s">
        <v>328</v>
      </c>
      <c r="F16" s="121">
        <v>482.959</v>
      </c>
      <c r="G16" s="122"/>
      <c r="H16" s="123"/>
      <c r="I16" s="123"/>
      <c r="J16" s="123"/>
      <c r="K16" s="123"/>
      <c r="L16" s="123"/>
      <c r="M16" s="123">
        <f t="shared" si="6"/>
        <v>0</v>
      </c>
      <c r="N16" s="189">
        <f t="shared" si="7"/>
        <v>482.959</v>
      </c>
      <c r="O16" s="124">
        <v>1318</v>
      </c>
      <c r="P16" s="7">
        <f t="shared" si="5"/>
        <v>-835.0409999999999</v>
      </c>
      <c r="Q16" s="125">
        <f t="shared" si="3"/>
        <v>-0.6335667678300455</v>
      </c>
      <c r="R16">
        <v>1351</v>
      </c>
    </row>
    <row r="17" spans="1:18" ht="15" customHeight="1">
      <c r="A17" s="120"/>
      <c r="D17" s="101" t="s">
        <v>499</v>
      </c>
      <c r="E17" s="101" t="s">
        <v>145</v>
      </c>
      <c r="F17" s="121"/>
      <c r="G17" s="122"/>
      <c r="H17" s="135">
        <v>0</v>
      </c>
      <c r="I17" s="135">
        <v>968</v>
      </c>
      <c r="J17" s="135">
        <v>634</v>
      </c>
      <c r="K17" s="135">
        <v>28</v>
      </c>
      <c r="L17" s="135">
        <v>0</v>
      </c>
      <c r="M17" s="123">
        <f t="shared" si="6"/>
        <v>1630</v>
      </c>
      <c r="N17" s="189">
        <f t="shared" si="7"/>
        <v>1630</v>
      </c>
      <c r="O17" s="124">
        <v>1362</v>
      </c>
      <c r="P17" s="7">
        <f t="shared" si="5"/>
        <v>268</v>
      </c>
      <c r="Q17" s="125">
        <f t="shared" si="3"/>
        <v>0.19676945668135096</v>
      </c>
      <c r="R17">
        <v>1352</v>
      </c>
    </row>
    <row r="18" spans="1:18" ht="15" customHeight="1">
      <c r="A18" s="120"/>
      <c r="D18" s="101" t="s">
        <v>499</v>
      </c>
      <c r="E18" s="101" t="s">
        <v>146</v>
      </c>
      <c r="F18" s="121"/>
      <c r="G18" s="122"/>
      <c r="H18" s="135">
        <v>0</v>
      </c>
      <c r="I18" s="135">
        <v>0</v>
      </c>
      <c r="J18" s="135">
        <v>78</v>
      </c>
      <c r="K18" s="135">
        <v>259</v>
      </c>
      <c r="L18" s="135">
        <v>0</v>
      </c>
      <c r="M18" s="123">
        <f t="shared" si="6"/>
        <v>337</v>
      </c>
      <c r="N18" s="189">
        <f t="shared" si="7"/>
        <v>337</v>
      </c>
      <c r="O18" s="124">
        <v>270</v>
      </c>
      <c r="P18" s="7">
        <f t="shared" si="5"/>
        <v>67</v>
      </c>
      <c r="Q18" s="125">
        <f t="shared" si="3"/>
        <v>0.24814814814814815</v>
      </c>
      <c r="R18">
        <v>1353</v>
      </c>
    </row>
    <row r="19" spans="1:18" ht="15" customHeight="1">
      <c r="A19" s="120"/>
      <c r="D19" s="101" t="s">
        <v>499</v>
      </c>
      <c r="E19" s="101" t="s">
        <v>147</v>
      </c>
      <c r="F19" s="121"/>
      <c r="G19" s="122"/>
      <c r="H19" s="135">
        <v>0</v>
      </c>
      <c r="I19" s="135">
        <v>0</v>
      </c>
      <c r="J19" s="135">
        <v>162</v>
      </c>
      <c r="K19" s="135">
        <v>0</v>
      </c>
      <c r="L19" s="135">
        <v>0</v>
      </c>
      <c r="M19" s="123">
        <f t="shared" si="6"/>
        <v>162</v>
      </c>
      <c r="N19" s="189">
        <f t="shared" si="7"/>
        <v>162</v>
      </c>
      <c r="O19" s="124">
        <v>258</v>
      </c>
      <c r="P19" s="7">
        <f t="shared" si="5"/>
        <v>-96</v>
      </c>
      <c r="Q19" s="125">
        <f t="shared" si="3"/>
        <v>-0.37209302325581395</v>
      </c>
      <c r="R19">
        <v>1354</v>
      </c>
    </row>
    <row r="20" spans="1:18" ht="15" customHeight="1">
      <c r="A20" s="120"/>
      <c r="D20" s="101" t="s">
        <v>499</v>
      </c>
      <c r="E20" s="101" t="s">
        <v>148</v>
      </c>
      <c r="F20" s="121"/>
      <c r="G20" s="122"/>
      <c r="H20" s="135">
        <v>0</v>
      </c>
      <c r="I20" s="135">
        <v>32</v>
      </c>
      <c r="J20" s="135">
        <v>39</v>
      </c>
      <c r="K20" s="135">
        <v>2</v>
      </c>
      <c r="L20" s="135">
        <v>0</v>
      </c>
      <c r="M20" s="123">
        <f t="shared" si="6"/>
        <v>73</v>
      </c>
      <c r="N20" s="189">
        <f t="shared" si="7"/>
        <v>73</v>
      </c>
      <c r="O20" s="124">
        <v>92</v>
      </c>
      <c r="P20" s="7">
        <f t="shared" si="5"/>
        <v>-19</v>
      </c>
      <c r="Q20" s="125">
        <f t="shared" si="3"/>
        <v>-0.20652173913043478</v>
      </c>
      <c r="R20">
        <v>1355</v>
      </c>
    </row>
    <row r="21" spans="1:18" ht="15" customHeight="1">
      <c r="A21" s="120"/>
      <c r="D21" s="101" t="s">
        <v>499</v>
      </c>
      <c r="E21" s="136" t="s">
        <v>149</v>
      </c>
      <c r="F21" s="137">
        <f>1073.999-11</f>
        <v>1062.999</v>
      </c>
      <c r="G21" s="138" t="s">
        <v>231</v>
      </c>
      <c r="H21" s="128">
        <v>228</v>
      </c>
      <c r="I21" s="128">
        <v>775</v>
      </c>
      <c r="J21" s="128">
        <v>0</v>
      </c>
      <c r="K21" s="128">
        <v>0</v>
      </c>
      <c r="L21" s="128">
        <v>0</v>
      </c>
      <c r="M21" s="128">
        <f t="shared" si="6"/>
        <v>1003</v>
      </c>
      <c r="N21" s="190">
        <f t="shared" si="7"/>
        <v>2065.999</v>
      </c>
      <c r="O21" s="124"/>
      <c r="P21" s="7">
        <f t="shared" si="5"/>
        <v>2065.999</v>
      </c>
      <c r="Q21" s="125" t="e">
        <f t="shared" si="3"/>
        <v>#DIV/0!</v>
      </c>
      <c r="R21"/>
    </row>
    <row r="22" spans="1:18" ht="15" customHeight="1">
      <c r="A22" s="120"/>
      <c r="E22" s="129" t="s">
        <v>448</v>
      </c>
      <c r="F22" s="130">
        <f>SUM(F12:F21)</f>
        <v>3226.286</v>
      </c>
      <c r="G22" s="131"/>
      <c r="H22" s="132">
        <f aca="true" t="shared" si="8" ref="H22:O22">SUM(H12:H21)</f>
        <v>272</v>
      </c>
      <c r="I22" s="132">
        <f t="shared" si="8"/>
        <v>1988</v>
      </c>
      <c r="J22" s="132">
        <f t="shared" si="8"/>
        <v>913</v>
      </c>
      <c r="K22" s="132">
        <f t="shared" si="8"/>
        <v>289</v>
      </c>
      <c r="L22" s="132">
        <f t="shared" si="8"/>
        <v>0</v>
      </c>
      <c r="M22" s="133">
        <f t="shared" si="8"/>
        <v>3462</v>
      </c>
      <c r="N22" s="191">
        <f t="shared" si="8"/>
        <v>6688.286</v>
      </c>
      <c r="O22" s="134">
        <f t="shared" si="8"/>
        <v>4790</v>
      </c>
      <c r="P22" s="139">
        <f t="shared" si="5"/>
        <v>1898.286</v>
      </c>
      <c r="Q22" s="125">
        <f t="shared" si="3"/>
        <v>0.39630187891440505</v>
      </c>
      <c r="R22"/>
    </row>
    <row r="23" spans="1:18" ht="15" customHeight="1">
      <c r="A23" s="120"/>
      <c r="F23" s="121"/>
      <c r="G23" s="122"/>
      <c r="H23" s="123"/>
      <c r="I23" s="123"/>
      <c r="J23" s="123"/>
      <c r="K23" s="123"/>
      <c r="L23" s="123"/>
      <c r="M23" s="123"/>
      <c r="N23" s="189"/>
      <c r="O23" s="124"/>
      <c r="P23" s="7">
        <f t="shared" si="5"/>
        <v>0</v>
      </c>
      <c r="Q23" s="125" t="e">
        <f t="shared" si="3"/>
        <v>#DIV/0!</v>
      </c>
      <c r="R23"/>
    </row>
    <row r="24" spans="3:18" ht="15" customHeight="1">
      <c r="C24" s="101" t="s">
        <v>502</v>
      </c>
      <c r="D24" s="101" t="s">
        <v>499</v>
      </c>
      <c r="E24" s="120" t="s">
        <v>460</v>
      </c>
      <c r="F24" s="121">
        <v>304.5</v>
      </c>
      <c r="G24" s="122"/>
      <c r="H24" s="123"/>
      <c r="I24" s="123"/>
      <c r="J24" s="123"/>
      <c r="K24" s="123"/>
      <c r="L24" s="123"/>
      <c r="M24" s="123">
        <f aca="true" t="shared" si="9" ref="M24:M45">SUM(H24:L24)</f>
        <v>0</v>
      </c>
      <c r="N24" s="189">
        <f aca="true" t="shared" si="10" ref="N24:N45">SUM(F24:L24)</f>
        <v>304.5</v>
      </c>
      <c r="O24" s="124">
        <v>303</v>
      </c>
      <c r="P24" s="7">
        <f t="shared" si="5"/>
        <v>1.5</v>
      </c>
      <c r="Q24" s="125">
        <f t="shared" si="3"/>
        <v>0.0049504950495049506</v>
      </c>
      <c r="R24">
        <v>1401</v>
      </c>
    </row>
    <row r="25" spans="4:18" ht="15" customHeight="1">
      <c r="D25" s="101" t="s">
        <v>499</v>
      </c>
      <c r="E25" s="120" t="s">
        <v>461</v>
      </c>
      <c r="F25" s="121">
        <v>239.14</v>
      </c>
      <c r="G25" s="122"/>
      <c r="H25" s="123"/>
      <c r="I25" s="123"/>
      <c r="J25" s="123"/>
      <c r="K25" s="123"/>
      <c r="L25" s="123"/>
      <c r="M25" s="123">
        <f t="shared" si="9"/>
        <v>0</v>
      </c>
      <c r="N25" s="189">
        <f t="shared" si="10"/>
        <v>239.14</v>
      </c>
      <c r="O25" s="124">
        <v>239</v>
      </c>
      <c r="P25" s="7">
        <f t="shared" si="5"/>
        <v>0.13999999999998636</v>
      </c>
      <c r="Q25" s="125">
        <f t="shared" si="3"/>
        <v>0.0005857740585773488</v>
      </c>
      <c r="R25">
        <v>1402</v>
      </c>
    </row>
    <row r="26" spans="4:18" ht="15" customHeight="1">
      <c r="D26" s="101" t="s">
        <v>499</v>
      </c>
      <c r="E26" s="120" t="s">
        <v>150</v>
      </c>
      <c r="F26" s="140">
        <v>3310.9</v>
      </c>
      <c r="G26" s="141"/>
      <c r="H26" s="123"/>
      <c r="I26" s="123"/>
      <c r="J26" s="123"/>
      <c r="K26" s="123"/>
      <c r="L26" s="123"/>
      <c r="M26" s="123">
        <f t="shared" si="9"/>
        <v>0</v>
      </c>
      <c r="N26" s="189">
        <f t="shared" si="10"/>
        <v>3310.9</v>
      </c>
      <c r="O26" s="124">
        <v>3149</v>
      </c>
      <c r="P26" s="7">
        <f t="shared" si="5"/>
        <v>161.9000000000001</v>
      </c>
      <c r="Q26" s="125">
        <f t="shared" si="3"/>
        <v>0.051413147030803456</v>
      </c>
      <c r="R26">
        <v>1403</v>
      </c>
    </row>
    <row r="27" spans="4:18" ht="15" customHeight="1">
      <c r="D27" s="101" t="s">
        <v>499</v>
      </c>
      <c r="E27" s="120" t="s">
        <v>299</v>
      </c>
      <c r="F27" s="121">
        <v>2554.9</v>
      </c>
      <c r="G27" s="122"/>
      <c r="H27" s="123">
        <v>-36</v>
      </c>
      <c r="I27" s="123">
        <v>0</v>
      </c>
      <c r="J27" s="123">
        <v>0</v>
      </c>
      <c r="K27" s="123">
        <v>0</v>
      </c>
      <c r="L27" s="123">
        <v>0</v>
      </c>
      <c r="M27" s="123">
        <f t="shared" si="9"/>
        <v>-36</v>
      </c>
      <c r="N27" s="189">
        <f t="shared" si="10"/>
        <v>2518.9</v>
      </c>
      <c r="O27" s="124">
        <v>2534</v>
      </c>
      <c r="P27" s="7">
        <f t="shared" si="5"/>
        <v>-15.099999999999909</v>
      </c>
      <c r="Q27" s="125">
        <f t="shared" si="3"/>
        <v>-0.005958958168902884</v>
      </c>
      <c r="R27">
        <v>1404</v>
      </c>
    </row>
    <row r="28" spans="4:18" ht="15" customHeight="1">
      <c r="D28" s="101" t="s">
        <v>499</v>
      </c>
      <c r="E28" s="120" t="s">
        <v>329</v>
      </c>
      <c r="F28" s="121">
        <v>168</v>
      </c>
      <c r="G28" s="122"/>
      <c r="H28" s="123"/>
      <c r="I28" s="123"/>
      <c r="J28" s="123"/>
      <c r="K28" s="123"/>
      <c r="L28" s="123"/>
      <c r="M28" s="123">
        <f t="shared" si="9"/>
        <v>0</v>
      </c>
      <c r="N28" s="189">
        <f t="shared" si="10"/>
        <v>168</v>
      </c>
      <c r="O28" s="124">
        <v>168</v>
      </c>
      <c r="P28" s="7">
        <f t="shared" si="5"/>
        <v>0</v>
      </c>
      <c r="Q28" s="125">
        <f t="shared" si="3"/>
        <v>0</v>
      </c>
      <c r="R28">
        <v>1405</v>
      </c>
    </row>
    <row r="29" spans="4:18" ht="15" customHeight="1">
      <c r="D29" s="101" t="s">
        <v>499</v>
      </c>
      <c r="E29" s="120" t="s">
        <v>326</v>
      </c>
      <c r="F29" s="121">
        <v>2263</v>
      </c>
      <c r="G29" s="122"/>
      <c r="H29" s="123"/>
      <c r="I29" s="123"/>
      <c r="J29" s="123"/>
      <c r="K29" s="123"/>
      <c r="L29" s="123"/>
      <c r="M29" s="123">
        <f t="shared" si="9"/>
        <v>0</v>
      </c>
      <c r="N29" s="189">
        <f t="shared" si="10"/>
        <v>2263</v>
      </c>
      <c r="O29" s="124">
        <v>2214</v>
      </c>
      <c r="P29" s="7">
        <f t="shared" si="5"/>
        <v>49</v>
      </c>
      <c r="Q29" s="125">
        <f t="shared" si="3"/>
        <v>0.022131887985546522</v>
      </c>
      <c r="R29">
        <v>1406</v>
      </c>
    </row>
    <row r="30" spans="4:18" ht="15" customHeight="1">
      <c r="D30" s="101" t="s">
        <v>499</v>
      </c>
      <c r="E30" s="120" t="s">
        <v>301</v>
      </c>
      <c r="F30" s="121">
        <v>2569</v>
      </c>
      <c r="G30" s="122"/>
      <c r="H30" s="123"/>
      <c r="I30" s="123"/>
      <c r="J30" s="123"/>
      <c r="K30" s="123"/>
      <c r="L30" s="123"/>
      <c r="M30" s="123">
        <f t="shared" si="9"/>
        <v>0</v>
      </c>
      <c r="N30" s="189">
        <f t="shared" si="10"/>
        <v>2569</v>
      </c>
      <c r="O30" s="124">
        <v>2523</v>
      </c>
      <c r="P30" s="7">
        <f t="shared" si="5"/>
        <v>46</v>
      </c>
      <c r="Q30" s="125">
        <f t="shared" si="3"/>
        <v>0.01823226317875545</v>
      </c>
      <c r="R30">
        <v>1407</v>
      </c>
    </row>
    <row r="31" spans="1:18" ht="15" customHeight="1">
      <c r="A31" s="120" t="s">
        <v>303</v>
      </c>
      <c r="D31" s="101" t="s">
        <v>500</v>
      </c>
      <c r="E31" s="101" t="s">
        <v>151</v>
      </c>
      <c r="F31" s="121">
        <v>2353</v>
      </c>
      <c r="G31" s="122"/>
      <c r="H31" s="123">
        <v>178</v>
      </c>
      <c r="I31" s="123">
        <v>172</v>
      </c>
      <c r="J31" s="123">
        <v>0</v>
      </c>
      <c r="K31" s="123">
        <v>0</v>
      </c>
      <c r="L31" s="123">
        <v>0</v>
      </c>
      <c r="M31" s="123">
        <f t="shared" si="9"/>
        <v>350</v>
      </c>
      <c r="N31" s="189">
        <f t="shared" si="10"/>
        <v>2703</v>
      </c>
      <c r="O31" s="124">
        <v>1836</v>
      </c>
      <c r="P31" s="7">
        <f t="shared" si="5"/>
        <v>867</v>
      </c>
      <c r="Q31" s="125">
        <f t="shared" si="3"/>
        <v>0.4722222222222222</v>
      </c>
      <c r="R31">
        <v>1408</v>
      </c>
    </row>
    <row r="32" spans="4:18" ht="15" customHeight="1">
      <c r="D32" s="101" t="s">
        <v>499</v>
      </c>
      <c r="E32" s="120" t="s">
        <v>304</v>
      </c>
      <c r="F32" s="121">
        <v>832.9</v>
      </c>
      <c r="G32" s="122"/>
      <c r="H32" s="123"/>
      <c r="I32" s="123"/>
      <c r="J32" s="123"/>
      <c r="K32" s="123"/>
      <c r="L32" s="123"/>
      <c r="M32" s="123">
        <f t="shared" si="9"/>
        <v>0</v>
      </c>
      <c r="N32" s="189">
        <f t="shared" si="10"/>
        <v>832.9</v>
      </c>
      <c r="O32" s="124">
        <v>488</v>
      </c>
      <c r="P32" s="7">
        <f t="shared" si="5"/>
        <v>344.9</v>
      </c>
      <c r="Q32" s="125">
        <f t="shared" si="3"/>
        <v>0.7067622950819672</v>
      </c>
      <c r="R32">
        <v>1409</v>
      </c>
    </row>
    <row r="33" spans="4:18" ht="15" customHeight="1">
      <c r="D33" s="101" t="s">
        <v>499</v>
      </c>
      <c r="E33" s="120" t="s">
        <v>300</v>
      </c>
      <c r="F33" s="121">
        <v>1049.908</v>
      </c>
      <c r="G33" s="122"/>
      <c r="H33" s="123"/>
      <c r="I33" s="123"/>
      <c r="J33" s="123"/>
      <c r="K33" s="123"/>
      <c r="L33" s="123"/>
      <c r="M33" s="123">
        <f t="shared" si="9"/>
        <v>0</v>
      </c>
      <c r="N33" s="189">
        <f t="shared" si="10"/>
        <v>1049.908</v>
      </c>
      <c r="O33" s="124">
        <v>799</v>
      </c>
      <c r="P33" s="7">
        <f t="shared" si="5"/>
        <v>250.9079999999999</v>
      </c>
      <c r="Q33" s="125">
        <f t="shared" si="3"/>
        <v>0.3140275344180224</v>
      </c>
      <c r="R33">
        <v>1410</v>
      </c>
    </row>
    <row r="34" spans="1:18" ht="15" customHeight="1">
      <c r="A34" s="120" t="s">
        <v>305</v>
      </c>
      <c r="D34" s="101" t="s">
        <v>499</v>
      </c>
      <c r="E34" s="136" t="s">
        <v>152</v>
      </c>
      <c r="F34" s="121">
        <v>9965</v>
      </c>
      <c r="G34" s="122"/>
      <c r="H34" s="123">
        <v>-80</v>
      </c>
      <c r="I34" s="123">
        <v>0</v>
      </c>
      <c r="J34" s="123">
        <v>0</v>
      </c>
      <c r="K34" s="123">
        <v>0</v>
      </c>
      <c r="L34" s="123">
        <v>0</v>
      </c>
      <c r="M34" s="123">
        <f t="shared" si="9"/>
        <v>-80</v>
      </c>
      <c r="N34" s="189">
        <f t="shared" si="10"/>
        <v>9885</v>
      </c>
      <c r="O34" s="124">
        <v>8329</v>
      </c>
      <c r="P34" s="139">
        <f t="shared" si="5"/>
        <v>1556</v>
      </c>
      <c r="Q34" s="125">
        <f t="shared" si="3"/>
        <v>0.18681714491535598</v>
      </c>
      <c r="R34">
        <v>1411</v>
      </c>
    </row>
    <row r="35" spans="4:18" ht="15" customHeight="1">
      <c r="D35" s="101" t="s">
        <v>499</v>
      </c>
      <c r="E35" s="120" t="s">
        <v>302</v>
      </c>
      <c r="F35" s="121">
        <v>540.732</v>
      </c>
      <c r="G35" s="122"/>
      <c r="H35" s="123"/>
      <c r="I35" s="123"/>
      <c r="J35" s="123"/>
      <c r="K35" s="123"/>
      <c r="L35" s="123"/>
      <c r="M35" s="123">
        <f t="shared" si="9"/>
        <v>0</v>
      </c>
      <c r="N35" s="189">
        <f t="shared" si="10"/>
        <v>540.732</v>
      </c>
      <c r="O35" s="124">
        <v>310</v>
      </c>
      <c r="P35" s="7">
        <f t="shared" si="5"/>
        <v>230.73199999999997</v>
      </c>
      <c r="Q35" s="125">
        <f t="shared" si="3"/>
        <v>0.7442967741935483</v>
      </c>
      <c r="R35">
        <v>1412</v>
      </c>
    </row>
    <row r="36" spans="4:18" ht="15" customHeight="1">
      <c r="D36" s="101" t="s">
        <v>499</v>
      </c>
      <c r="E36" s="120" t="s">
        <v>321</v>
      </c>
      <c r="F36" s="121">
        <v>27.819</v>
      </c>
      <c r="G36" s="122"/>
      <c r="H36" s="123"/>
      <c r="I36" s="123"/>
      <c r="J36" s="123"/>
      <c r="K36" s="123"/>
      <c r="L36" s="123"/>
      <c r="M36" s="123">
        <f t="shared" si="9"/>
        <v>0</v>
      </c>
      <c r="N36" s="189">
        <f t="shared" si="10"/>
        <v>27.819</v>
      </c>
      <c r="O36" s="124">
        <v>23</v>
      </c>
      <c r="P36" s="7">
        <f t="shared" si="5"/>
        <v>4.818999999999999</v>
      </c>
      <c r="Q36" s="125">
        <f t="shared" si="3"/>
        <v>0.20952173913043473</v>
      </c>
      <c r="R36">
        <v>1413</v>
      </c>
    </row>
    <row r="37" spans="4:18" ht="15" customHeight="1">
      <c r="D37" s="101" t="s">
        <v>499</v>
      </c>
      <c r="E37" s="142" t="s">
        <v>324</v>
      </c>
      <c r="F37" s="143">
        <v>638.674</v>
      </c>
      <c r="G37" s="144"/>
      <c r="H37" s="123"/>
      <c r="I37" s="123"/>
      <c r="J37" s="123"/>
      <c r="K37" s="123"/>
      <c r="L37" s="123"/>
      <c r="M37" s="123">
        <f t="shared" si="9"/>
        <v>0</v>
      </c>
      <c r="N37" s="189">
        <f t="shared" si="10"/>
        <v>638.674</v>
      </c>
      <c r="O37" s="124"/>
      <c r="P37" s="7">
        <f t="shared" si="5"/>
        <v>638.674</v>
      </c>
      <c r="Q37" s="125" t="e">
        <f t="shared" si="3"/>
        <v>#DIV/0!</v>
      </c>
      <c r="R37"/>
    </row>
    <row r="38" spans="4:18" ht="15" customHeight="1">
      <c r="D38" s="101" t="s">
        <v>499</v>
      </c>
      <c r="E38" s="120" t="s">
        <v>323</v>
      </c>
      <c r="F38" s="121">
        <v>24.038</v>
      </c>
      <c r="G38" s="122"/>
      <c r="H38" s="123"/>
      <c r="I38" s="123"/>
      <c r="J38" s="123"/>
      <c r="K38" s="123"/>
      <c r="L38" s="123"/>
      <c r="M38" s="123">
        <f t="shared" si="9"/>
        <v>0</v>
      </c>
      <c r="N38" s="189">
        <f t="shared" si="10"/>
        <v>24.038</v>
      </c>
      <c r="O38" s="124"/>
      <c r="P38" s="7">
        <f t="shared" si="5"/>
        <v>24.038</v>
      </c>
      <c r="Q38" s="125" t="e">
        <f t="shared" si="3"/>
        <v>#DIV/0!</v>
      </c>
      <c r="R38"/>
    </row>
    <row r="39" spans="1:18" ht="15" customHeight="1">
      <c r="A39" s="145" t="s">
        <v>503</v>
      </c>
      <c r="D39" s="101" t="s">
        <v>499</v>
      </c>
      <c r="E39" s="136" t="s">
        <v>153</v>
      </c>
      <c r="F39" s="140">
        <f>4418.959-3310.469</f>
        <v>1108.4899999999998</v>
      </c>
      <c r="G39" s="141"/>
      <c r="H39" s="123">
        <v>1066</v>
      </c>
      <c r="I39" s="123">
        <v>422</v>
      </c>
      <c r="J39" s="123">
        <v>0</v>
      </c>
      <c r="K39" s="123">
        <v>0</v>
      </c>
      <c r="L39" s="123">
        <v>0</v>
      </c>
      <c r="M39" s="123">
        <f t="shared" si="9"/>
        <v>1488</v>
      </c>
      <c r="N39" s="189">
        <f t="shared" si="10"/>
        <v>2596.49</v>
      </c>
      <c r="O39" s="124"/>
      <c r="P39" s="139">
        <f t="shared" si="5"/>
        <v>2596.49</v>
      </c>
      <c r="Q39" s="125" t="e">
        <f t="shared" si="3"/>
        <v>#DIV/0!</v>
      </c>
      <c r="R39"/>
    </row>
    <row r="40" spans="1:18" ht="15" customHeight="1">
      <c r="A40" s="145" t="s">
        <v>374</v>
      </c>
      <c r="D40" s="101" t="s">
        <v>499</v>
      </c>
      <c r="E40" s="101" t="s">
        <v>154</v>
      </c>
      <c r="F40" s="140">
        <v>157.99</v>
      </c>
      <c r="G40" s="141"/>
      <c r="H40" s="123">
        <v>118</v>
      </c>
      <c r="I40" s="123">
        <v>0</v>
      </c>
      <c r="J40" s="123">
        <v>0</v>
      </c>
      <c r="K40" s="123">
        <v>0</v>
      </c>
      <c r="L40" s="123">
        <v>0</v>
      </c>
      <c r="M40" s="123">
        <f t="shared" si="9"/>
        <v>118</v>
      </c>
      <c r="N40" s="189">
        <f t="shared" si="10"/>
        <v>275.99</v>
      </c>
      <c r="O40" s="124"/>
      <c r="P40" s="7">
        <f t="shared" si="5"/>
        <v>275.99</v>
      </c>
      <c r="Q40" s="125" t="e">
        <f t="shared" si="3"/>
        <v>#DIV/0!</v>
      </c>
      <c r="R40"/>
    </row>
    <row r="41" spans="4:18" ht="15" customHeight="1">
      <c r="D41" s="101" t="s">
        <v>499</v>
      </c>
      <c r="E41" s="120" t="s">
        <v>325</v>
      </c>
      <c r="F41" s="121">
        <v>48.434</v>
      </c>
      <c r="G41" s="122"/>
      <c r="H41" s="123"/>
      <c r="I41" s="123"/>
      <c r="J41" s="123"/>
      <c r="K41" s="123"/>
      <c r="L41" s="123"/>
      <c r="M41" s="123">
        <f t="shared" si="9"/>
        <v>0</v>
      </c>
      <c r="N41" s="189">
        <f t="shared" si="10"/>
        <v>48.434</v>
      </c>
      <c r="O41" s="124"/>
      <c r="P41" s="7">
        <f t="shared" si="5"/>
        <v>48.434</v>
      </c>
      <c r="Q41" s="125" t="e">
        <f t="shared" si="3"/>
        <v>#DIV/0!</v>
      </c>
      <c r="R41"/>
    </row>
    <row r="42" spans="1:18" ht="15" customHeight="1">
      <c r="A42" s="120"/>
      <c r="D42" s="101" t="s">
        <v>499</v>
      </c>
      <c r="E42" s="101" t="s">
        <v>155</v>
      </c>
      <c r="F42" s="121"/>
      <c r="G42" s="122"/>
      <c r="H42" s="123">
        <v>362</v>
      </c>
      <c r="I42" s="123">
        <v>660</v>
      </c>
      <c r="J42" s="123">
        <v>0</v>
      </c>
      <c r="K42" s="123">
        <v>17</v>
      </c>
      <c r="L42" s="123">
        <v>0</v>
      </c>
      <c r="M42" s="123">
        <f t="shared" si="9"/>
        <v>1039</v>
      </c>
      <c r="N42" s="189">
        <f t="shared" si="10"/>
        <v>1039</v>
      </c>
      <c r="O42" s="124">
        <v>86</v>
      </c>
      <c r="P42" s="7">
        <f t="shared" si="5"/>
        <v>953</v>
      </c>
      <c r="Q42" s="125">
        <f t="shared" si="3"/>
        <v>11.081395348837209</v>
      </c>
      <c r="R42">
        <v>1431</v>
      </c>
    </row>
    <row r="43" spans="1:18" ht="15" customHeight="1">
      <c r="A43" s="145" t="s">
        <v>369</v>
      </c>
      <c r="D43" s="101" t="s">
        <v>500</v>
      </c>
      <c r="E43" s="106" t="s">
        <v>156</v>
      </c>
      <c r="F43" s="146">
        <f>6042.2-60</f>
        <v>5982.2</v>
      </c>
      <c r="G43" s="138" t="s">
        <v>231</v>
      </c>
      <c r="H43" s="123">
        <v>1054</v>
      </c>
      <c r="I43" s="123">
        <v>1813</v>
      </c>
      <c r="J43" s="123">
        <v>0</v>
      </c>
      <c r="K43" s="123">
        <v>0</v>
      </c>
      <c r="L43" s="123">
        <v>0</v>
      </c>
      <c r="M43" s="123">
        <f t="shared" si="9"/>
        <v>2867</v>
      </c>
      <c r="N43" s="189">
        <f t="shared" si="10"/>
        <v>8849.2</v>
      </c>
      <c r="O43" s="124">
        <v>5091</v>
      </c>
      <c r="P43" s="147">
        <f t="shared" si="5"/>
        <v>3758.2000000000007</v>
      </c>
      <c r="Q43" s="125">
        <f t="shared" si="3"/>
        <v>0.7382046749165195</v>
      </c>
      <c r="R43">
        <v>1451</v>
      </c>
    </row>
    <row r="44" spans="1:18" ht="15" customHeight="1">
      <c r="A44" s="145"/>
      <c r="D44" s="101" t="s">
        <v>500</v>
      </c>
      <c r="E44" s="101" t="s">
        <v>157</v>
      </c>
      <c r="F44" s="121"/>
      <c r="G44" s="122"/>
      <c r="H44" s="123">
        <v>90</v>
      </c>
      <c r="I44" s="123">
        <v>411</v>
      </c>
      <c r="J44" s="123">
        <v>0</v>
      </c>
      <c r="K44" s="123">
        <v>0</v>
      </c>
      <c r="L44" s="123">
        <v>0</v>
      </c>
      <c r="M44" s="123">
        <f t="shared" si="9"/>
        <v>501</v>
      </c>
      <c r="N44" s="189">
        <f t="shared" si="10"/>
        <v>501</v>
      </c>
      <c r="O44" s="124"/>
      <c r="P44" s="7">
        <f t="shared" si="5"/>
        <v>501</v>
      </c>
      <c r="Q44" s="125" t="e">
        <f t="shared" si="3"/>
        <v>#DIV/0!</v>
      </c>
      <c r="R44"/>
    </row>
    <row r="45" spans="4:18" ht="15" customHeight="1">
      <c r="D45" s="101" t="s">
        <v>499</v>
      </c>
      <c r="E45" s="120" t="s">
        <v>365</v>
      </c>
      <c r="F45" s="126">
        <v>57.337</v>
      </c>
      <c r="G45" s="127"/>
      <c r="H45" s="128"/>
      <c r="I45" s="128"/>
      <c r="J45" s="128"/>
      <c r="K45" s="128"/>
      <c r="L45" s="128"/>
      <c r="M45" s="128">
        <f t="shared" si="9"/>
        <v>0</v>
      </c>
      <c r="N45" s="190">
        <f t="shared" si="10"/>
        <v>57.337</v>
      </c>
      <c r="O45" s="124"/>
      <c r="P45" s="7">
        <f t="shared" si="5"/>
        <v>57.337</v>
      </c>
      <c r="Q45" s="125" t="e">
        <f t="shared" si="3"/>
        <v>#DIV/0!</v>
      </c>
      <c r="R45"/>
    </row>
    <row r="46" spans="5:18" ht="15" customHeight="1">
      <c r="E46" s="129" t="s">
        <v>448</v>
      </c>
      <c r="F46" s="130">
        <f>SUM(F24:F45)</f>
        <v>34195.962</v>
      </c>
      <c r="G46" s="131"/>
      <c r="H46" s="132">
        <f aca="true" t="shared" si="11" ref="H46:O46">SUM(H24:H45)</f>
        <v>2752</v>
      </c>
      <c r="I46" s="132">
        <f t="shared" si="11"/>
        <v>3478</v>
      </c>
      <c r="J46" s="132">
        <f t="shared" si="11"/>
        <v>0</v>
      </c>
      <c r="K46" s="132">
        <f t="shared" si="11"/>
        <v>17</v>
      </c>
      <c r="L46" s="132">
        <f t="shared" si="11"/>
        <v>0</v>
      </c>
      <c r="M46" s="133">
        <f t="shared" si="11"/>
        <v>6247</v>
      </c>
      <c r="N46" s="191">
        <f t="shared" si="11"/>
        <v>40442.962</v>
      </c>
      <c r="O46" s="134">
        <f t="shared" si="11"/>
        <v>28092</v>
      </c>
      <c r="P46" s="7">
        <f t="shared" si="5"/>
        <v>12350.962</v>
      </c>
      <c r="Q46" s="125">
        <f t="shared" si="3"/>
        <v>0.43966118467891213</v>
      </c>
      <c r="R46"/>
    </row>
    <row r="47" spans="5:18" ht="15" customHeight="1">
      <c r="E47" s="120"/>
      <c r="F47" s="121"/>
      <c r="G47" s="122"/>
      <c r="H47" s="123"/>
      <c r="I47" s="123"/>
      <c r="J47" s="123"/>
      <c r="K47" s="123"/>
      <c r="L47" s="123"/>
      <c r="M47" s="123"/>
      <c r="N47" s="189"/>
      <c r="O47" s="124"/>
      <c r="P47" s="7">
        <f t="shared" si="5"/>
        <v>0</v>
      </c>
      <c r="Q47" s="125" t="e">
        <f t="shared" si="3"/>
        <v>#DIV/0!</v>
      </c>
      <c r="R47"/>
    </row>
    <row r="48" spans="1:18" ht="15" customHeight="1">
      <c r="A48" s="120" t="s">
        <v>458</v>
      </c>
      <c r="C48" s="101" t="s">
        <v>504</v>
      </c>
      <c r="D48" s="101" t="s">
        <v>499</v>
      </c>
      <c r="E48" s="136" t="s">
        <v>158</v>
      </c>
      <c r="F48" s="146">
        <f>335.94-5</f>
        <v>330.94</v>
      </c>
      <c r="G48" s="138" t="s">
        <v>231</v>
      </c>
      <c r="H48" s="123">
        <v>164</v>
      </c>
      <c r="I48" s="123">
        <v>22</v>
      </c>
      <c r="J48" s="123">
        <v>0</v>
      </c>
      <c r="K48" s="123">
        <v>0</v>
      </c>
      <c r="L48" s="123">
        <v>0</v>
      </c>
      <c r="M48" s="123">
        <f>SUM(H48:L48)</f>
        <v>186</v>
      </c>
      <c r="N48" s="189">
        <f>SUM(F48:L48)</f>
        <v>516.94</v>
      </c>
      <c r="O48" s="124">
        <v>221</v>
      </c>
      <c r="P48" s="7">
        <f t="shared" si="5"/>
        <v>295.94000000000005</v>
      </c>
      <c r="Q48" s="125">
        <f t="shared" si="3"/>
        <v>1.3390950226244347</v>
      </c>
      <c r="R48">
        <v>1501</v>
      </c>
    </row>
    <row r="49" spans="1:18" ht="15" customHeight="1">
      <c r="A49" s="120" t="s">
        <v>459</v>
      </c>
      <c r="D49" s="101" t="s">
        <v>499</v>
      </c>
      <c r="E49" s="136" t="s">
        <v>159</v>
      </c>
      <c r="F49" s="126">
        <v>4.061</v>
      </c>
      <c r="G49" s="127"/>
      <c r="H49" s="128">
        <v>0</v>
      </c>
      <c r="I49" s="128">
        <v>403</v>
      </c>
      <c r="J49" s="128">
        <v>673</v>
      </c>
      <c r="K49" s="128">
        <v>0</v>
      </c>
      <c r="L49" s="128">
        <v>0</v>
      </c>
      <c r="M49" s="128">
        <f>SUM(H49:L49)</f>
        <v>1076</v>
      </c>
      <c r="N49" s="190">
        <f>SUM(F49:L49)</f>
        <v>1080.061</v>
      </c>
      <c r="O49" s="124">
        <v>1191</v>
      </c>
      <c r="P49" s="7">
        <f t="shared" si="5"/>
        <v>-110.93900000000008</v>
      </c>
      <c r="Q49" s="125">
        <f t="shared" si="3"/>
        <v>-0.0931477749790093</v>
      </c>
      <c r="R49">
        <v>1550</v>
      </c>
    </row>
    <row r="50" spans="1:18" ht="15" customHeight="1">
      <c r="A50" s="120"/>
      <c r="E50" s="129" t="s">
        <v>448</v>
      </c>
      <c r="F50" s="130">
        <f>SUM(F48:F49)</f>
        <v>335.001</v>
      </c>
      <c r="G50" s="131"/>
      <c r="H50" s="132">
        <f aca="true" t="shared" si="12" ref="H50:O50">SUM(H48:H49)</f>
        <v>164</v>
      </c>
      <c r="I50" s="132">
        <f t="shared" si="12"/>
        <v>425</v>
      </c>
      <c r="J50" s="132">
        <f t="shared" si="12"/>
        <v>673</v>
      </c>
      <c r="K50" s="132">
        <f t="shared" si="12"/>
        <v>0</v>
      </c>
      <c r="L50" s="132">
        <f t="shared" si="12"/>
        <v>0</v>
      </c>
      <c r="M50" s="133">
        <f t="shared" si="12"/>
        <v>1262</v>
      </c>
      <c r="N50" s="191">
        <f t="shared" si="12"/>
        <v>1597.001</v>
      </c>
      <c r="O50" s="134">
        <f t="shared" si="12"/>
        <v>1412</v>
      </c>
      <c r="P50" s="139">
        <f t="shared" si="5"/>
        <v>185.00099999999998</v>
      </c>
      <c r="Q50" s="125">
        <f t="shared" si="3"/>
        <v>0.13102053824362606</v>
      </c>
      <c r="R50"/>
    </row>
    <row r="51" spans="1:18" ht="15" customHeight="1">
      <c r="A51" s="120"/>
      <c r="F51" s="121"/>
      <c r="G51" s="122"/>
      <c r="H51" s="123"/>
      <c r="I51" s="123"/>
      <c r="J51" s="123"/>
      <c r="K51" s="123"/>
      <c r="L51" s="123"/>
      <c r="M51" s="123"/>
      <c r="N51" s="189"/>
      <c r="O51" s="124"/>
      <c r="P51" s="7">
        <f t="shared" si="5"/>
        <v>0</v>
      </c>
      <c r="Q51" s="125" t="e">
        <f t="shared" si="3"/>
        <v>#DIV/0!</v>
      </c>
      <c r="R51"/>
    </row>
    <row r="52" spans="1:18" ht="15" customHeight="1">
      <c r="A52" s="148" t="s">
        <v>366</v>
      </c>
      <c r="C52" s="101" t="s">
        <v>505</v>
      </c>
      <c r="D52" s="101" t="s">
        <v>499</v>
      </c>
      <c r="E52" s="149" t="s">
        <v>160</v>
      </c>
      <c r="F52" s="130">
        <v>2.614</v>
      </c>
      <c r="G52" s="131"/>
      <c r="H52" s="150">
        <v>6</v>
      </c>
      <c r="I52" s="150">
        <v>323</v>
      </c>
      <c r="J52" s="150">
        <v>372</v>
      </c>
      <c r="K52" s="150">
        <v>160</v>
      </c>
      <c r="L52" s="150">
        <v>0</v>
      </c>
      <c r="M52" s="150">
        <f>SUM(H52:L52)</f>
        <v>861</v>
      </c>
      <c r="N52" s="192">
        <f>SUM(F52:L52)</f>
        <v>863.614</v>
      </c>
      <c r="O52" s="124">
        <v>1140</v>
      </c>
      <c r="P52" s="7">
        <f t="shared" si="5"/>
        <v>-276.38599999999997</v>
      </c>
      <c r="Q52" s="125">
        <f t="shared" si="3"/>
        <v>-0.24244385964912277</v>
      </c>
      <c r="R52">
        <v>1601</v>
      </c>
    </row>
    <row r="53" spans="1:18" ht="15" customHeight="1">
      <c r="A53" s="148"/>
      <c r="F53" s="121"/>
      <c r="G53" s="122"/>
      <c r="H53" s="123"/>
      <c r="I53" s="123"/>
      <c r="J53" s="123"/>
      <c r="K53" s="123"/>
      <c r="L53" s="123"/>
      <c r="M53" s="123"/>
      <c r="N53" s="189"/>
      <c r="O53" s="124"/>
      <c r="P53" s="7">
        <f t="shared" si="5"/>
        <v>0</v>
      </c>
      <c r="Q53" s="125" t="e">
        <f t="shared" si="3"/>
        <v>#DIV/0!</v>
      </c>
      <c r="R53"/>
    </row>
    <row r="54" spans="1:18" ht="15" customHeight="1">
      <c r="A54" s="120" t="s">
        <v>229</v>
      </c>
      <c r="C54" s="101" t="s">
        <v>506</v>
      </c>
      <c r="D54" s="101" t="s">
        <v>499</v>
      </c>
      <c r="E54" s="101" t="s">
        <v>161</v>
      </c>
      <c r="F54" s="121">
        <v>431.07300000000004</v>
      </c>
      <c r="G54" s="122"/>
      <c r="H54" s="135">
        <v>0</v>
      </c>
      <c r="I54" s="135">
        <v>0</v>
      </c>
      <c r="J54" s="135">
        <v>207</v>
      </c>
      <c r="K54" s="135">
        <v>0</v>
      </c>
      <c r="L54" s="135">
        <v>0</v>
      </c>
      <c r="M54" s="123">
        <f>SUM(H54:L54)</f>
        <v>207</v>
      </c>
      <c r="N54" s="189">
        <f>SUM(F54:L54)</f>
        <v>638.0730000000001</v>
      </c>
      <c r="O54" s="124">
        <v>504</v>
      </c>
      <c r="P54" s="7">
        <f t="shared" si="5"/>
        <v>134.0730000000001</v>
      </c>
      <c r="Q54" s="125">
        <f t="shared" si="3"/>
        <v>0.2660178571428573</v>
      </c>
      <c r="R54">
        <v>1701</v>
      </c>
    </row>
    <row r="55" spans="1:18" ht="15" customHeight="1">
      <c r="A55" s="120"/>
      <c r="D55" s="101" t="s">
        <v>499</v>
      </c>
      <c r="E55" s="101" t="s">
        <v>162</v>
      </c>
      <c r="F55" s="121"/>
      <c r="G55" s="122"/>
      <c r="H55" s="135">
        <v>0</v>
      </c>
      <c r="I55" s="135">
        <v>163</v>
      </c>
      <c r="J55" s="135">
        <v>0</v>
      </c>
      <c r="K55" s="135">
        <v>0</v>
      </c>
      <c r="L55" s="135">
        <v>0</v>
      </c>
      <c r="M55" s="123">
        <f>SUM(H55:L55)</f>
        <v>163</v>
      </c>
      <c r="N55" s="189">
        <f>SUM(F55:L55)</f>
        <v>163</v>
      </c>
      <c r="O55" s="124">
        <v>541</v>
      </c>
      <c r="P55" s="7">
        <f t="shared" si="5"/>
        <v>-378</v>
      </c>
      <c r="Q55" s="125">
        <f t="shared" si="3"/>
        <v>-0.6987060998151571</v>
      </c>
      <c r="R55">
        <v>1751</v>
      </c>
    </row>
    <row r="56" spans="1:18" ht="15" customHeight="1">
      <c r="A56" s="120"/>
      <c r="D56" s="101" t="s">
        <v>499</v>
      </c>
      <c r="E56" s="101" t="s">
        <v>163</v>
      </c>
      <c r="F56" s="121"/>
      <c r="G56" s="122"/>
      <c r="H56" s="135">
        <v>0</v>
      </c>
      <c r="I56" s="135">
        <v>0</v>
      </c>
      <c r="J56" s="135">
        <v>0</v>
      </c>
      <c r="K56" s="135">
        <v>325</v>
      </c>
      <c r="L56" s="135">
        <v>0</v>
      </c>
      <c r="M56" s="123">
        <f>SUM(H56:L56)</f>
        <v>325</v>
      </c>
      <c r="N56" s="189">
        <f>SUM(F56:L56)</f>
        <v>325</v>
      </c>
      <c r="O56" s="124">
        <v>315</v>
      </c>
      <c r="P56" s="7">
        <f t="shared" si="5"/>
        <v>10</v>
      </c>
      <c r="Q56" s="125">
        <f t="shared" si="3"/>
        <v>0.031746031746031744</v>
      </c>
      <c r="R56">
        <v>1752</v>
      </c>
    </row>
    <row r="57" spans="1:18" ht="15" customHeight="1">
      <c r="A57" s="120"/>
      <c r="D57" s="101" t="s">
        <v>499</v>
      </c>
      <c r="E57" s="101" t="s">
        <v>164</v>
      </c>
      <c r="F57" s="126"/>
      <c r="G57" s="127"/>
      <c r="H57" s="128">
        <v>0</v>
      </c>
      <c r="I57" s="128">
        <v>61</v>
      </c>
      <c r="J57" s="128">
        <v>28</v>
      </c>
      <c r="K57" s="128">
        <v>0</v>
      </c>
      <c r="L57" s="128">
        <v>0</v>
      </c>
      <c r="M57" s="128">
        <f>SUM(H57:L57)</f>
        <v>89</v>
      </c>
      <c r="N57" s="190">
        <f>SUM(F57:L57)</f>
        <v>89</v>
      </c>
      <c r="O57" s="124"/>
      <c r="P57" s="7">
        <f t="shared" si="5"/>
        <v>89</v>
      </c>
      <c r="Q57" s="125" t="e">
        <f t="shared" si="3"/>
        <v>#DIV/0!</v>
      </c>
      <c r="R57"/>
    </row>
    <row r="58" spans="1:18" ht="15" customHeight="1">
      <c r="A58" s="120"/>
      <c r="E58" s="129" t="s">
        <v>448</v>
      </c>
      <c r="F58" s="130">
        <f>SUM(F54:F57)</f>
        <v>431.07300000000004</v>
      </c>
      <c r="G58" s="131"/>
      <c r="H58" s="132">
        <f aca="true" t="shared" si="13" ref="H58:O58">SUM(H54:H57)</f>
        <v>0</v>
      </c>
      <c r="I58" s="132">
        <f t="shared" si="13"/>
        <v>224</v>
      </c>
      <c r="J58" s="132">
        <f t="shared" si="13"/>
        <v>235</v>
      </c>
      <c r="K58" s="132">
        <f t="shared" si="13"/>
        <v>325</v>
      </c>
      <c r="L58" s="132">
        <f t="shared" si="13"/>
        <v>0</v>
      </c>
      <c r="M58" s="133">
        <f t="shared" si="13"/>
        <v>784</v>
      </c>
      <c r="N58" s="191">
        <f t="shared" si="13"/>
        <v>1215.073</v>
      </c>
      <c r="O58" s="134">
        <f t="shared" si="13"/>
        <v>1360</v>
      </c>
      <c r="P58" s="7">
        <f t="shared" si="5"/>
        <v>-144.9269999999999</v>
      </c>
      <c r="Q58" s="125">
        <f t="shared" si="3"/>
        <v>-0.10656397058823523</v>
      </c>
      <c r="R58"/>
    </row>
    <row r="59" spans="1:18" ht="15" customHeight="1">
      <c r="A59" s="120"/>
      <c r="F59" s="121"/>
      <c r="G59" s="122"/>
      <c r="H59" s="123"/>
      <c r="I59" s="123"/>
      <c r="J59" s="123"/>
      <c r="K59" s="123"/>
      <c r="L59" s="123"/>
      <c r="M59" s="123"/>
      <c r="N59" s="189"/>
      <c r="O59" s="124"/>
      <c r="P59" s="7">
        <f t="shared" si="5"/>
        <v>0</v>
      </c>
      <c r="Q59" s="125" t="e">
        <f t="shared" si="3"/>
        <v>#DIV/0!</v>
      </c>
      <c r="R59"/>
    </row>
    <row r="60" spans="3:18" ht="15" customHeight="1">
      <c r="C60" s="101" t="s">
        <v>507</v>
      </c>
      <c r="D60" s="101" t="s">
        <v>500</v>
      </c>
      <c r="E60" s="120" t="s">
        <v>370</v>
      </c>
      <c r="F60" s="121">
        <v>64.38</v>
      </c>
      <c r="G60" s="122"/>
      <c r="H60" s="123"/>
      <c r="I60" s="123"/>
      <c r="J60" s="123"/>
      <c r="K60" s="123"/>
      <c r="L60" s="123"/>
      <c r="M60" s="123">
        <f aca="true" t="shared" si="14" ref="M60:M67">SUM(H60:L60)</f>
        <v>0</v>
      </c>
      <c r="N60" s="189">
        <f aca="true" t="shared" si="15" ref="N60:N67">SUM(F60:L60)</f>
        <v>64.38</v>
      </c>
      <c r="O60" s="124">
        <v>61</v>
      </c>
      <c r="P60" s="7">
        <f t="shared" si="5"/>
        <v>3.3799999999999955</v>
      </c>
      <c r="Q60" s="125">
        <f t="shared" si="3"/>
        <v>0.055409836065573696</v>
      </c>
      <c r="R60">
        <v>1801</v>
      </c>
    </row>
    <row r="61" spans="1:18" ht="15" customHeight="1">
      <c r="A61" s="120" t="s">
        <v>371</v>
      </c>
      <c r="D61" s="101" t="s">
        <v>500</v>
      </c>
      <c r="E61" s="106" t="s">
        <v>165</v>
      </c>
      <c r="F61" s="146">
        <f>997.703-11</f>
        <v>986.703</v>
      </c>
      <c r="G61" s="138" t="s">
        <v>231</v>
      </c>
      <c r="H61" s="123">
        <v>253</v>
      </c>
      <c r="I61" s="123">
        <v>790</v>
      </c>
      <c r="J61" s="123">
        <v>858</v>
      </c>
      <c r="K61" s="123">
        <v>88</v>
      </c>
      <c r="L61" s="123">
        <v>0</v>
      </c>
      <c r="M61" s="123">
        <f t="shared" si="14"/>
        <v>1989</v>
      </c>
      <c r="N61" s="189">
        <f t="shared" si="15"/>
        <v>2975.703</v>
      </c>
      <c r="O61" s="124">
        <v>1444</v>
      </c>
      <c r="P61" s="147">
        <f t="shared" si="5"/>
        <v>1531.703</v>
      </c>
      <c r="Q61" s="125">
        <f t="shared" si="3"/>
        <v>1.0607361495844876</v>
      </c>
      <c r="R61">
        <v>1802</v>
      </c>
    </row>
    <row r="62" spans="1:18" ht="15" customHeight="1">
      <c r="A62" s="120" t="s">
        <v>332</v>
      </c>
      <c r="D62" s="101" t="s">
        <v>500</v>
      </c>
      <c r="E62" s="101" t="s">
        <v>166</v>
      </c>
      <c r="F62" s="121">
        <v>1142.2</v>
      </c>
      <c r="G62" s="122"/>
      <c r="H62" s="123">
        <v>131</v>
      </c>
      <c r="I62" s="123">
        <v>316</v>
      </c>
      <c r="J62" s="123">
        <v>75</v>
      </c>
      <c r="K62" s="123">
        <v>0</v>
      </c>
      <c r="L62" s="123">
        <v>0</v>
      </c>
      <c r="M62" s="123">
        <f t="shared" si="14"/>
        <v>522</v>
      </c>
      <c r="N62" s="189">
        <f t="shared" si="15"/>
        <v>1664.2</v>
      </c>
      <c r="O62" s="124">
        <v>1220</v>
      </c>
      <c r="P62" s="7">
        <f t="shared" si="5"/>
        <v>444.20000000000005</v>
      </c>
      <c r="Q62" s="125">
        <f t="shared" si="3"/>
        <v>0.36409836065573775</v>
      </c>
      <c r="R62">
        <v>1803</v>
      </c>
    </row>
    <row r="63" spans="4:18" ht="15" customHeight="1">
      <c r="D63" s="101" t="s">
        <v>500</v>
      </c>
      <c r="E63" s="120" t="s">
        <v>442</v>
      </c>
      <c r="F63" s="121">
        <v>558.9370000000001</v>
      </c>
      <c r="G63" s="122"/>
      <c r="H63" s="123"/>
      <c r="I63" s="123"/>
      <c r="J63" s="123"/>
      <c r="K63" s="123"/>
      <c r="L63" s="123"/>
      <c r="M63" s="123">
        <f t="shared" si="14"/>
        <v>0</v>
      </c>
      <c r="N63" s="189">
        <f t="shared" si="15"/>
        <v>558.9370000000001</v>
      </c>
      <c r="O63" s="124">
        <v>502</v>
      </c>
      <c r="P63" s="7">
        <f t="shared" si="5"/>
        <v>56.937000000000126</v>
      </c>
      <c r="Q63" s="125">
        <f t="shared" si="3"/>
        <v>0.11342031872509985</v>
      </c>
      <c r="R63">
        <v>1804</v>
      </c>
    </row>
    <row r="64" spans="4:18" ht="15" customHeight="1">
      <c r="D64" s="101" t="s">
        <v>500</v>
      </c>
      <c r="E64" s="120" t="s">
        <v>367</v>
      </c>
      <c r="F64" s="121">
        <v>6.876</v>
      </c>
      <c r="G64" s="122"/>
      <c r="H64" s="123"/>
      <c r="I64" s="123"/>
      <c r="J64" s="123"/>
      <c r="K64" s="123"/>
      <c r="L64" s="123"/>
      <c r="M64" s="123">
        <f t="shared" si="14"/>
        <v>0</v>
      </c>
      <c r="N64" s="189">
        <f t="shared" si="15"/>
        <v>6.876</v>
      </c>
      <c r="O64" s="124"/>
      <c r="P64" s="7">
        <f t="shared" si="5"/>
        <v>6.876</v>
      </c>
      <c r="Q64" s="125" t="e">
        <f t="shared" si="3"/>
        <v>#DIV/0!</v>
      </c>
      <c r="R64"/>
    </row>
    <row r="65" spans="1:18" ht="15" customHeight="1">
      <c r="A65" s="120" t="s">
        <v>368</v>
      </c>
      <c r="D65" s="101" t="s">
        <v>500</v>
      </c>
      <c r="E65" s="16" t="s">
        <v>167</v>
      </c>
      <c r="F65" s="121">
        <v>26.517</v>
      </c>
      <c r="G65" s="122"/>
      <c r="H65" s="123">
        <v>92</v>
      </c>
      <c r="I65" s="123">
        <v>382</v>
      </c>
      <c r="J65" s="123">
        <v>40</v>
      </c>
      <c r="K65" s="123">
        <v>0</v>
      </c>
      <c r="L65" s="123">
        <v>0</v>
      </c>
      <c r="M65" s="123">
        <f t="shared" si="14"/>
        <v>514</v>
      </c>
      <c r="N65" s="189">
        <f t="shared" si="15"/>
        <v>540.517</v>
      </c>
      <c r="O65" s="124"/>
      <c r="P65" s="9">
        <f t="shared" si="5"/>
        <v>540.517</v>
      </c>
      <c r="Q65" s="125" t="e">
        <f t="shared" si="3"/>
        <v>#DIV/0!</v>
      </c>
      <c r="R65"/>
    </row>
    <row r="66" spans="1:18" ht="15" customHeight="1">
      <c r="A66" s="145" t="s">
        <v>372</v>
      </c>
      <c r="D66" s="101" t="s">
        <v>500</v>
      </c>
      <c r="E66" s="101" t="s">
        <v>168</v>
      </c>
      <c r="F66" s="146">
        <f>704.632-11</f>
        <v>693.632</v>
      </c>
      <c r="G66" s="138" t="s">
        <v>231</v>
      </c>
      <c r="H66" s="123">
        <v>1266</v>
      </c>
      <c r="I66" s="123">
        <v>2353</v>
      </c>
      <c r="J66" s="123">
        <v>1961</v>
      </c>
      <c r="K66" s="123">
        <v>165</v>
      </c>
      <c r="L66" s="123">
        <v>0</v>
      </c>
      <c r="M66" s="123">
        <f t="shared" si="14"/>
        <v>5745</v>
      </c>
      <c r="N66" s="189">
        <f t="shared" si="15"/>
        <v>6438.632</v>
      </c>
      <c r="O66" s="124">
        <v>2203</v>
      </c>
      <c r="P66" s="147">
        <f t="shared" si="5"/>
        <v>4235.632</v>
      </c>
      <c r="Q66" s="125">
        <f t="shared" si="3"/>
        <v>1.922665456196096</v>
      </c>
      <c r="R66">
        <v>1810</v>
      </c>
    </row>
    <row r="67" spans="1:18" ht="15" customHeight="1">
      <c r="A67" s="145"/>
      <c r="D67" s="101" t="s">
        <v>500</v>
      </c>
      <c r="E67" s="106" t="s">
        <v>169</v>
      </c>
      <c r="F67" s="126"/>
      <c r="G67" s="127"/>
      <c r="H67" s="128">
        <v>0</v>
      </c>
      <c r="I67" s="128">
        <v>223</v>
      </c>
      <c r="J67" s="128">
        <v>1017</v>
      </c>
      <c r="K67" s="128">
        <v>94</v>
      </c>
      <c r="L67" s="128">
        <v>0</v>
      </c>
      <c r="M67" s="128">
        <f t="shared" si="14"/>
        <v>1334</v>
      </c>
      <c r="N67" s="190">
        <f t="shared" si="15"/>
        <v>1334</v>
      </c>
      <c r="O67" s="124"/>
      <c r="P67" s="147">
        <f t="shared" si="5"/>
        <v>1334</v>
      </c>
      <c r="Q67" s="125" t="e">
        <f t="shared" si="3"/>
        <v>#DIV/0!</v>
      </c>
      <c r="R67"/>
    </row>
    <row r="68" spans="1:18" ht="15" customHeight="1">
      <c r="A68" s="145"/>
      <c r="E68" s="129" t="s">
        <v>448</v>
      </c>
      <c r="F68" s="130">
        <f>SUM(F60:F67)</f>
        <v>3479.2450000000003</v>
      </c>
      <c r="G68" s="131"/>
      <c r="H68" s="132">
        <f aca="true" t="shared" si="16" ref="H68:O68">SUM(H60:H67)</f>
        <v>1742</v>
      </c>
      <c r="I68" s="132">
        <f t="shared" si="16"/>
        <v>4064</v>
      </c>
      <c r="J68" s="132">
        <f t="shared" si="16"/>
        <v>3951</v>
      </c>
      <c r="K68" s="132">
        <f t="shared" si="16"/>
        <v>347</v>
      </c>
      <c r="L68" s="132">
        <f t="shared" si="16"/>
        <v>0</v>
      </c>
      <c r="M68" s="133">
        <f t="shared" si="16"/>
        <v>10104</v>
      </c>
      <c r="N68" s="191">
        <f t="shared" si="16"/>
        <v>13583.244999999999</v>
      </c>
      <c r="O68" s="134">
        <f t="shared" si="16"/>
        <v>5430</v>
      </c>
      <c r="P68" s="7">
        <f t="shared" si="5"/>
        <v>8153.244999999999</v>
      </c>
      <c r="Q68" s="125">
        <f aca="true" t="shared" si="17" ref="Q68:Q129">+P68/O68</f>
        <v>1.5015184162062614</v>
      </c>
      <c r="R68"/>
    </row>
    <row r="69" spans="1:18" ht="15" customHeight="1">
      <c r="A69" s="145"/>
      <c r="F69" s="121"/>
      <c r="G69" s="122"/>
      <c r="H69" s="123"/>
      <c r="I69" s="123"/>
      <c r="J69" s="123"/>
      <c r="K69" s="123"/>
      <c r="L69" s="123"/>
      <c r="M69" s="123"/>
      <c r="N69" s="189"/>
      <c r="O69" s="124"/>
      <c r="P69" s="7">
        <f t="shared" si="5"/>
        <v>0</v>
      </c>
      <c r="Q69" s="125" t="e">
        <f t="shared" si="17"/>
        <v>#DIV/0!</v>
      </c>
      <c r="R69"/>
    </row>
    <row r="70" spans="1:18" ht="15" customHeight="1" thickBot="1">
      <c r="A70" s="148" t="s">
        <v>364</v>
      </c>
      <c r="C70" s="101" t="s">
        <v>508</v>
      </c>
      <c r="D70" s="101" t="s">
        <v>499</v>
      </c>
      <c r="E70" s="149" t="s">
        <v>170</v>
      </c>
      <c r="F70" s="151">
        <v>2128.2</v>
      </c>
      <c r="G70" s="152"/>
      <c r="H70" s="153">
        <v>162</v>
      </c>
      <c r="I70" s="153">
        <v>408</v>
      </c>
      <c r="J70" s="153">
        <v>432</v>
      </c>
      <c r="K70" s="153">
        <v>448</v>
      </c>
      <c r="L70" s="153">
        <v>170</v>
      </c>
      <c r="M70" s="153">
        <f>SUM(H70:L70)</f>
        <v>1620</v>
      </c>
      <c r="N70" s="193">
        <f>SUM(F70:L70)</f>
        <v>3748.2</v>
      </c>
      <c r="O70" s="124">
        <v>2752</v>
      </c>
      <c r="P70" s="7">
        <f t="shared" si="5"/>
        <v>996.1999999999998</v>
      </c>
      <c r="Q70" s="125">
        <f t="shared" si="17"/>
        <v>0.36199127906976736</v>
      </c>
      <c r="R70">
        <v>1901</v>
      </c>
    </row>
    <row r="71" spans="1:18" ht="15" customHeight="1">
      <c r="A71" s="148"/>
      <c r="E71" s="154" t="s">
        <v>171</v>
      </c>
      <c r="F71" s="155">
        <f>SUM(F70,F68,F58,F52,F50,F46,F22,F10)</f>
        <v>53551.035</v>
      </c>
      <c r="G71" s="156"/>
      <c r="H71" s="157">
        <f aca="true" t="shared" si="18" ref="H71:O71">SUM(H70,H68,H58,H52,H50,H46,H22,H10)</f>
        <v>4893</v>
      </c>
      <c r="I71" s="157">
        <f t="shared" si="18"/>
        <v>11072</v>
      </c>
      <c r="J71" s="157">
        <f t="shared" si="18"/>
        <v>6577</v>
      </c>
      <c r="K71" s="157">
        <f t="shared" si="18"/>
        <v>1784</v>
      </c>
      <c r="L71" s="157">
        <f t="shared" si="18"/>
        <v>170</v>
      </c>
      <c r="M71" s="158">
        <f t="shared" si="18"/>
        <v>24496</v>
      </c>
      <c r="N71" s="191">
        <f t="shared" si="18"/>
        <v>78047.03499999999</v>
      </c>
      <c r="O71" s="159">
        <f t="shared" si="18"/>
        <v>54507</v>
      </c>
      <c r="P71" s="7">
        <f t="shared" si="5"/>
        <v>23540.03499999999</v>
      </c>
      <c r="Q71" s="125">
        <f t="shared" si="17"/>
        <v>0.43187177793677856</v>
      </c>
      <c r="R71"/>
    </row>
    <row r="72" spans="1:18" ht="15" customHeight="1">
      <c r="A72" s="148"/>
      <c r="F72" s="121"/>
      <c r="G72" s="122"/>
      <c r="H72" s="123"/>
      <c r="I72" s="123"/>
      <c r="J72" s="123"/>
      <c r="K72" s="123"/>
      <c r="L72" s="123"/>
      <c r="M72" s="123"/>
      <c r="N72" s="189"/>
      <c r="O72" s="124"/>
      <c r="P72" s="7">
        <f t="shared" si="5"/>
        <v>0</v>
      </c>
      <c r="Q72" s="125" t="e">
        <f t="shared" si="17"/>
        <v>#DIV/0!</v>
      </c>
      <c r="R72"/>
    </row>
    <row r="73" spans="1:18" ht="15" customHeight="1">
      <c r="A73" s="148"/>
      <c r="F73" s="121"/>
      <c r="G73" s="122"/>
      <c r="H73" s="123"/>
      <c r="I73" s="123"/>
      <c r="J73" s="123"/>
      <c r="K73" s="123"/>
      <c r="L73" s="123"/>
      <c r="M73" s="123"/>
      <c r="N73" s="189"/>
      <c r="O73" s="124"/>
      <c r="P73" s="7">
        <f t="shared" si="5"/>
        <v>0</v>
      </c>
      <c r="Q73" s="125" t="e">
        <f t="shared" si="17"/>
        <v>#DIV/0!</v>
      </c>
      <c r="R73"/>
    </row>
    <row r="74" spans="1:18" ht="15" customHeight="1">
      <c r="A74" s="120" t="s">
        <v>450</v>
      </c>
      <c r="C74" s="101" t="s">
        <v>430</v>
      </c>
      <c r="D74" s="101" t="s">
        <v>500</v>
      </c>
      <c r="E74" s="101" t="s">
        <v>172</v>
      </c>
      <c r="F74" s="121">
        <v>62.89300000000001</v>
      </c>
      <c r="G74" s="122"/>
      <c r="H74" s="123">
        <v>0</v>
      </c>
      <c r="I74" s="123">
        <v>0</v>
      </c>
      <c r="J74" s="123">
        <v>13</v>
      </c>
      <c r="K74" s="123">
        <v>56</v>
      </c>
      <c r="L74" s="123">
        <v>0</v>
      </c>
      <c r="M74" s="123">
        <f>SUM(H74:L74)</f>
        <v>69</v>
      </c>
      <c r="N74" s="189">
        <f>SUM(F74:L74)</f>
        <v>131.893</v>
      </c>
      <c r="O74" s="124">
        <v>151</v>
      </c>
      <c r="P74" s="7">
        <f t="shared" si="5"/>
        <v>-19.107</v>
      </c>
      <c r="Q74" s="125">
        <f t="shared" si="17"/>
        <v>-0.1265364238410596</v>
      </c>
      <c r="R74">
        <v>2101</v>
      </c>
    </row>
    <row r="75" spans="1:18" ht="15" customHeight="1">
      <c r="A75" s="120"/>
      <c r="C75" s="101" t="s">
        <v>431</v>
      </c>
      <c r="D75" s="101" t="s">
        <v>500</v>
      </c>
      <c r="E75" s="101" t="s">
        <v>173</v>
      </c>
      <c r="F75" s="121"/>
      <c r="G75" s="122"/>
      <c r="H75" s="123">
        <v>0</v>
      </c>
      <c r="I75" s="123">
        <v>0</v>
      </c>
      <c r="J75" s="123">
        <v>70</v>
      </c>
      <c r="K75" s="123">
        <v>102</v>
      </c>
      <c r="L75" s="123">
        <v>0</v>
      </c>
      <c r="M75" s="123">
        <f>SUM(H75:L75)</f>
        <v>172</v>
      </c>
      <c r="N75" s="189">
        <f>SUM(F75:L75)</f>
        <v>172</v>
      </c>
      <c r="O75" s="124">
        <v>349</v>
      </c>
      <c r="P75" s="7">
        <f aca="true" t="shared" si="19" ref="P75:P129">+N75-O75</f>
        <v>-177</v>
      </c>
      <c r="Q75" s="125">
        <f t="shared" si="17"/>
        <v>-0.5071633237822349</v>
      </c>
      <c r="R75">
        <v>2201</v>
      </c>
    </row>
    <row r="76" spans="3:18" ht="15" customHeight="1" thickBot="1">
      <c r="C76" s="101" t="s">
        <v>509</v>
      </c>
      <c r="D76" s="101" t="s">
        <v>500</v>
      </c>
      <c r="E76" s="120" t="s">
        <v>451</v>
      </c>
      <c r="F76" s="160">
        <v>284.946</v>
      </c>
      <c r="G76" s="161"/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>
        <f>SUM(H76:L76)</f>
        <v>0</v>
      </c>
      <c r="N76" s="194">
        <f>SUM(F76:L76)</f>
        <v>284.946</v>
      </c>
      <c r="O76" s="124">
        <v>284</v>
      </c>
      <c r="P76" s="7">
        <f t="shared" si="19"/>
        <v>0.9460000000000264</v>
      </c>
      <c r="Q76" s="125">
        <f t="shared" si="17"/>
        <v>0.0033309859154930506</v>
      </c>
      <c r="R76">
        <v>2501</v>
      </c>
    </row>
    <row r="77" spans="5:18" ht="15" customHeight="1">
      <c r="E77" s="154" t="s">
        <v>174</v>
      </c>
      <c r="F77" s="155">
        <f>SUM(F74:F76)</f>
        <v>347.83900000000006</v>
      </c>
      <c r="G77" s="156"/>
      <c r="H77" s="157">
        <f aca="true" t="shared" si="20" ref="H77:O77">SUM(H74:H76)</f>
        <v>0</v>
      </c>
      <c r="I77" s="157">
        <f t="shared" si="20"/>
        <v>0</v>
      </c>
      <c r="J77" s="157">
        <f t="shared" si="20"/>
        <v>83</v>
      </c>
      <c r="K77" s="157">
        <f t="shared" si="20"/>
        <v>158</v>
      </c>
      <c r="L77" s="157">
        <f t="shared" si="20"/>
        <v>0</v>
      </c>
      <c r="M77" s="158">
        <f t="shared" si="20"/>
        <v>241</v>
      </c>
      <c r="N77" s="191">
        <f t="shared" si="20"/>
        <v>588.839</v>
      </c>
      <c r="O77" s="159">
        <f t="shared" si="20"/>
        <v>784</v>
      </c>
      <c r="P77" s="7">
        <f t="shared" si="19"/>
        <v>-195.16099999999994</v>
      </c>
      <c r="Q77" s="125">
        <f t="shared" si="17"/>
        <v>-0.24892984693877543</v>
      </c>
      <c r="R77"/>
    </row>
    <row r="78" spans="5:18" ht="15" customHeight="1">
      <c r="E78" s="120"/>
      <c r="F78" s="121"/>
      <c r="G78" s="122"/>
      <c r="H78" s="123"/>
      <c r="I78" s="123"/>
      <c r="J78" s="123"/>
      <c r="K78" s="123"/>
      <c r="L78" s="123"/>
      <c r="M78" s="123"/>
      <c r="N78" s="189"/>
      <c r="O78" s="124"/>
      <c r="P78" s="7">
        <f t="shared" si="19"/>
        <v>0</v>
      </c>
      <c r="Q78" s="125" t="e">
        <f t="shared" si="17"/>
        <v>#DIV/0!</v>
      </c>
      <c r="R78"/>
    </row>
    <row r="79" spans="1:18" ht="15" customHeight="1">
      <c r="A79" s="148" t="s">
        <v>443</v>
      </c>
      <c r="C79" s="101" t="s">
        <v>510</v>
      </c>
      <c r="D79" s="101" t="s">
        <v>500</v>
      </c>
      <c r="E79" s="101" t="s">
        <v>175</v>
      </c>
      <c r="F79" s="146">
        <f>614.4-3</f>
        <v>611.4</v>
      </c>
      <c r="G79" s="138" t="s">
        <v>231</v>
      </c>
      <c r="H79" s="135">
        <v>184</v>
      </c>
      <c r="I79" s="135">
        <v>107</v>
      </c>
      <c r="J79" s="135">
        <v>0</v>
      </c>
      <c r="K79" s="135">
        <v>0</v>
      </c>
      <c r="L79" s="135">
        <v>0</v>
      </c>
      <c r="M79" s="123">
        <f>SUM(H79:L79)</f>
        <v>291</v>
      </c>
      <c r="N79" s="189">
        <f>SUM(F79:L79)</f>
        <v>902.4</v>
      </c>
      <c r="O79" s="124">
        <v>426</v>
      </c>
      <c r="P79" s="7">
        <f t="shared" si="19"/>
        <v>476.4</v>
      </c>
      <c r="Q79" s="125">
        <f t="shared" si="17"/>
        <v>1.1183098591549294</v>
      </c>
      <c r="R79">
        <v>3101</v>
      </c>
    </row>
    <row r="80" spans="1:18" ht="15" customHeight="1">
      <c r="A80" s="148"/>
      <c r="C80" s="101" t="s">
        <v>432</v>
      </c>
      <c r="D80" s="101" t="s">
        <v>500</v>
      </c>
      <c r="E80" s="101" t="s">
        <v>176</v>
      </c>
      <c r="F80" s="121"/>
      <c r="G80" s="122"/>
      <c r="H80" s="135">
        <v>0</v>
      </c>
      <c r="I80" s="135">
        <v>0</v>
      </c>
      <c r="J80" s="135">
        <v>0</v>
      </c>
      <c r="K80" s="135">
        <v>31</v>
      </c>
      <c r="L80" s="135">
        <v>0</v>
      </c>
      <c r="M80" s="123">
        <f>SUM(H80:L80)</f>
        <v>31</v>
      </c>
      <c r="N80" s="189">
        <f>SUM(F80:L80)</f>
        <v>31</v>
      </c>
      <c r="O80" s="124">
        <v>46</v>
      </c>
      <c r="P80" s="7">
        <f t="shared" si="19"/>
        <v>-15</v>
      </c>
      <c r="Q80" s="125">
        <f t="shared" si="17"/>
        <v>-0.32608695652173914</v>
      </c>
      <c r="R80">
        <v>3601</v>
      </c>
    </row>
    <row r="81" spans="1:18" ht="15" customHeight="1">
      <c r="A81" s="148"/>
      <c r="C81" s="101" t="s">
        <v>433</v>
      </c>
      <c r="D81" s="101" t="s">
        <v>500</v>
      </c>
      <c r="E81" s="101" t="s">
        <v>177</v>
      </c>
      <c r="F81" s="121"/>
      <c r="G81" s="122"/>
      <c r="H81" s="135">
        <v>0</v>
      </c>
      <c r="I81" s="135">
        <v>0</v>
      </c>
      <c r="J81" s="135">
        <v>101</v>
      </c>
      <c r="K81" s="135">
        <v>162</v>
      </c>
      <c r="L81" s="135">
        <v>0</v>
      </c>
      <c r="M81" s="123">
        <f>SUM(H81:L81)</f>
        <v>263</v>
      </c>
      <c r="N81" s="189">
        <f>SUM(F81:L81)</f>
        <v>263</v>
      </c>
      <c r="O81" s="124">
        <v>310</v>
      </c>
      <c r="P81" s="7">
        <f t="shared" si="19"/>
        <v>-47</v>
      </c>
      <c r="Q81" s="125">
        <f t="shared" si="17"/>
        <v>-0.15161290322580645</v>
      </c>
      <c r="R81">
        <v>3801</v>
      </c>
    </row>
    <row r="82" spans="1:18" ht="15" customHeight="1" thickBot="1">
      <c r="A82" s="148" t="s">
        <v>452</v>
      </c>
      <c r="C82" s="101" t="s">
        <v>511</v>
      </c>
      <c r="D82" s="101" t="s">
        <v>500</v>
      </c>
      <c r="E82" s="101" t="s">
        <v>178</v>
      </c>
      <c r="F82" s="160">
        <v>342.50600000000003</v>
      </c>
      <c r="G82" s="161"/>
      <c r="H82" s="128">
        <v>11</v>
      </c>
      <c r="I82" s="128">
        <v>29</v>
      </c>
      <c r="J82" s="128">
        <v>30</v>
      </c>
      <c r="K82" s="128">
        <v>62</v>
      </c>
      <c r="L82" s="128">
        <v>0</v>
      </c>
      <c r="M82" s="162">
        <f>SUM(H82:L82)</f>
        <v>132</v>
      </c>
      <c r="N82" s="194">
        <f>SUM(F82:L82)</f>
        <v>474.50600000000003</v>
      </c>
      <c r="O82" s="124">
        <v>361</v>
      </c>
      <c r="P82" s="7">
        <f t="shared" si="19"/>
        <v>113.50600000000003</v>
      </c>
      <c r="Q82" s="125">
        <f t="shared" si="17"/>
        <v>0.31442105263157905</v>
      </c>
      <c r="R82">
        <v>3901</v>
      </c>
    </row>
    <row r="83" spans="1:18" ht="15" customHeight="1">
      <c r="A83" s="148"/>
      <c r="E83" s="154" t="s">
        <v>179</v>
      </c>
      <c r="F83" s="155">
        <f>SUM(F79:F82)</f>
        <v>953.906</v>
      </c>
      <c r="G83" s="156"/>
      <c r="H83" s="157">
        <f aca="true" t="shared" si="21" ref="H83:O83">SUM(H79:H82)</f>
        <v>195</v>
      </c>
      <c r="I83" s="157">
        <f t="shared" si="21"/>
        <v>136</v>
      </c>
      <c r="J83" s="157">
        <f t="shared" si="21"/>
        <v>131</v>
      </c>
      <c r="K83" s="157">
        <f t="shared" si="21"/>
        <v>255</v>
      </c>
      <c r="L83" s="157">
        <f t="shared" si="21"/>
        <v>0</v>
      </c>
      <c r="M83" s="158">
        <f t="shared" si="21"/>
        <v>717</v>
      </c>
      <c r="N83" s="191">
        <f t="shared" si="21"/>
        <v>1670.9060000000002</v>
      </c>
      <c r="O83" s="159">
        <f t="shared" si="21"/>
        <v>1143</v>
      </c>
      <c r="P83" s="7">
        <f t="shared" si="19"/>
        <v>527.9060000000002</v>
      </c>
      <c r="Q83" s="125">
        <f t="shared" si="17"/>
        <v>0.4618600174978129</v>
      </c>
      <c r="R83"/>
    </row>
    <row r="84" spans="1:18" ht="15" customHeight="1">
      <c r="A84" s="148"/>
      <c r="F84" s="121"/>
      <c r="G84" s="122"/>
      <c r="H84" s="123"/>
      <c r="I84" s="123"/>
      <c r="J84" s="123"/>
      <c r="K84" s="123"/>
      <c r="L84" s="123"/>
      <c r="M84" s="123"/>
      <c r="N84" s="189"/>
      <c r="O84" s="124"/>
      <c r="P84" s="7">
        <f t="shared" si="19"/>
        <v>0</v>
      </c>
      <c r="Q84" s="125" t="e">
        <f t="shared" si="17"/>
        <v>#DIV/0!</v>
      </c>
      <c r="R84"/>
    </row>
    <row r="85" spans="1:18" ht="15" customHeight="1">
      <c r="A85" s="148" t="s">
        <v>453</v>
      </c>
      <c r="C85" s="101" t="s">
        <v>512</v>
      </c>
      <c r="D85" s="101" t="s">
        <v>376</v>
      </c>
      <c r="E85" s="101" t="s">
        <v>180</v>
      </c>
      <c r="F85" s="121">
        <v>107.351</v>
      </c>
      <c r="G85" s="122"/>
      <c r="H85" s="135">
        <v>-104</v>
      </c>
      <c r="I85" s="135">
        <v>0</v>
      </c>
      <c r="J85" s="135">
        <v>57</v>
      </c>
      <c r="K85" s="135">
        <v>102</v>
      </c>
      <c r="L85" s="135">
        <v>0</v>
      </c>
      <c r="M85" s="123">
        <f>SUM(H85:L85)</f>
        <v>55</v>
      </c>
      <c r="N85" s="189">
        <f>SUM(F85:L85)</f>
        <v>162.351</v>
      </c>
      <c r="O85" s="124">
        <v>430</v>
      </c>
      <c r="P85" s="7">
        <f t="shared" si="19"/>
        <v>-267.649</v>
      </c>
      <c r="Q85" s="125">
        <f t="shared" si="17"/>
        <v>-0.622439534883721</v>
      </c>
      <c r="R85">
        <v>4101</v>
      </c>
    </row>
    <row r="86" spans="1:18" ht="15" customHeight="1">
      <c r="A86" s="148" t="s">
        <v>454</v>
      </c>
      <c r="C86" s="101" t="s">
        <v>513</v>
      </c>
      <c r="D86" s="101" t="s">
        <v>376</v>
      </c>
      <c r="E86" s="101" t="s">
        <v>181</v>
      </c>
      <c r="F86" s="121">
        <v>369.4</v>
      </c>
      <c r="G86" s="122"/>
      <c r="H86" s="135">
        <v>0</v>
      </c>
      <c r="I86" s="135">
        <v>11</v>
      </c>
      <c r="J86" s="135">
        <v>274</v>
      </c>
      <c r="K86" s="135">
        <v>318</v>
      </c>
      <c r="L86" s="135">
        <v>0</v>
      </c>
      <c r="M86" s="123">
        <f>SUM(H86:L86)</f>
        <v>603</v>
      </c>
      <c r="N86" s="189">
        <f>SUM(F86:L86)</f>
        <v>972.4</v>
      </c>
      <c r="O86" s="124">
        <v>454</v>
      </c>
      <c r="P86" s="7">
        <f t="shared" si="19"/>
        <v>518.4</v>
      </c>
      <c r="Q86" s="125">
        <f t="shared" si="17"/>
        <v>1.141850220264317</v>
      </c>
      <c r="R86">
        <v>4301</v>
      </c>
    </row>
    <row r="87" spans="1:18" ht="15" customHeight="1">
      <c r="A87" s="148" t="s">
        <v>455</v>
      </c>
      <c r="C87" s="101" t="s">
        <v>514</v>
      </c>
      <c r="D87" s="101" t="s">
        <v>376</v>
      </c>
      <c r="E87" s="101" t="s">
        <v>182</v>
      </c>
      <c r="F87" s="121">
        <v>80.521</v>
      </c>
      <c r="G87" s="122"/>
      <c r="H87" s="135">
        <v>0</v>
      </c>
      <c r="I87" s="135">
        <v>0</v>
      </c>
      <c r="J87" s="135">
        <v>314</v>
      </c>
      <c r="K87" s="135">
        <v>770</v>
      </c>
      <c r="L87" s="135">
        <v>0</v>
      </c>
      <c r="M87" s="123">
        <f>SUM(H87:L87)</f>
        <v>1084</v>
      </c>
      <c r="N87" s="189">
        <f>SUM(F87:L87)</f>
        <v>1164.521</v>
      </c>
      <c r="O87" s="124">
        <v>1309</v>
      </c>
      <c r="P87" s="7">
        <f t="shared" si="19"/>
        <v>-144.47900000000004</v>
      </c>
      <c r="Q87" s="125">
        <f t="shared" si="17"/>
        <v>-0.11037356760886176</v>
      </c>
      <c r="R87">
        <v>4401</v>
      </c>
    </row>
    <row r="88" spans="1:18" ht="15" customHeight="1">
      <c r="A88" s="148" t="s">
        <v>456</v>
      </c>
      <c r="C88" s="101" t="s">
        <v>515</v>
      </c>
      <c r="D88" s="101" t="s">
        <v>376</v>
      </c>
      <c r="E88" s="101" t="s">
        <v>183</v>
      </c>
      <c r="F88" s="121">
        <v>161.05599999999998</v>
      </c>
      <c r="G88" s="122"/>
      <c r="H88" s="135">
        <v>0</v>
      </c>
      <c r="I88" s="135">
        <v>0</v>
      </c>
      <c r="J88" s="135">
        <v>356</v>
      </c>
      <c r="K88" s="135">
        <v>274</v>
      </c>
      <c r="L88" s="135">
        <v>53</v>
      </c>
      <c r="M88" s="123">
        <f>SUM(H88:L88)</f>
        <v>683</v>
      </c>
      <c r="N88" s="189">
        <f>SUM(F88:L88)</f>
        <v>844.056</v>
      </c>
      <c r="O88" s="124">
        <v>1107</v>
      </c>
      <c r="P88" s="7">
        <f t="shared" si="19"/>
        <v>-262.94399999999996</v>
      </c>
      <c r="Q88" s="125">
        <f t="shared" si="17"/>
        <v>-0.2375284552845528</v>
      </c>
      <c r="R88">
        <v>4501</v>
      </c>
    </row>
    <row r="89" spans="3:18" ht="15" customHeight="1" thickBot="1">
      <c r="C89" s="101" t="s">
        <v>516</v>
      </c>
      <c r="D89" s="101" t="s">
        <v>376</v>
      </c>
      <c r="E89" s="120" t="s">
        <v>457</v>
      </c>
      <c r="F89" s="160">
        <v>1.3</v>
      </c>
      <c r="G89" s="161"/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62">
        <f>SUM(H89:L89)</f>
        <v>0</v>
      </c>
      <c r="N89" s="194">
        <f>SUM(F89:L89)</f>
        <v>1.3</v>
      </c>
      <c r="O89" s="124">
        <v>1</v>
      </c>
      <c r="P89" s="7">
        <f t="shared" si="19"/>
        <v>0.30000000000000004</v>
      </c>
      <c r="Q89" s="125">
        <f t="shared" si="17"/>
        <v>0.30000000000000004</v>
      </c>
      <c r="R89">
        <v>4601</v>
      </c>
    </row>
    <row r="90" spans="5:18" ht="15" customHeight="1">
      <c r="E90" s="154" t="s">
        <v>184</v>
      </c>
      <c r="F90" s="155">
        <f>SUM(F85:F89)</f>
        <v>719.6279999999999</v>
      </c>
      <c r="G90" s="156"/>
      <c r="H90" s="157">
        <f aca="true" t="shared" si="22" ref="H90:O90">SUM(H85:H89)</f>
        <v>-104</v>
      </c>
      <c r="I90" s="157">
        <f t="shared" si="22"/>
        <v>11</v>
      </c>
      <c r="J90" s="157">
        <f t="shared" si="22"/>
        <v>1001</v>
      </c>
      <c r="K90" s="157">
        <f t="shared" si="22"/>
        <v>1464</v>
      </c>
      <c r="L90" s="157">
        <f t="shared" si="22"/>
        <v>53</v>
      </c>
      <c r="M90" s="158">
        <f t="shared" si="22"/>
        <v>2425</v>
      </c>
      <c r="N90" s="191">
        <f t="shared" si="22"/>
        <v>3144.628</v>
      </c>
      <c r="O90" s="159">
        <f t="shared" si="22"/>
        <v>3301</v>
      </c>
      <c r="P90" s="7">
        <f t="shared" si="19"/>
        <v>-156.37199999999984</v>
      </c>
      <c r="Q90" s="125">
        <f t="shared" si="17"/>
        <v>-0.0473710996667676</v>
      </c>
      <c r="R90"/>
    </row>
    <row r="91" spans="5:18" ht="15" customHeight="1">
      <c r="E91" s="120"/>
      <c r="F91" s="121"/>
      <c r="G91" s="122"/>
      <c r="H91" s="123"/>
      <c r="I91" s="123"/>
      <c r="J91" s="123"/>
      <c r="K91" s="123"/>
      <c r="L91" s="123"/>
      <c r="M91" s="123"/>
      <c r="N91" s="189"/>
      <c r="O91" s="124"/>
      <c r="P91" s="7">
        <f t="shared" si="19"/>
        <v>0</v>
      </c>
      <c r="Q91" s="125" t="e">
        <f t="shared" si="17"/>
        <v>#DIV/0!</v>
      </c>
      <c r="R91"/>
    </row>
    <row r="92" spans="1:18" ht="15" customHeight="1">
      <c r="A92" s="148"/>
      <c r="C92" s="101" t="s">
        <v>517</v>
      </c>
      <c r="D92" s="101" t="s">
        <v>376</v>
      </c>
      <c r="E92" s="101" t="s">
        <v>185</v>
      </c>
      <c r="F92" s="121"/>
      <c r="G92" s="122"/>
      <c r="H92" s="135">
        <v>0</v>
      </c>
      <c r="I92" s="135">
        <v>0</v>
      </c>
      <c r="J92" s="135">
        <v>7</v>
      </c>
      <c r="K92" s="135">
        <v>143</v>
      </c>
      <c r="L92" s="135">
        <v>0</v>
      </c>
      <c r="M92" s="123">
        <f aca="true" t="shared" si="23" ref="M92:M98">SUM(H92:L92)</f>
        <v>150</v>
      </c>
      <c r="N92" s="189">
        <f aca="true" t="shared" si="24" ref="N92:N98">SUM(F92:L92)</f>
        <v>150</v>
      </c>
      <c r="O92" s="124"/>
      <c r="P92" s="7">
        <f t="shared" si="19"/>
        <v>150</v>
      </c>
      <c r="Q92" s="125" t="e">
        <f t="shared" si="17"/>
        <v>#DIV/0!</v>
      </c>
      <c r="R92"/>
    </row>
    <row r="93" spans="1:18" ht="15" customHeight="1">
      <c r="A93" s="148"/>
      <c r="C93" s="101" t="s">
        <v>434</v>
      </c>
      <c r="D93" s="101" t="s">
        <v>376</v>
      </c>
      <c r="E93" s="101" t="s">
        <v>186</v>
      </c>
      <c r="F93" s="121"/>
      <c r="G93" s="122"/>
      <c r="H93" s="135">
        <v>0</v>
      </c>
      <c r="I93" s="135">
        <v>0</v>
      </c>
      <c r="J93" s="135">
        <v>81</v>
      </c>
      <c r="K93" s="135">
        <v>115</v>
      </c>
      <c r="L93" s="135">
        <v>0</v>
      </c>
      <c r="M93" s="123">
        <f t="shared" si="23"/>
        <v>196</v>
      </c>
      <c r="N93" s="189">
        <f t="shared" si="24"/>
        <v>196</v>
      </c>
      <c r="O93" s="124">
        <v>611</v>
      </c>
      <c r="P93" s="7">
        <f t="shared" si="19"/>
        <v>-415</v>
      </c>
      <c r="Q93" s="125">
        <f t="shared" si="17"/>
        <v>-0.679214402618658</v>
      </c>
      <c r="R93">
        <v>5201</v>
      </c>
    </row>
    <row r="94" spans="1:18" ht="15" customHeight="1">
      <c r="A94" s="148"/>
      <c r="C94" s="101" t="s">
        <v>518</v>
      </c>
      <c r="D94" s="101" t="s">
        <v>376</v>
      </c>
      <c r="E94" s="101" t="s">
        <v>187</v>
      </c>
      <c r="F94" s="121"/>
      <c r="G94" s="122"/>
      <c r="H94" s="135">
        <v>0</v>
      </c>
      <c r="I94" s="135">
        <v>0</v>
      </c>
      <c r="J94" s="135">
        <v>51</v>
      </c>
      <c r="K94" s="135">
        <v>114</v>
      </c>
      <c r="L94" s="135">
        <v>0</v>
      </c>
      <c r="M94" s="123">
        <f t="shared" si="23"/>
        <v>165</v>
      </c>
      <c r="N94" s="189">
        <f t="shared" si="24"/>
        <v>165</v>
      </c>
      <c r="O94" s="124">
        <v>351</v>
      </c>
      <c r="P94" s="7">
        <f t="shared" si="19"/>
        <v>-186</v>
      </c>
      <c r="Q94" s="125">
        <f t="shared" si="17"/>
        <v>-0.5299145299145299</v>
      </c>
      <c r="R94">
        <v>5301</v>
      </c>
    </row>
    <row r="95" spans="1:18" ht="15" customHeight="1">
      <c r="A95" s="148"/>
      <c r="C95" s="101" t="s">
        <v>435</v>
      </c>
      <c r="D95" s="101" t="s">
        <v>376</v>
      </c>
      <c r="E95" s="101" t="s">
        <v>188</v>
      </c>
      <c r="F95" s="121"/>
      <c r="G95" s="122"/>
      <c r="H95" s="135">
        <v>0</v>
      </c>
      <c r="I95" s="135">
        <v>0</v>
      </c>
      <c r="J95" s="135">
        <v>12</v>
      </c>
      <c r="K95" s="135">
        <v>193</v>
      </c>
      <c r="L95" s="135">
        <v>0</v>
      </c>
      <c r="M95" s="123">
        <f t="shared" si="23"/>
        <v>205</v>
      </c>
      <c r="N95" s="189">
        <f t="shared" si="24"/>
        <v>205</v>
      </c>
      <c r="O95" s="124">
        <v>221</v>
      </c>
      <c r="P95" s="7">
        <f t="shared" si="19"/>
        <v>-16</v>
      </c>
      <c r="Q95" s="125">
        <f t="shared" si="17"/>
        <v>-0.07239819004524888</v>
      </c>
      <c r="R95">
        <v>5401</v>
      </c>
    </row>
    <row r="96" spans="1:18" ht="15" customHeight="1">
      <c r="A96" s="148"/>
      <c r="C96" s="101" t="s">
        <v>519</v>
      </c>
      <c r="D96" s="101" t="s">
        <v>376</v>
      </c>
      <c r="E96" s="101" t="s">
        <v>62</v>
      </c>
      <c r="F96" s="121"/>
      <c r="G96" s="122"/>
      <c r="H96" s="135">
        <v>0</v>
      </c>
      <c r="I96" s="135">
        <v>0</v>
      </c>
      <c r="J96" s="135">
        <v>17</v>
      </c>
      <c r="K96" s="135">
        <v>112</v>
      </c>
      <c r="L96" s="135">
        <v>0</v>
      </c>
      <c r="M96" s="123">
        <f t="shared" si="23"/>
        <v>129</v>
      </c>
      <c r="N96" s="189">
        <f t="shared" si="24"/>
        <v>129</v>
      </c>
      <c r="O96" s="124">
        <v>162</v>
      </c>
      <c r="P96" s="7">
        <f t="shared" si="19"/>
        <v>-33</v>
      </c>
      <c r="Q96" s="125">
        <f t="shared" si="17"/>
        <v>-0.2037037037037037</v>
      </c>
      <c r="R96">
        <v>5501</v>
      </c>
    </row>
    <row r="97" spans="1:18" ht="15" customHeight="1">
      <c r="A97" s="148"/>
      <c r="C97" s="101" t="s">
        <v>520</v>
      </c>
      <c r="D97" s="101" t="s">
        <v>376</v>
      </c>
      <c r="E97" s="101" t="s">
        <v>63</v>
      </c>
      <c r="F97" s="121"/>
      <c r="G97" s="122"/>
      <c r="H97" s="135">
        <v>0</v>
      </c>
      <c r="I97" s="135">
        <v>0</v>
      </c>
      <c r="J97" s="135">
        <v>12</v>
      </c>
      <c r="K97" s="135">
        <v>210</v>
      </c>
      <c r="L97" s="135">
        <v>0</v>
      </c>
      <c r="M97" s="123">
        <f t="shared" si="23"/>
        <v>222</v>
      </c>
      <c r="N97" s="189">
        <f t="shared" si="24"/>
        <v>222</v>
      </c>
      <c r="O97" s="124">
        <v>382</v>
      </c>
      <c r="P97" s="7">
        <f t="shared" si="19"/>
        <v>-160</v>
      </c>
      <c r="Q97" s="125">
        <f t="shared" si="17"/>
        <v>-0.418848167539267</v>
      </c>
      <c r="R97">
        <v>5601</v>
      </c>
    </row>
    <row r="98" spans="1:18" ht="15" customHeight="1" thickBot="1">
      <c r="A98" s="148" t="s">
        <v>444</v>
      </c>
      <c r="C98" s="101" t="s">
        <v>521</v>
      </c>
      <c r="D98" s="101" t="s">
        <v>376</v>
      </c>
      <c r="E98" s="101" t="s">
        <v>64</v>
      </c>
      <c r="F98" s="160">
        <v>33.022</v>
      </c>
      <c r="G98" s="161"/>
      <c r="H98" s="128">
        <v>7</v>
      </c>
      <c r="I98" s="128">
        <v>24</v>
      </c>
      <c r="J98" s="128">
        <v>19</v>
      </c>
      <c r="K98" s="128">
        <v>19</v>
      </c>
      <c r="L98" s="128">
        <v>0</v>
      </c>
      <c r="M98" s="162">
        <f t="shared" si="23"/>
        <v>69</v>
      </c>
      <c r="N98" s="194">
        <f t="shared" si="24"/>
        <v>102.02199999999999</v>
      </c>
      <c r="O98" s="124">
        <v>323</v>
      </c>
      <c r="P98" s="7">
        <f t="shared" si="19"/>
        <v>-220.978</v>
      </c>
      <c r="Q98" s="125">
        <f t="shared" si="17"/>
        <v>-0.6841424148606812</v>
      </c>
      <c r="R98">
        <v>5801</v>
      </c>
    </row>
    <row r="99" spans="1:18" ht="15" customHeight="1">
      <c r="A99" s="148"/>
      <c r="E99" s="154" t="s">
        <v>65</v>
      </c>
      <c r="F99" s="155">
        <f>SUM(F92:F98)</f>
        <v>33.022</v>
      </c>
      <c r="G99" s="156"/>
      <c r="H99" s="157">
        <f aca="true" t="shared" si="25" ref="H99:O99">SUM(H92:H98)</f>
        <v>7</v>
      </c>
      <c r="I99" s="157">
        <f t="shared" si="25"/>
        <v>24</v>
      </c>
      <c r="J99" s="157">
        <f t="shared" si="25"/>
        <v>199</v>
      </c>
      <c r="K99" s="157">
        <f t="shared" si="25"/>
        <v>906</v>
      </c>
      <c r="L99" s="157">
        <f t="shared" si="25"/>
        <v>0</v>
      </c>
      <c r="M99" s="158">
        <f t="shared" si="25"/>
        <v>1136</v>
      </c>
      <c r="N99" s="191">
        <f t="shared" si="25"/>
        <v>1169.022</v>
      </c>
      <c r="O99" s="159">
        <f t="shared" si="25"/>
        <v>2050</v>
      </c>
      <c r="P99" s="7">
        <f t="shared" si="19"/>
        <v>-880.9780000000001</v>
      </c>
      <c r="Q99" s="125">
        <f t="shared" si="17"/>
        <v>-0.4297453658536586</v>
      </c>
      <c r="R99"/>
    </row>
    <row r="100" spans="1:19" ht="15" customHeight="1">
      <c r="A100" s="148"/>
      <c r="F100" s="121"/>
      <c r="G100" s="122"/>
      <c r="H100" s="123"/>
      <c r="I100" s="123"/>
      <c r="J100" s="123"/>
      <c r="K100" s="123"/>
      <c r="L100" s="123"/>
      <c r="M100" s="123"/>
      <c r="N100" s="189"/>
      <c r="P100" s="7">
        <f t="shared" si="19"/>
        <v>0</v>
      </c>
      <c r="Q100" s="125" t="e">
        <f t="shared" si="17"/>
        <v>#DIV/0!</v>
      </c>
      <c r="S100" s="101">
        <f>SUM(O98:O99)</f>
        <v>2373</v>
      </c>
    </row>
    <row r="101" spans="3:18" ht="15" customHeight="1">
      <c r="C101" s="101" t="s">
        <v>436</v>
      </c>
      <c r="D101" s="101" t="s">
        <v>500</v>
      </c>
      <c r="E101" s="120" t="s">
        <v>445</v>
      </c>
      <c r="F101" s="121">
        <v>24</v>
      </c>
      <c r="G101" s="122"/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f>SUM(H101:L101)</f>
        <v>0</v>
      </c>
      <c r="N101" s="189">
        <f>SUM(F101:L101)</f>
        <v>24</v>
      </c>
      <c r="O101" s="124">
        <v>24</v>
      </c>
      <c r="P101" s="7">
        <f t="shared" si="19"/>
        <v>0</v>
      </c>
      <c r="Q101" s="125">
        <f t="shared" si="17"/>
        <v>0</v>
      </c>
      <c r="R101">
        <v>6163</v>
      </c>
    </row>
    <row r="102" spans="1:18" ht="15" customHeight="1">
      <c r="A102" s="148"/>
      <c r="D102" s="101" t="s">
        <v>500</v>
      </c>
      <c r="E102" s="101" t="s">
        <v>66</v>
      </c>
      <c r="F102" s="121"/>
      <c r="G102" s="122"/>
      <c r="H102" s="135">
        <v>0</v>
      </c>
      <c r="I102" s="135">
        <v>0</v>
      </c>
      <c r="J102" s="135">
        <v>46</v>
      </c>
      <c r="K102" s="135">
        <v>0</v>
      </c>
      <c r="L102" s="135">
        <v>0</v>
      </c>
      <c r="M102" s="123">
        <f>SUM(H102:L102)</f>
        <v>46</v>
      </c>
      <c r="N102" s="189">
        <f>SUM(F102:L102)</f>
        <v>46</v>
      </c>
      <c r="O102" s="124">
        <v>95</v>
      </c>
      <c r="P102" s="7">
        <f t="shared" si="19"/>
        <v>-49</v>
      </c>
      <c r="Q102" s="125">
        <f t="shared" si="17"/>
        <v>-0.5157894736842106</v>
      </c>
      <c r="R102">
        <v>6101</v>
      </c>
    </row>
    <row r="103" spans="1:18" ht="15" customHeight="1">
      <c r="A103" s="148"/>
      <c r="C103" s="101" t="s">
        <v>437</v>
      </c>
      <c r="D103" s="101" t="s">
        <v>500</v>
      </c>
      <c r="E103" s="101" t="s">
        <v>67</v>
      </c>
      <c r="F103" s="121"/>
      <c r="G103" s="122"/>
      <c r="H103" s="135">
        <v>0</v>
      </c>
      <c r="I103" s="135">
        <v>0</v>
      </c>
      <c r="J103" s="135">
        <v>271</v>
      </c>
      <c r="K103" s="135">
        <v>384</v>
      </c>
      <c r="L103" s="135">
        <v>0</v>
      </c>
      <c r="M103" s="123">
        <f>SUM(H103:L103)</f>
        <v>655</v>
      </c>
      <c r="N103" s="189">
        <f>SUM(F103:L103)</f>
        <v>655</v>
      </c>
      <c r="O103" s="124">
        <v>463</v>
      </c>
      <c r="P103" s="7">
        <f t="shared" si="19"/>
        <v>192</v>
      </c>
      <c r="Q103" s="125">
        <f t="shared" si="17"/>
        <v>0.4146868250539957</v>
      </c>
      <c r="R103">
        <v>6201</v>
      </c>
    </row>
    <row r="104" spans="1:18" ht="15" customHeight="1">
      <c r="A104" s="148"/>
      <c r="C104" s="101" t="s">
        <v>438</v>
      </c>
      <c r="D104" s="101" t="s">
        <v>500</v>
      </c>
      <c r="E104" s="101" t="s">
        <v>68</v>
      </c>
      <c r="F104" s="121"/>
      <c r="G104" s="122"/>
      <c r="H104" s="135">
        <v>0</v>
      </c>
      <c r="I104" s="135">
        <v>0</v>
      </c>
      <c r="J104" s="135">
        <v>105</v>
      </c>
      <c r="K104" s="135">
        <v>0</v>
      </c>
      <c r="L104" s="135">
        <v>0</v>
      </c>
      <c r="M104" s="123">
        <f>SUM(H104:L104)</f>
        <v>105</v>
      </c>
      <c r="N104" s="189">
        <f>SUM(F104:L104)</f>
        <v>105</v>
      </c>
      <c r="O104" s="124">
        <v>109</v>
      </c>
      <c r="P104" s="7">
        <f t="shared" si="19"/>
        <v>-4</v>
      </c>
      <c r="Q104" s="125">
        <f t="shared" si="17"/>
        <v>-0.03669724770642202</v>
      </c>
      <c r="R104">
        <v>6301</v>
      </c>
    </row>
    <row r="105" spans="1:18" ht="15" customHeight="1" thickBot="1">
      <c r="A105" s="148"/>
      <c r="C105" s="101" t="s">
        <v>522</v>
      </c>
      <c r="D105" s="101" t="s">
        <v>500</v>
      </c>
      <c r="E105" s="16" t="s">
        <v>69</v>
      </c>
      <c r="F105" s="160"/>
      <c r="G105" s="161"/>
      <c r="H105" s="128">
        <v>0</v>
      </c>
      <c r="I105" s="128">
        <v>0</v>
      </c>
      <c r="J105" s="128">
        <v>107</v>
      </c>
      <c r="K105" s="128">
        <v>466</v>
      </c>
      <c r="L105" s="128">
        <v>0</v>
      </c>
      <c r="M105" s="162">
        <f>SUM(H105:L105)</f>
        <v>573</v>
      </c>
      <c r="N105" s="194">
        <f>SUM(F105:L105)</f>
        <v>573</v>
      </c>
      <c r="O105" s="124"/>
      <c r="P105" s="9">
        <f t="shared" si="19"/>
        <v>573</v>
      </c>
      <c r="Q105" s="125" t="e">
        <f t="shared" si="17"/>
        <v>#DIV/0!</v>
      </c>
      <c r="R105"/>
    </row>
    <row r="106" spans="1:18" ht="15" customHeight="1">
      <c r="A106" s="148"/>
      <c r="E106" s="154" t="s">
        <v>70</v>
      </c>
      <c r="F106" s="155">
        <f>SUM(F101:F105)</f>
        <v>24</v>
      </c>
      <c r="G106" s="156"/>
      <c r="H106" s="157">
        <f aca="true" t="shared" si="26" ref="H106:O106">SUM(H101:H105)</f>
        <v>0</v>
      </c>
      <c r="I106" s="157">
        <f t="shared" si="26"/>
        <v>0</v>
      </c>
      <c r="J106" s="157">
        <f t="shared" si="26"/>
        <v>529</v>
      </c>
      <c r="K106" s="157">
        <f t="shared" si="26"/>
        <v>850</v>
      </c>
      <c r="L106" s="157">
        <f t="shared" si="26"/>
        <v>0</v>
      </c>
      <c r="M106" s="158">
        <f t="shared" si="26"/>
        <v>1379</v>
      </c>
      <c r="N106" s="191">
        <f t="shared" si="26"/>
        <v>1403</v>
      </c>
      <c r="O106" s="159">
        <f t="shared" si="26"/>
        <v>691</v>
      </c>
      <c r="P106" s="7">
        <f t="shared" si="19"/>
        <v>712</v>
      </c>
      <c r="Q106" s="125">
        <f t="shared" si="17"/>
        <v>1.0303907380607815</v>
      </c>
      <c r="R106"/>
    </row>
    <row r="107" spans="1:18" ht="15" customHeight="1">
      <c r="A107" s="148"/>
      <c r="F107" s="121"/>
      <c r="G107" s="122"/>
      <c r="H107" s="123"/>
      <c r="I107" s="123"/>
      <c r="J107" s="123"/>
      <c r="K107" s="123"/>
      <c r="L107" s="123"/>
      <c r="M107" s="123"/>
      <c r="N107" s="189"/>
      <c r="O107" s="124"/>
      <c r="P107" s="7">
        <f t="shared" si="19"/>
        <v>0</v>
      </c>
      <c r="Q107" s="125" t="e">
        <f t="shared" si="17"/>
        <v>#DIV/0!</v>
      </c>
      <c r="R107"/>
    </row>
    <row r="108" spans="3:18" ht="15" customHeight="1">
      <c r="C108" s="101" t="s">
        <v>523</v>
      </c>
      <c r="D108" s="101" t="s">
        <v>500</v>
      </c>
      <c r="E108" s="120" t="s">
        <v>446</v>
      </c>
      <c r="F108" s="121">
        <v>32.605</v>
      </c>
      <c r="G108" s="122"/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f aca="true" t="shared" si="27" ref="M108:M113">SUM(H108:L108)</f>
        <v>0</v>
      </c>
      <c r="N108" s="189">
        <f aca="true" t="shared" si="28" ref="N108:N113">SUM(F108:L108)</f>
        <v>32.605</v>
      </c>
      <c r="O108" s="124">
        <v>80</v>
      </c>
      <c r="P108" s="7">
        <f t="shared" si="19"/>
        <v>-47.395</v>
      </c>
      <c r="Q108" s="125">
        <f t="shared" si="17"/>
        <v>-0.5924375000000001</v>
      </c>
      <c r="R108">
        <v>7101</v>
      </c>
    </row>
    <row r="109" spans="1:18" ht="15" customHeight="1">
      <c r="A109" s="148" t="s">
        <v>447</v>
      </c>
      <c r="C109" s="101" t="s">
        <v>524</v>
      </c>
      <c r="D109" s="101" t="s">
        <v>500</v>
      </c>
      <c r="E109" s="101" t="s">
        <v>447</v>
      </c>
      <c r="F109" s="121">
        <v>75.836</v>
      </c>
      <c r="G109" s="122"/>
      <c r="H109" s="135">
        <v>2</v>
      </c>
      <c r="I109" s="135">
        <v>5</v>
      </c>
      <c r="J109" s="135">
        <v>197</v>
      </c>
      <c r="K109" s="135">
        <v>0</v>
      </c>
      <c r="L109" s="135">
        <v>0</v>
      </c>
      <c r="M109" s="123">
        <f t="shared" si="27"/>
        <v>204</v>
      </c>
      <c r="N109" s="189">
        <f t="shared" si="28"/>
        <v>279.836</v>
      </c>
      <c r="O109" s="124">
        <v>164</v>
      </c>
      <c r="P109" s="7">
        <f t="shared" si="19"/>
        <v>115.83600000000001</v>
      </c>
      <c r="Q109" s="125">
        <f t="shared" si="17"/>
        <v>0.7063170731707318</v>
      </c>
      <c r="R109">
        <v>7301</v>
      </c>
    </row>
    <row r="110" spans="1:18" ht="15" customHeight="1">
      <c r="A110" s="148" t="s">
        <v>449</v>
      </c>
      <c r="C110" s="101" t="s">
        <v>525</v>
      </c>
      <c r="D110" s="101" t="s">
        <v>500</v>
      </c>
      <c r="E110" s="101" t="s">
        <v>71</v>
      </c>
      <c r="F110" s="121">
        <v>854.9</v>
      </c>
      <c r="G110" s="122"/>
      <c r="H110" s="135">
        <v>-308</v>
      </c>
      <c r="I110" s="135">
        <v>23</v>
      </c>
      <c r="J110" s="135">
        <v>615</v>
      </c>
      <c r="K110" s="135">
        <v>857</v>
      </c>
      <c r="L110" s="135">
        <v>230</v>
      </c>
      <c r="M110" s="123">
        <f t="shared" si="27"/>
        <v>1417</v>
      </c>
      <c r="N110" s="189">
        <f t="shared" si="28"/>
        <v>2271.9</v>
      </c>
      <c r="O110" s="124">
        <v>1565</v>
      </c>
      <c r="P110" s="7">
        <f t="shared" si="19"/>
        <v>706.9000000000001</v>
      </c>
      <c r="Q110" s="125">
        <f t="shared" si="17"/>
        <v>0.45169329073482434</v>
      </c>
      <c r="R110">
        <v>7401</v>
      </c>
    </row>
    <row r="111" spans="1:18" ht="15" customHeight="1">
      <c r="A111" s="148"/>
      <c r="C111" s="101" t="s">
        <v>526</v>
      </c>
      <c r="D111" s="101" t="s">
        <v>500</v>
      </c>
      <c r="E111" s="136" t="s">
        <v>72</v>
      </c>
      <c r="F111" s="121"/>
      <c r="G111" s="122"/>
      <c r="H111" s="135">
        <v>0</v>
      </c>
      <c r="I111" s="135">
        <v>0</v>
      </c>
      <c r="J111" s="135">
        <v>336</v>
      </c>
      <c r="K111" s="135">
        <v>806</v>
      </c>
      <c r="L111" s="135">
        <v>265</v>
      </c>
      <c r="M111" s="123">
        <f t="shared" si="27"/>
        <v>1407</v>
      </c>
      <c r="N111" s="189">
        <f t="shared" si="28"/>
        <v>1407</v>
      </c>
      <c r="O111" s="124">
        <v>1111</v>
      </c>
      <c r="P111" s="139">
        <f t="shared" si="19"/>
        <v>296</v>
      </c>
      <c r="Q111" s="125">
        <f t="shared" si="17"/>
        <v>0.2664266426642664</v>
      </c>
      <c r="R111">
        <v>7501</v>
      </c>
    </row>
    <row r="112" spans="1:18" ht="15" customHeight="1">
      <c r="A112" s="148"/>
      <c r="C112" s="101" t="s">
        <v>526</v>
      </c>
      <c r="D112" s="101" t="s">
        <v>500</v>
      </c>
      <c r="E112" s="136" t="s">
        <v>73</v>
      </c>
      <c r="F112" s="121"/>
      <c r="G112" s="122"/>
      <c r="H112" s="135">
        <v>0</v>
      </c>
      <c r="I112" s="135">
        <v>0</v>
      </c>
      <c r="J112" s="135">
        <v>1668</v>
      </c>
      <c r="K112" s="135">
        <v>2205</v>
      </c>
      <c r="L112" s="135">
        <v>638</v>
      </c>
      <c r="M112" s="123">
        <f t="shared" si="27"/>
        <v>4511</v>
      </c>
      <c r="N112" s="189">
        <f t="shared" si="28"/>
        <v>4511</v>
      </c>
      <c r="O112" s="124">
        <v>1254</v>
      </c>
      <c r="P112" s="139">
        <f t="shared" si="19"/>
        <v>3257</v>
      </c>
      <c r="Q112" s="125">
        <f t="shared" si="17"/>
        <v>2.5972886762360448</v>
      </c>
      <c r="R112">
        <v>7503</v>
      </c>
    </row>
    <row r="113" spans="1:18" ht="15" customHeight="1" thickBot="1">
      <c r="A113" s="148"/>
      <c r="C113" s="101" t="s">
        <v>527</v>
      </c>
      <c r="D113" s="101" t="s">
        <v>500</v>
      </c>
      <c r="E113" s="101" t="s">
        <v>74</v>
      </c>
      <c r="F113" s="160"/>
      <c r="G113" s="161"/>
      <c r="H113" s="128">
        <v>0</v>
      </c>
      <c r="I113" s="128">
        <v>0</v>
      </c>
      <c r="J113" s="128">
        <v>207</v>
      </c>
      <c r="K113" s="128">
        <v>205</v>
      </c>
      <c r="L113" s="128">
        <v>0</v>
      </c>
      <c r="M113" s="162">
        <f t="shared" si="27"/>
        <v>412</v>
      </c>
      <c r="N113" s="194">
        <f t="shared" si="28"/>
        <v>412</v>
      </c>
      <c r="O113" s="124">
        <v>238</v>
      </c>
      <c r="P113" s="7">
        <f t="shared" si="19"/>
        <v>174</v>
      </c>
      <c r="Q113" s="125">
        <f t="shared" si="17"/>
        <v>0.7310924369747899</v>
      </c>
      <c r="R113">
        <v>7601</v>
      </c>
    </row>
    <row r="114" spans="1:18" ht="15" customHeight="1">
      <c r="A114" s="148"/>
      <c r="E114" s="154" t="s">
        <v>75</v>
      </c>
      <c r="F114" s="155">
        <f>SUM(F108:F113)</f>
        <v>963.341</v>
      </c>
      <c r="G114" s="156"/>
      <c r="H114" s="157">
        <f aca="true" t="shared" si="29" ref="H114:O114">SUM(H108:H113)</f>
        <v>-306</v>
      </c>
      <c r="I114" s="157">
        <f t="shared" si="29"/>
        <v>28</v>
      </c>
      <c r="J114" s="157">
        <f t="shared" si="29"/>
        <v>3023</v>
      </c>
      <c r="K114" s="157">
        <f t="shared" si="29"/>
        <v>4073</v>
      </c>
      <c r="L114" s="157">
        <f t="shared" si="29"/>
        <v>1133</v>
      </c>
      <c r="M114" s="158">
        <f t="shared" si="29"/>
        <v>7951</v>
      </c>
      <c r="N114" s="191">
        <f t="shared" si="29"/>
        <v>8914.341</v>
      </c>
      <c r="O114" s="159">
        <f t="shared" si="29"/>
        <v>4412</v>
      </c>
      <c r="P114" s="7">
        <f t="shared" si="19"/>
        <v>4502.341</v>
      </c>
      <c r="Q114" s="125">
        <f t="shared" si="17"/>
        <v>1.0204762012692656</v>
      </c>
      <c r="R114"/>
    </row>
    <row r="115" spans="1:18" ht="15" customHeight="1">
      <c r="A115" s="148"/>
      <c r="F115" s="121"/>
      <c r="G115" s="122"/>
      <c r="H115" s="123"/>
      <c r="I115" s="123"/>
      <c r="J115" s="123"/>
      <c r="K115" s="123"/>
      <c r="L115" s="123"/>
      <c r="M115" s="123"/>
      <c r="N115" s="189"/>
      <c r="O115" s="124"/>
      <c r="P115" s="7">
        <f t="shared" si="19"/>
        <v>0</v>
      </c>
      <c r="Q115" s="125" t="e">
        <f t="shared" si="17"/>
        <v>#DIV/0!</v>
      </c>
      <c r="R115"/>
    </row>
    <row r="116" spans="1:18" ht="15" customHeight="1">
      <c r="A116" s="120" t="s">
        <v>312</v>
      </c>
      <c r="C116" s="101" t="s">
        <v>528</v>
      </c>
      <c r="D116" s="101" t="s">
        <v>377</v>
      </c>
      <c r="E116" s="136" t="s">
        <v>76</v>
      </c>
      <c r="F116" s="146">
        <f>2829.4-7</f>
        <v>2822.4</v>
      </c>
      <c r="G116" s="138" t="s">
        <v>231</v>
      </c>
      <c r="H116" s="123">
        <v>278</v>
      </c>
      <c r="I116" s="123">
        <v>1034</v>
      </c>
      <c r="J116" s="123">
        <v>1158</v>
      </c>
      <c r="K116" s="123">
        <v>1074</v>
      </c>
      <c r="L116" s="123">
        <v>299</v>
      </c>
      <c r="M116" s="123">
        <f aca="true" t="shared" si="30" ref="M116:M127">SUM(H116:L116)</f>
        <v>3843</v>
      </c>
      <c r="N116" s="189">
        <f aca="true" t="shared" si="31" ref="N116:N127">SUM(F116:L116)</f>
        <v>6665.4</v>
      </c>
      <c r="O116" s="124">
        <v>4197</v>
      </c>
      <c r="P116" s="139">
        <f t="shared" si="19"/>
        <v>2468.3999999999996</v>
      </c>
      <c r="Q116" s="125">
        <f t="shared" si="17"/>
        <v>0.588134381701215</v>
      </c>
      <c r="R116">
        <v>8101</v>
      </c>
    </row>
    <row r="117" spans="1:18" ht="15" customHeight="1">
      <c r="A117" s="120" t="s">
        <v>313</v>
      </c>
      <c r="D117" s="101" t="s">
        <v>377</v>
      </c>
      <c r="E117" s="136" t="s">
        <v>77</v>
      </c>
      <c r="F117" s="121">
        <v>553.747</v>
      </c>
      <c r="G117" s="122"/>
      <c r="H117" s="123">
        <v>60</v>
      </c>
      <c r="I117" s="123">
        <v>159</v>
      </c>
      <c r="J117" s="123">
        <v>159</v>
      </c>
      <c r="K117" s="123">
        <v>102</v>
      </c>
      <c r="L117" s="123">
        <v>19</v>
      </c>
      <c r="M117" s="123">
        <f t="shared" si="30"/>
        <v>499</v>
      </c>
      <c r="N117" s="189">
        <f t="shared" si="31"/>
        <v>1052.7469999999998</v>
      </c>
      <c r="O117" s="124">
        <v>387</v>
      </c>
      <c r="P117" s="139">
        <f t="shared" si="19"/>
        <v>665.7469999999998</v>
      </c>
      <c r="Q117" s="125">
        <f t="shared" si="17"/>
        <v>1.7202764857881132</v>
      </c>
      <c r="R117">
        <v>8102</v>
      </c>
    </row>
    <row r="118" spans="1:18" ht="15" customHeight="1">
      <c r="A118" s="120" t="s">
        <v>314</v>
      </c>
      <c r="C118" s="101" t="s">
        <v>529</v>
      </c>
      <c r="D118" s="101" t="s">
        <v>499</v>
      </c>
      <c r="E118" s="136" t="s">
        <v>78</v>
      </c>
      <c r="F118" s="146">
        <f>2653.4-7</f>
        <v>2646.4</v>
      </c>
      <c r="G118" s="138" t="s">
        <v>231</v>
      </c>
      <c r="H118" s="123">
        <v>476</v>
      </c>
      <c r="I118" s="123">
        <v>665</v>
      </c>
      <c r="J118" s="123">
        <v>663</v>
      </c>
      <c r="K118" s="123">
        <v>660</v>
      </c>
      <c r="L118" s="123">
        <v>185</v>
      </c>
      <c r="M118" s="123">
        <f t="shared" si="30"/>
        <v>2649</v>
      </c>
      <c r="N118" s="189">
        <f t="shared" si="31"/>
        <v>5295.4</v>
      </c>
      <c r="O118" s="124">
        <v>2835</v>
      </c>
      <c r="P118" s="139">
        <f t="shared" si="19"/>
        <v>2460.3999999999996</v>
      </c>
      <c r="Q118" s="125">
        <f t="shared" si="17"/>
        <v>0.8678659611992944</v>
      </c>
      <c r="R118">
        <v>8202</v>
      </c>
    </row>
    <row r="119" spans="1:18" ht="15" customHeight="1">
      <c r="A119" s="120" t="s">
        <v>315</v>
      </c>
      <c r="D119" s="101" t="s">
        <v>499</v>
      </c>
      <c r="E119" s="106" t="s">
        <v>79</v>
      </c>
      <c r="F119" s="146">
        <f>988.511-3</f>
        <v>985.511</v>
      </c>
      <c r="G119" s="138" t="s">
        <v>231</v>
      </c>
      <c r="H119" s="123">
        <v>160</v>
      </c>
      <c r="I119" s="123">
        <v>377</v>
      </c>
      <c r="J119" s="123">
        <v>376</v>
      </c>
      <c r="K119" s="123">
        <v>374</v>
      </c>
      <c r="L119" s="123">
        <v>121</v>
      </c>
      <c r="M119" s="123">
        <f t="shared" si="30"/>
        <v>1408</v>
      </c>
      <c r="N119" s="189">
        <f t="shared" si="31"/>
        <v>2393.511</v>
      </c>
      <c r="O119" s="124">
        <v>1116</v>
      </c>
      <c r="P119" s="147">
        <f t="shared" si="19"/>
        <v>1277.511</v>
      </c>
      <c r="Q119" s="125">
        <f t="shared" si="17"/>
        <v>1.1447231182795699</v>
      </c>
      <c r="R119">
        <v>8203</v>
      </c>
    </row>
    <row r="120" spans="1:18" ht="15" customHeight="1">
      <c r="A120" s="120" t="s">
        <v>316</v>
      </c>
      <c r="D120" s="101" t="s">
        <v>499</v>
      </c>
      <c r="E120" s="106" t="s">
        <v>80</v>
      </c>
      <c r="F120" s="146">
        <f>1283.406-7</f>
        <v>1276.406</v>
      </c>
      <c r="G120" s="138" t="s">
        <v>231</v>
      </c>
      <c r="H120" s="123">
        <v>181</v>
      </c>
      <c r="I120" s="123">
        <v>295</v>
      </c>
      <c r="J120" s="123">
        <v>293</v>
      </c>
      <c r="K120" s="123">
        <v>292</v>
      </c>
      <c r="L120" s="123">
        <v>93</v>
      </c>
      <c r="M120" s="123">
        <f t="shared" si="30"/>
        <v>1154</v>
      </c>
      <c r="N120" s="189">
        <f t="shared" si="31"/>
        <v>2430.406</v>
      </c>
      <c r="O120" s="124">
        <v>601</v>
      </c>
      <c r="P120" s="147">
        <f t="shared" si="19"/>
        <v>1829.406</v>
      </c>
      <c r="Q120" s="125">
        <f t="shared" si="17"/>
        <v>3.043936772046589</v>
      </c>
      <c r="R120">
        <v>8204</v>
      </c>
    </row>
    <row r="121" spans="1:18" ht="15" customHeight="1">
      <c r="A121" s="120" t="s">
        <v>319</v>
      </c>
      <c r="D121" s="101" t="s">
        <v>499</v>
      </c>
      <c r="E121" s="101" t="s">
        <v>81</v>
      </c>
      <c r="F121" s="121">
        <v>301.9</v>
      </c>
      <c r="G121" s="122"/>
      <c r="H121" s="123">
        <v>102</v>
      </c>
      <c r="I121" s="123">
        <v>266</v>
      </c>
      <c r="J121" s="123">
        <v>162</v>
      </c>
      <c r="K121" s="123">
        <v>56</v>
      </c>
      <c r="L121" s="123">
        <v>12</v>
      </c>
      <c r="M121" s="123">
        <f t="shared" si="30"/>
        <v>598</v>
      </c>
      <c r="N121" s="189">
        <f t="shared" si="31"/>
        <v>899.9</v>
      </c>
      <c r="O121" s="124">
        <v>332</v>
      </c>
      <c r="P121" s="7">
        <f t="shared" si="19"/>
        <v>567.9</v>
      </c>
      <c r="Q121" s="125">
        <f t="shared" si="17"/>
        <v>1.7105421686746987</v>
      </c>
      <c r="R121">
        <v>8205</v>
      </c>
    </row>
    <row r="122" spans="1:17" ht="15" customHeight="1">
      <c r="A122" s="120" t="s">
        <v>230</v>
      </c>
      <c r="D122" s="101" t="s">
        <v>499</v>
      </c>
      <c r="E122" s="101" t="s">
        <v>82</v>
      </c>
      <c r="F122" s="121">
        <v>37.646</v>
      </c>
      <c r="G122" s="122"/>
      <c r="H122" s="123">
        <v>19</v>
      </c>
      <c r="I122" s="123">
        <v>0</v>
      </c>
      <c r="J122" s="123">
        <v>0</v>
      </c>
      <c r="K122" s="123">
        <v>0</v>
      </c>
      <c r="L122" s="123">
        <v>0</v>
      </c>
      <c r="M122" s="123">
        <f t="shared" si="30"/>
        <v>19</v>
      </c>
      <c r="N122" s="189">
        <f t="shared" si="31"/>
        <v>56.646</v>
      </c>
      <c r="P122" s="7">
        <f t="shared" si="19"/>
        <v>56.646</v>
      </c>
      <c r="Q122" s="125" t="e">
        <f t="shared" si="17"/>
        <v>#DIV/0!</v>
      </c>
    </row>
    <row r="123" spans="1:17" ht="15" customHeight="1">
      <c r="A123" s="120"/>
      <c r="D123" s="101" t="s">
        <v>499</v>
      </c>
      <c r="E123" s="101" t="s">
        <v>83</v>
      </c>
      <c r="F123" s="121"/>
      <c r="G123" s="122"/>
      <c r="H123" s="123">
        <v>15</v>
      </c>
      <c r="I123" s="123">
        <v>32</v>
      </c>
      <c r="J123" s="123">
        <v>32</v>
      </c>
      <c r="K123" s="123">
        <v>32</v>
      </c>
      <c r="L123" s="123">
        <v>10</v>
      </c>
      <c r="M123" s="123">
        <f t="shared" si="30"/>
        <v>121</v>
      </c>
      <c r="N123" s="189">
        <f t="shared" si="31"/>
        <v>121</v>
      </c>
      <c r="P123" s="7">
        <f t="shared" si="19"/>
        <v>121</v>
      </c>
      <c r="Q123" s="125" t="e">
        <f t="shared" si="17"/>
        <v>#DIV/0!</v>
      </c>
    </row>
    <row r="124" spans="1:18" ht="15" customHeight="1">
      <c r="A124" s="120"/>
      <c r="D124" s="101" t="s">
        <v>377</v>
      </c>
      <c r="E124" s="101" t="s">
        <v>84</v>
      </c>
      <c r="F124" s="146">
        <f>1419.99-4</f>
        <v>1415.99</v>
      </c>
      <c r="G124" s="138" t="s">
        <v>231</v>
      </c>
      <c r="H124" s="123">
        <v>144</v>
      </c>
      <c r="I124" s="123">
        <v>384</v>
      </c>
      <c r="J124" s="123">
        <v>406</v>
      </c>
      <c r="K124" s="123">
        <v>431</v>
      </c>
      <c r="L124" s="123">
        <v>88</v>
      </c>
      <c r="M124" s="123">
        <f t="shared" si="30"/>
        <v>1453</v>
      </c>
      <c r="N124" s="189">
        <f t="shared" si="31"/>
        <v>2868.99</v>
      </c>
      <c r="O124" s="124">
        <v>1577</v>
      </c>
      <c r="P124" s="7">
        <f t="shared" si="19"/>
        <v>1291.9899999999998</v>
      </c>
      <c r="Q124" s="125">
        <f t="shared" si="17"/>
        <v>0.8192707672796448</v>
      </c>
      <c r="R124">
        <v>8998</v>
      </c>
    </row>
    <row r="125" spans="3:18" ht="15" customHeight="1">
      <c r="C125" s="101" t="s">
        <v>530</v>
      </c>
      <c r="D125" s="101" t="s">
        <v>377</v>
      </c>
      <c r="E125" s="120" t="s">
        <v>333</v>
      </c>
      <c r="F125" s="121">
        <v>323.9</v>
      </c>
      <c r="G125" s="122"/>
      <c r="H125" s="123"/>
      <c r="I125" s="123"/>
      <c r="J125" s="123"/>
      <c r="K125" s="123"/>
      <c r="L125" s="123"/>
      <c r="M125" s="123">
        <f t="shared" si="30"/>
        <v>0</v>
      </c>
      <c r="N125" s="189">
        <f t="shared" si="31"/>
        <v>323.9</v>
      </c>
      <c r="O125" s="124">
        <v>324</v>
      </c>
      <c r="P125" s="7">
        <f t="shared" si="19"/>
        <v>-0.10000000000002274</v>
      </c>
      <c r="Q125" s="125">
        <f t="shared" si="17"/>
        <v>-0.00030864197530871217</v>
      </c>
      <c r="R125">
        <v>8401</v>
      </c>
    </row>
    <row r="126" spans="4:18" ht="15" customHeight="1">
      <c r="D126" s="101" t="s">
        <v>377</v>
      </c>
      <c r="E126" s="120" t="s">
        <v>317</v>
      </c>
      <c r="F126" s="121">
        <v>146.46699999999998</v>
      </c>
      <c r="G126" s="122"/>
      <c r="H126" s="123"/>
      <c r="I126" s="123"/>
      <c r="J126" s="123"/>
      <c r="K126" s="123"/>
      <c r="L126" s="123"/>
      <c r="M126" s="123">
        <f t="shared" si="30"/>
        <v>0</v>
      </c>
      <c r="N126" s="189">
        <f t="shared" si="31"/>
        <v>146.46699999999998</v>
      </c>
      <c r="O126" s="124">
        <v>146</v>
      </c>
      <c r="P126" s="7">
        <f t="shared" si="19"/>
        <v>0.46699999999998454</v>
      </c>
      <c r="Q126" s="125">
        <f t="shared" si="17"/>
        <v>0.0031986301369861954</v>
      </c>
      <c r="R126">
        <v>8402</v>
      </c>
    </row>
    <row r="127" spans="3:18" ht="15" customHeight="1" thickBot="1">
      <c r="C127" s="101" t="s">
        <v>439</v>
      </c>
      <c r="D127" s="101" t="s">
        <v>376</v>
      </c>
      <c r="E127" s="101" t="s">
        <v>85</v>
      </c>
      <c r="F127" s="160"/>
      <c r="G127" s="161"/>
      <c r="H127" s="162">
        <v>0</v>
      </c>
      <c r="I127" s="162">
        <v>0</v>
      </c>
      <c r="J127" s="162">
        <v>276</v>
      </c>
      <c r="K127" s="162">
        <v>70</v>
      </c>
      <c r="L127" s="162">
        <v>419</v>
      </c>
      <c r="M127" s="162">
        <f t="shared" si="30"/>
        <v>765</v>
      </c>
      <c r="N127" s="194">
        <f t="shared" si="31"/>
        <v>765</v>
      </c>
      <c r="O127" s="124">
        <v>1189</v>
      </c>
      <c r="P127" s="7">
        <f t="shared" si="19"/>
        <v>-424</v>
      </c>
      <c r="Q127" s="125">
        <f t="shared" si="17"/>
        <v>-0.3566021867115223</v>
      </c>
      <c r="R127">
        <v>8501</v>
      </c>
    </row>
    <row r="128" spans="1:17" ht="15" customHeight="1" thickBot="1">
      <c r="A128" s="120" t="s">
        <v>440</v>
      </c>
      <c r="E128" s="154" t="s">
        <v>86</v>
      </c>
      <c r="F128" s="163">
        <f>SUM(F116:F127)</f>
        <v>10510.367</v>
      </c>
      <c r="G128" s="164"/>
      <c r="H128" s="165">
        <f aca="true" t="shared" si="32" ref="H128:O128">SUM(H116:H127)</f>
        <v>1435</v>
      </c>
      <c r="I128" s="165">
        <f t="shared" si="32"/>
        <v>3212</v>
      </c>
      <c r="J128" s="165">
        <f t="shared" si="32"/>
        <v>3525</v>
      </c>
      <c r="K128" s="165">
        <f t="shared" si="32"/>
        <v>3091</v>
      </c>
      <c r="L128" s="165">
        <f t="shared" si="32"/>
        <v>1246</v>
      </c>
      <c r="M128" s="166">
        <f t="shared" si="32"/>
        <v>12509</v>
      </c>
      <c r="N128" s="195">
        <f t="shared" si="32"/>
        <v>23019.367000000002</v>
      </c>
      <c r="O128" s="167">
        <f t="shared" si="32"/>
        <v>12704</v>
      </c>
      <c r="P128" s="7">
        <f t="shared" si="19"/>
        <v>10315.367000000002</v>
      </c>
      <c r="Q128" s="125">
        <f t="shared" si="17"/>
        <v>0.8119778809823679</v>
      </c>
    </row>
    <row r="129" spans="5:18" ht="18.75" thickTop="1">
      <c r="E129" s="168" t="s">
        <v>428</v>
      </c>
      <c r="F129" s="169">
        <f>SUM(F128,F114,F106,F99,F90,F83,F77,F71)</f>
        <v>67103.138</v>
      </c>
      <c r="G129" s="170"/>
      <c r="H129" s="169">
        <f aca="true" t="shared" si="33" ref="H129:O129">SUM(H128,H114,H106,H99,H90,H83,H77,H71)</f>
        <v>6120</v>
      </c>
      <c r="I129" s="169">
        <f t="shared" si="33"/>
        <v>14483</v>
      </c>
      <c r="J129" s="169">
        <f t="shared" si="33"/>
        <v>15068</v>
      </c>
      <c r="K129" s="169">
        <f t="shared" si="33"/>
        <v>12581</v>
      </c>
      <c r="L129" s="169">
        <f t="shared" si="33"/>
        <v>2602</v>
      </c>
      <c r="M129" s="169">
        <f t="shared" si="33"/>
        <v>50854</v>
      </c>
      <c r="N129" s="192">
        <f t="shared" si="33"/>
        <v>117957.13799999998</v>
      </c>
      <c r="O129" s="171">
        <f t="shared" si="33"/>
        <v>79592</v>
      </c>
      <c r="P129" s="7">
        <f t="shared" si="19"/>
        <v>38365.13799999998</v>
      </c>
      <c r="Q129" s="125">
        <f t="shared" si="17"/>
        <v>0.48202253995376393</v>
      </c>
      <c r="R129" s="169"/>
    </row>
    <row r="130" spans="5:18" ht="18">
      <c r="E130" s="172" t="s">
        <v>327</v>
      </c>
      <c r="F130" s="173">
        <v>75</v>
      </c>
      <c r="G130" s="174"/>
      <c r="H130" s="123"/>
      <c r="I130" s="123"/>
      <c r="J130" s="123"/>
      <c r="K130" s="123"/>
      <c r="L130" s="123"/>
      <c r="M130" s="123"/>
      <c r="N130" s="192">
        <f>SUM(F130)</f>
        <v>75</v>
      </c>
      <c r="R130" s="175"/>
    </row>
    <row r="131" spans="3:18" ht="18">
      <c r="C131" s="101" t="s">
        <v>531</v>
      </c>
      <c r="E131" s="168" t="s">
        <v>228</v>
      </c>
      <c r="F131" s="169"/>
      <c r="G131" s="170"/>
      <c r="H131" s="176">
        <v>144</v>
      </c>
      <c r="I131" s="176">
        <v>2205</v>
      </c>
      <c r="J131" s="176">
        <v>3492</v>
      </c>
      <c r="K131" s="176">
        <v>4450</v>
      </c>
      <c r="L131" s="176">
        <v>4089</v>
      </c>
      <c r="M131" s="176">
        <f>SUM(H131:L131)</f>
        <v>14380</v>
      </c>
      <c r="N131" s="192">
        <f>+M131</f>
        <v>14380</v>
      </c>
      <c r="O131" s="171">
        <v>12804</v>
      </c>
      <c r="R131" s="175"/>
    </row>
    <row r="132" spans="6:18" ht="18">
      <c r="F132" s="177"/>
      <c r="G132" s="174"/>
      <c r="H132" s="123"/>
      <c r="I132" s="123"/>
      <c r="J132" s="123"/>
      <c r="K132" s="123"/>
      <c r="L132" s="123"/>
      <c r="M132" s="123"/>
      <c r="N132" s="189"/>
      <c r="R132" s="175"/>
    </row>
    <row r="133" spans="5:18" ht="18">
      <c r="E133" s="168" t="s">
        <v>428</v>
      </c>
      <c r="F133" s="169">
        <f>SUM(F129:F131)</f>
        <v>67178.138</v>
      </c>
      <c r="G133" s="170"/>
      <c r="H133" s="178">
        <f aca="true" t="shared" si="34" ref="H133:N133">SUM(H129:H131)</f>
        <v>6264</v>
      </c>
      <c r="I133" s="176">
        <f t="shared" si="34"/>
        <v>16688</v>
      </c>
      <c r="J133" s="176">
        <f t="shared" si="34"/>
        <v>18560</v>
      </c>
      <c r="K133" s="176">
        <f t="shared" si="34"/>
        <v>17031</v>
      </c>
      <c r="L133" s="176">
        <f t="shared" si="34"/>
        <v>6691</v>
      </c>
      <c r="M133" s="176">
        <f t="shared" si="34"/>
        <v>65234</v>
      </c>
      <c r="N133" s="192">
        <f t="shared" si="34"/>
        <v>132412.13799999998</v>
      </c>
      <c r="O133" s="171">
        <f>SUM(O129:O131)+5</f>
        <v>92401</v>
      </c>
      <c r="R133" s="175"/>
    </row>
    <row r="134" spans="6:18" ht="18">
      <c r="F134" s="177"/>
      <c r="G134" s="174"/>
      <c r="H134" s="123"/>
      <c r="I134" s="123"/>
      <c r="J134" s="123"/>
      <c r="K134" s="123"/>
      <c r="L134" s="123"/>
      <c r="M134" s="123"/>
      <c r="N134" s="189"/>
      <c r="R134" s="175"/>
    </row>
    <row r="135" spans="5:18" ht="18">
      <c r="E135" s="179" t="s">
        <v>375</v>
      </c>
      <c r="F135" s="180"/>
      <c r="G135" s="180"/>
      <c r="H135" s="180"/>
      <c r="I135" s="123"/>
      <c r="J135" s="123"/>
      <c r="K135" s="123"/>
      <c r="L135" s="123"/>
      <c r="M135" s="123"/>
      <c r="N135" s="189"/>
      <c r="P135" s="175">
        <f>SUM(P116:P120,P111:P112,P105,P65:P67,P61,P50,P43,P39,P34,P22)</f>
        <v>30463.292999999998</v>
      </c>
      <c r="Q135" s="175"/>
      <c r="R135" s="181">
        <f>+P135/P129</f>
        <v>0.7940357988546793</v>
      </c>
    </row>
    <row r="136" spans="6:18" ht="18">
      <c r="F136" s="177"/>
      <c r="G136" s="174"/>
      <c r="H136" s="123"/>
      <c r="I136" s="123"/>
      <c r="J136" s="123"/>
      <c r="K136" s="123"/>
      <c r="L136" s="123"/>
      <c r="M136" s="123"/>
      <c r="N136" s="189"/>
      <c r="R136" s="175"/>
    </row>
    <row r="137" spans="6:18" ht="18">
      <c r="F137" s="177"/>
      <c r="G137" s="174"/>
      <c r="H137" s="123"/>
      <c r="I137" s="123"/>
      <c r="J137" s="123"/>
      <c r="K137" s="123"/>
      <c r="L137" s="123"/>
      <c r="M137" s="123"/>
      <c r="N137" s="189"/>
      <c r="R137" s="175"/>
    </row>
    <row r="138" spans="6:18" ht="18">
      <c r="F138" s="177"/>
      <c r="G138" s="174"/>
      <c r="H138" s="123"/>
      <c r="I138" s="123"/>
      <c r="J138" s="123"/>
      <c r="K138" s="123"/>
      <c r="L138" s="123"/>
      <c r="M138" s="123"/>
      <c r="N138" s="189"/>
      <c r="R138" s="175"/>
    </row>
    <row r="139" spans="4:18" ht="18">
      <c r="D139" s="101" t="s">
        <v>377</v>
      </c>
      <c r="F139" s="177">
        <f>SUMIF($D$4:$D$127,"Jim",F$4:F$127)</f>
        <v>5262.503999999999</v>
      </c>
      <c r="G139" s="174"/>
      <c r="H139" s="123">
        <f aca="true" t="shared" si="35" ref="H139:P139">SUMIF($D$4:$D$127,"Jim",H$4:H$127)</f>
        <v>482</v>
      </c>
      <c r="I139" s="123">
        <f t="shared" si="35"/>
        <v>1577</v>
      </c>
      <c r="J139" s="123">
        <f t="shared" si="35"/>
        <v>1723</v>
      </c>
      <c r="K139" s="123">
        <f t="shared" si="35"/>
        <v>1607</v>
      </c>
      <c r="L139" s="123">
        <f t="shared" si="35"/>
        <v>406</v>
      </c>
      <c r="M139" s="123">
        <f t="shared" si="35"/>
        <v>5795</v>
      </c>
      <c r="N139" s="189">
        <f t="shared" si="35"/>
        <v>11057.503999999999</v>
      </c>
      <c r="O139" s="106">
        <f t="shared" si="35"/>
        <v>6631</v>
      </c>
      <c r="P139" s="101">
        <f t="shared" si="35"/>
        <v>4426.503999999998</v>
      </c>
      <c r="R139" s="175"/>
    </row>
    <row r="140" spans="4:16" ht="18">
      <c r="D140" s="101" t="s">
        <v>500</v>
      </c>
      <c r="F140" s="177">
        <f>SUMIF($D$4:$D$127,"Larry",F$4:F$127)</f>
        <v>20428.331000000006</v>
      </c>
      <c r="G140" s="174"/>
      <c r="H140" s="123">
        <f aca="true" t="shared" si="36" ref="H140:P140">SUMIF($D$4:$D$127,"Larry",H$4:H$127)</f>
        <v>2748</v>
      </c>
      <c r="I140" s="123">
        <f t="shared" si="36"/>
        <v>6786</v>
      </c>
      <c r="J140" s="123">
        <f t="shared" si="36"/>
        <v>7718</v>
      </c>
      <c r="K140" s="123">
        <f t="shared" si="36"/>
        <v>5881</v>
      </c>
      <c r="L140" s="123">
        <f t="shared" si="36"/>
        <v>1133</v>
      </c>
      <c r="M140" s="123">
        <f t="shared" si="36"/>
        <v>24266</v>
      </c>
      <c r="N140" s="189">
        <f t="shared" si="36"/>
        <v>44694.33100000001</v>
      </c>
      <c r="O140" s="106">
        <f t="shared" si="36"/>
        <v>25685</v>
      </c>
      <c r="P140" s="101">
        <f t="shared" si="36"/>
        <v>19009.331</v>
      </c>
    </row>
    <row r="141" spans="4:16" ht="18">
      <c r="D141" s="101" t="s">
        <v>499</v>
      </c>
      <c r="F141" s="177">
        <f>SUMIF($D$4:$D$127,"Phil",F$4:F$127)</f>
        <v>40659.653000000006</v>
      </c>
      <c r="G141" s="174"/>
      <c r="H141" s="123">
        <f aca="true" t="shared" si="37" ref="H141:P141">SUMIF($D$4:$D$127,"Phil",H$4:H$127)</f>
        <v>2987</v>
      </c>
      <c r="I141" s="123">
        <f t="shared" si="37"/>
        <v>6085</v>
      </c>
      <c r="J141" s="123">
        <f t="shared" si="37"/>
        <v>4151</v>
      </c>
      <c r="K141" s="123">
        <f t="shared" si="37"/>
        <v>2653</v>
      </c>
      <c r="L141" s="123">
        <f t="shared" si="37"/>
        <v>591</v>
      </c>
      <c r="M141" s="123">
        <f t="shared" si="37"/>
        <v>16467</v>
      </c>
      <c r="N141" s="189">
        <f t="shared" si="37"/>
        <v>57126.653</v>
      </c>
      <c r="O141" s="106">
        <f t="shared" si="37"/>
        <v>40736</v>
      </c>
      <c r="P141" s="101">
        <f t="shared" si="37"/>
        <v>16390.653</v>
      </c>
    </row>
    <row r="142" spans="4:16" ht="18">
      <c r="D142" s="101" t="s">
        <v>378</v>
      </c>
      <c r="F142" s="177">
        <f>SUMIF($D$4:$D$127,"Al",F$4:F$127)</f>
        <v>752.65</v>
      </c>
      <c r="G142" s="174"/>
      <c r="H142" s="123">
        <f aca="true" t="shared" si="38" ref="H142:P142">SUMIF($D$4:$D$127,"Al",H$4:H$127)</f>
        <v>-97</v>
      </c>
      <c r="I142" s="123">
        <f t="shared" si="38"/>
        <v>35</v>
      </c>
      <c r="J142" s="123">
        <f t="shared" si="38"/>
        <v>1476</v>
      </c>
      <c r="K142" s="123">
        <f t="shared" si="38"/>
        <v>2440</v>
      </c>
      <c r="L142" s="123">
        <f t="shared" si="38"/>
        <v>472</v>
      </c>
      <c r="M142" s="123">
        <f t="shared" si="38"/>
        <v>4326</v>
      </c>
      <c r="N142" s="189">
        <f t="shared" si="38"/>
        <v>5078.650000000001</v>
      </c>
      <c r="O142" s="106">
        <f t="shared" si="38"/>
        <v>6540</v>
      </c>
      <c r="P142" s="101">
        <f t="shared" si="38"/>
        <v>-1461.3500000000001</v>
      </c>
    </row>
    <row r="143" spans="6:14" ht="18">
      <c r="F143" s="177"/>
      <c r="G143" s="174"/>
      <c r="H143" s="123"/>
      <c r="I143" s="123"/>
      <c r="J143" s="123"/>
      <c r="K143" s="123"/>
      <c r="L143" s="123"/>
      <c r="M143" s="123"/>
      <c r="N143" s="189"/>
    </row>
    <row r="144" spans="6:18" ht="18">
      <c r="F144" s="177">
        <f>SUM(F139:F143)</f>
        <v>67103.138</v>
      </c>
      <c r="G144" s="174"/>
      <c r="H144" s="123">
        <f aca="true" t="shared" si="39" ref="H144:P144">SUM(H139:H143)</f>
        <v>6120</v>
      </c>
      <c r="I144" s="123">
        <f t="shared" si="39"/>
        <v>14483</v>
      </c>
      <c r="J144" s="123">
        <f t="shared" si="39"/>
        <v>15068</v>
      </c>
      <c r="K144" s="123">
        <f t="shared" si="39"/>
        <v>12581</v>
      </c>
      <c r="L144" s="123">
        <f t="shared" si="39"/>
        <v>2602</v>
      </c>
      <c r="M144" s="123">
        <f t="shared" si="39"/>
        <v>50854</v>
      </c>
      <c r="N144" s="189">
        <f t="shared" si="39"/>
        <v>117957.138</v>
      </c>
      <c r="O144" s="106">
        <f t="shared" si="39"/>
        <v>79592</v>
      </c>
      <c r="P144" s="101">
        <f t="shared" si="39"/>
        <v>38365.138</v>
      </c>
      <c r="R144" s="23"/>
    </row>
    <row r="145" spans="6:18" ht="18">
      <c r="F145" s="177"/>
      <c r="G145" s="174"/>
      <c r="H145" s="123"/>
      <c r="I145" s="123"/>
      <c r="J145" s="123"/>
      <c r="K145" s="123"/>
      <c r="L145" s="123"/>
      <c r="M145" s="123"/>
      <c r="N145" s="189"/>
      <c r="R145" s="23"/>
    </row>
    <row r="146" spans="6:18" ht="18">
      <c r="F146" s="121"/>
      <c r="G146" s="122"/>
      <c r="H146" s="123"/>
      <c r="I146" s="123"/>
      <c r="J146" s="123"/>
      <c r="K146" s="123"/>
      <c r="L146" s="123"/>
      <c r="M146" s="123"/>
      <c r="N146" s="189"/>
      <c r="R146" s="175"/>
    </row>
    <row r="147" spans="6:18" ht="18">
      <c r="F147" s="177"/>
      <c r="G147" s="174"/>
      <c r="H147" s="123"/>
      <c r="I147" s="123"/>
      <c r="J147" s="123"/>
      <c r="K147" s="123"/>
      <c r="L147" s="123"/>
      <c r="M147" s="123"/>
      <c r="N147" s="189"/>
      <c r="R147" s="175"/>
    </row>
    <row r="148" spans="6:18" ht="18">
      <c r="F148" s="177"/>
      <c r="G148" s="174"/>
      <c r="H148" s="123"/>
      <c r="I148" s="123"/>
      <c r="J148" s="123"/>
      <c r="K148" s="123"/>
      <c r="L148" s="123"/>
      <c r="M148" s="123"/>
      <c r="N148" s="189"/>
      <c r="R148" s="175"/>
    </row>
    <row r="149" spans="6:18" ht="18">
      <c r="F149" s="177"/>
      <c r="G149" s="174"/>
      <c r="H149" s="123"/>
      <c r="I149" s="123"/>
      <c r="J149" s="123"/>
      <c r="K149" s="123"/>
      <c r="L149" s="123"/>
      <c r="M149" s="123"/>
      <c r="N149" s="189"/>
      <c r="R149" s="175"/>
    </row>
    <row r="150" spans="6:18" ht="18">
      <c r="F150" s="177"/>
      <c r="G150" s="174"/>
      <c r="H150" s="123"/>
      <c r="I150" s="123"/>
      <c r="J150" s="123"/>
      <c r="K150" s="123"/>
      <c r="L150" s="123"/>
      <c r="M150" s="123"/>
      <c r="N150" s="189"/>
      <c r="R150" s="175"/>
    </row>
    <row r="151" spans="6:18" ht="18">
      <c r="F151" s="177"/>
      <c r="G151" s="174"/>
      <c r="H151" s="123"/>
      <c r="I151" s="123"/>
      <c r="J151" s="123"/>
      <c r="K151" s="123"/>
      <c r="L151" s="123"/>
      <c r="M151" s="123"/>
      <c r="N151" s="189"/>
      <c r="R151" s="175"/>
    </row>
    <row r="152" spans="6:18" ht="18">
      <c r="F152" s="182"/>
      <c r="G152" s="183"/>
      <c r="R152" s="175"/>
    </row>
    <row r="153" spans="6:18" ht="18">
      <c r="F153" s="182"/>
      <c r="G153" s="183"/>
      <c r="R153" s="175"/>
    </row>
    <row r="154" spans="6:18" ht="18">
      <c r="F154" s="182"/>
      <c r="G154" s="183"/>
      <c r="R154" s="175"/>
    </row>
    <row r="155" spans="6:18" ht="18">
      <c r="F155" s="182"/>
      <c r="G155" s="183"/>
      <c r="R155" s="175"/>
    </row>
    <row r="156" spans="6:18" ht="18">
      <c r="F156" s="182"/>
      <c r="G156" s="183"/>
      <c r="R156" s="175"/>
    </row>
    <row r="157" spans="6:18" ht="18">
      <c r="F157" s="182"/>
      <c r="G157" s="183"/>
      <c r="R157" s="175"/>
    </row>
    <row r="158" spans="6:18" ht="18">
      <c r="F158" s="182"/>
      <c r="G158" s="183"/>
      <c r="R158" s="175"/>
    </row>
    <row r="159" spans="6:18" ht="18">
      <c r="F159" s="182"/>
      <c r="G159" s="183"/>
      <c r="R159" s="175"/>
    </row>
    <row r="160" spans="6:18" ht="18">
      <c r="F160" s="182"/>
      <c r="G160" s="183"/>
      <c r="R160" s="175"/>
    </row>
    <row r="161" spans="6:18" ht="18">
      <c r="F161" s="182"/>
      <c r="G161" s="183"/>
      <c r="R161" s="175"/>
    </row>
    <row r="162" spans="6:18" ht="18">
      <c r="F162" s="182"/>
      <c r="G162" s="183"/>
      <c r="R162" s="175"/>
    </row>
    <row r="163" spans="6:18" ht="18">
      <c r="F163" s="182"/>
      <c r="G163" s="183"/>
      <c r="R163" s="175"/>
    </row>
    <row r="164" spans="6:18" ht="18">
      <c r="F164" s="182"/>
      <c r="G164" s="183"/>
      <c r="R164" s="175"/>
    </row>
    <row r="165" spans="6:18" ht="18">
      <c r="F165" s="182"/>
      <c r="G165" s="183"/>
      <c r="R165" s="175"/>
    </row>
    <row r="166" spans="6:18" ht="18">
      <c r="F166" s="182"/>
      <c r="G166" s="183"/>
      <c r="R166" s="175"/>
    </row>
    <row r="167" spans="6:18" ht="18">
      <c r="F167" s="182"/>
      <c r="G167" s="183"/>
      <c r="R167" s="175"/>
    </row>
    <row r="168" spans="6:18" ht="18">
      <c r="F168" s="182"/>
      <c r="G168" s="183"/>
      <c r="R168" s="175"/>
    </row>
    <row r="169" spans="6:18" ht="18">
      <c r="F169" s="182"/>
      <c r="G169" s="183"/>
      <c r="R169" s="175"/>
    </row>
    <row r="170" spans="6:18" ht="18">
      <c r="F170" s="182"/>
      <c r="G170" s="183"/>
      <c r="R170" s="175"/>
    </row>
    <row r="171" spans="6:18" ht="18">
      <c r="F171" s="182"/>
      <c r="G171" s="183"/>
      <c r="R171" s="175"/>
    </row>
    <row r="172" spans="6:18" ht="18">
      <c r="F172" s="182"/>
      <c r="G172" s="183"/>
      <c r="R172" s="175"/>
    </row>
    <row r="173" spans="6:18" ht="18">
      <c r="F173" s="182"/>
      <c r="G173" s="183"/>
      <c r="R173" s="175"/>
    </row>
    <row r="174" spans="6:18" ht="18">
      <c r="F174" s="182"/>
      <c r="G174" s="183"/>
      <c r="R174" s="175"/>
    </row>
    <row r="175" spans="6:18" ht="18">
      <c r="F175" s="182"/>
      <c r="G175" s="183"/>
      <c r="R175" s="175"/>
    </row>
    <row r="176" spans="6:18" ht="18">
      <c r="F176" s="182"/>
      <c r="G176" s="183"/>
      <c r="R176" s="175"/>
    </row>
    <row r="177" spans="6:18" ht="18">
      <c r="F177" s="182"/>
      <c r="G177" s="183"/>
      <c r="R177" s="175"/>
    </row>
    <row r="178" spans="6:18" ht="18">
      <c r="F178" s="182"/>
      <c r="G178" s="183"/>
      <c r="R178" s="175"/>
    </row>
    <row r="179" spans="6:18" ht="18">
      <c r="F179" s="182"/>
      <c r="G179" s="183"/>
      <c r="R179" s="175"/>
    </row>
    <row r="180" spans="6:18" ht="18">
      <c r="F180" s="182"/>
      <c r="G180" s="183"/>
      <c r="R180" s="175"/>
    </row>
    <row r="181" spans="6:18" ht="18">
      <c r="F181" s="182"/>
      <c r="G181" s="183"/>
      <c r="R181" s="175"/>
    </row>
    <row r="182" spans="6:18" ht="18">
      <c r="F182" s="182"/>
      <c r="G182" s="183"/>
      <c r="R182" s="175"/>
    </row>
    <row r="183" spans="6:18" ht="18">
      <c r="F183" s="182"/>
      <c r="G183" s="183"/>
      <c r="R183" s="175"/>
    </row>
    <row r="184" spans="6:18" ht="18">
      <c r="F184" s="182"/>
      <c r="G184" s="183"/>
      <c r="R184" s="175"/>
    </row>
    <row r="185" spans="6:18" ht="18">
      <c r="F185" s="182"/>
      <c r="G185" s="183"/>
      <c r="R185" s="175"/>
    </row>
    <row r="186" ht="18">
      <c r="R186" s="175"/>
    </row>
    <row r="187" ht="18">
      <c r="R187" s="175"/>
    </row>
    <row r="188" ht="18">
      <c r="R188" s="175"/>
    </row>
    <row r="189" ht="18">
      <c r="R189" s="175"/>
    </row>
    <row r="190" ht="18">
      <c r="R190" s="175"/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zoomScale="75" zoomScaleNormal="75" workbookViewId="0" topLeftCell="A1">
      <selection activeCell="M32" sqref="M32:P60"/>
    </sheetView>
  </sheetViews>
  <sheetFormatPr defaultColWidth="9.140625" defaultRowHeight="12.75"/>
  <cols>
    <col min="1" max="1" width="43.7109375" style="100" customWidth="1"/>
    <col min="2" max="2" width="13.8515625" style="100" customWidth="1"/>
    <col min="3" max="3" width="12.7109375" style="100" customWidth="1"/>
    <col min="4" max="4" width="21.00390625" style="100" customWidth="1"/>
    <col min="5" max="5" width="22.421875" style="100" customWidth="1"/>
    <col min="6" max="6" width="19.421875" style="100" customWidth="1"/>
    <col min="7" max="7" width="17.28125" style="100" customWidth="1"/>
    <col min="8" max="16384" width="13.140625" style="100" customWidth="1"/>
  </cols>
  <sheetData>
    <row r="1" spans="1:19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  <c r="S1"/>
    </row>
    <row r="2" spans="1:19" ht="18.75">
      <c r="A2" s="40" t="s">
        <v>93</v>
      </c>
      <c r="B2" s="41"/>
      <c r="C2" s="41"/>
      <c r="D2" s="42"/>
      <c r="E2" s="42"/>
      <c r="F2" s="42"/>
      <c r="G2" s="43"/>
      <c r="H2" s="44" t="s">
        <v>419</v>
      </c>
      <c r="I2" s="39"/>
      <c r="J2" s="39"/>
      <c r="K2" s="39"/>
      <c r="L2" s="39"/>
      <c r="M2" s="39"/>
      <c r="N2" s="39"/>
      <c r="O2" s="39"/>
      <c r="P2" s="39"/>
      <c r="Q2"/>
      <c r="R2"/>
      <c r="S2"/>
    </row>
    <row r="3" spans="1:19" ht="16.5" thickBot="1">
      <c r="A3" s="519" t="s">
        <v>551</v>
      </c>
      <c r="B3" s="520"/>
      <c r="C3" s="520"/>
      <c r="D3" s="521"/>
      <c r="E3" s="45" t="s">
        <v>549</v>
      </c>
      <c r="F3" s="46" t="s">
        <v>553</v>
      </c>
      <c r="G3" s="47" t="s">
        <v>550</v>
      </c>
      <c r="H3" s="44"/>
      <c r="I3" s="39"/>
      <c r="J3" s="39"/>
      <c r="K3" s="39"/>
      <c r="L3" s="39"/>
      <c r="M3" s="39"/>
      <c r="N3" s="39"/>
      <c r="O3" s="39"/>
      <c r="P3" s="39"/>
      <c r="Q3"/>
      <c r="R3"/>
      <c r="S3"/>
    </row>
    <row r="4" spans="1:19" ht="20.25">
      <c r="A4" s="250" t="s">
        <v>464</v>
      </c>
      <c r="B4" s="48"/>
      <c r="C4" s="48"/>
      <c r="D4" s="48"/>
      <c r="E4" s="251" t="s">
        <v>465</v>
      </c>
      <c r="F4" s="49"/>
      <c r="G4" s="252">
        <v>39324</v>
      </c>
      <c r="H4" s="50"/>
      <c r="I4" s="51"/>
      <c r="J4" s="51"/>
      <c r="K4" s="51"/>
      <c r="L4" s="51"/>
      <c r="M4" s="51"/>
      <c r="N4" s="51"/>
      <c r="O4" s="51"/>
      <c r="P4" s="51"/>
      <c r="Q4"/>
      <c r="R4"/>
      <c r="S4"/>
    </row>
    <row r="5" spans="1:19" ht="15">
      <c r="A5" s="214" t="s">
        <v>532</v>
      </c>
      <c r="B5" s="202" t="s">
        <v>427</v>
      </c>
      <c r="C5" s="203" t="s">
        <v>553</v>
      </c>
      <c r="D5" s="200" t="s">
        <v>532</v>
      </c>
      <c r="E5" s="201"/>
      <c r="F5" s="202" t="s">
        <v>427</v>
      </c>
      <c r="G5" s="215" t="s">
        <v>553</v>
      </c>
      <c r="H5" s="39"/>
      <c r="I5" s="39"/>
      <c r="J5" s="39"/>
      <c r="K5" s="39"/>
      <c r="L5" s="39"/>
      <c r="M5" s="39"/>
      <c r="N5" s="39"/>
      <c r="O5" s="39"/>
      <c r="P5" s="39"/>
      <c r="Q5"/>
      <c r="R5"/>
      <c r="S5"/>
    </row>
    <row r="6" spans="1:19" ht="12.75">
      <c r="A6" s="216" t="s">
        <v>476</v>
      </c>
      <c r="B6" s="205" t="s">
        <v>466</v>
      </c>
      <c r="C6" s="205"/>
      <c r="D6" s="208" t="s">
        <v>481</v>
      </c>
      <c r="E6" s="209"/>
      <c r="F6" s="205" t="s">
        <v>471</v>
      </c>
      <c r="G6" s="217"/>
      <c r="H6" s="39"/>
      <c r="I6" s="39"/>
      <c r="J6" s="39"/>
      <c r="K6" s="39"/>
      <c r="L6" s="39"/>
      <c r="M6" s="39"/>
      <c r="N6" s="39"/>
      <c r="O6" s="39"/>
      <c r="P6" s="39"/>
      <c r="Q6"/>
      <c r="R6"/>
      <c r="S6"/>
    </row>
    <row r="7" spans="1:19" ht="12.75">
      <c r="A7" s="218" t="s">
        <v>477</v>
      </c>
      <c r="B7" s="206" t="s">
        <v>467</v>
      </c>
      <c r="C7" s="206"/>
      <c r="D7" s="210" t="s">
        <v>482</v>
      </c>
      <c r="E7" s="211"/>
      <c r="F7" s="206" t="s">
        <v>472</v>
      </c>
      <c r="G7" s="199"/>
      <c r="H7" s="39"/>
      <c r="I7" s="39"/>
      <c r="J7" s="39"/>
      <c r="K7" s="39"/>
      <c r="L7" s="39"/>
      <c r="M7" s="39"/>
      <c r="N7" s="39"/>
      <c r="O7" s="39"/>
      <c r="P7" s="39"/>
      <c r="Q7"/>
      <c r="R7"/>
      <c r="S7"/>
    </row>
    <row r="8" spans="1:19" ht="12.75">
      <c r="A8" s="218" t="s">
        <v>478</v>
      </c>
      <c r="B8" s="206" t="s">
        <v>468</v>
      </c>
      <c r="C8" s="206"/>
      <c r="D8" s="210" t="s">
        <v>483</v>
      </c>
      <c r="E8" s="211"/>
      <c r="F8" s="206" t="s">
        <v>473</v>
      </c>
      <c r="G8" s="199"/>
      <c r="H8" s="39"/>
      <c r="I8" s="39"/>
      <c r="J8" s="39"/>
      <c r="K8" s="39"/>
      <c r="L8" s="39"/>
      <c r="M8" s="39"/>
      <c r="N8" s="39"/>
      <c r="O8" s="39"/>
      <c r="P8" s="39"/>
      <c r="Q8"/>
      <c r="R8"/>
      <c r="S8"/>
    </row>
    <row r="9" spans="1:19" ht="12.75">
      <c r="A9" s="218" t="s">
        <v>479</v>
      </c>
      <c r="B9" s="206" t="s">
        <v>469</v>
      </c>
      <c r="C9" s="206"/>
      <c r="D9" s="210" t="s">
        <v>484</v>
      </c>
      <c r="E9" s="211"/>
      <c r="F9" s="206" t="s">
        <v>474</v>
      </c>
      <c r="G9" s="199"/>
      <c r="H9" s="39"/>
      <c r="I9" s="39"/>
      <c r="J9" s="39"/>
      <c r="K9" s="39"/>
      <c r="L9" s="39"/>
      <c r="M9" s="39"/>
      <c r="N9" s="39"/>
      <c r="O9" s="39"/>
      <c r="P9" s="39"/>
      <c r="Q9"/>
      <c r="R9"/>
      <c r="S9"/>
    </row>
    <row r="10" spans="1:19" ht="12.75">
      <c r="A10" s="219" t="s">
        <v>480</v>
      </c>
      <c r="B10" s="207" t="s">
        <v>470</v>
      </c>
      <c r="C10" s="207"/>
      <c r="D10" s="212" t="s">
        <v>485</v>
      </c>
      <c r="E10" s="213"/>
      <c r="F10" s="207" t="s">
        <v>475</v>
      </c>
      <c r="G10" s="220"/>
      <c r="H10" s="39"/>
      <c r="I10" s="39"/>
      <c r="J10" s="39"/>
      <c r="K10" s="39"/>
      <c r="L10" s="39"/>
      <c r="M10" s="39"/>
      <c r="N10" s="39"/>
      <c r="O10" s="39"/>
      <c r="P10" s="39"/>
      <c r="Q10"/>
      <c r="R10"/>
      <c r="S10"/>
    </row>
    <row r="11" spans="1:19" ht="6" customHeight="1" thickBot="1">
      <c r="A11" s="522"/>
      <c r="B11" s="523"/>
      <c r="C11" s="523"/>
      <c r="D11" s="523"/>
      <c r="E11" s="204"/>
      <c r="F11" s="53"/>
      <c r="G11" s="54"/>
      <c r="H11" s="39"/>
      <c r="I11" s="39"/>
      <c r="J11" s="39"/>
      <c r="K11" s="39"/>
      <c r="L11" s="39"/>
      <c r="M11" s="39"/>
      <c r="N11" s="39"/>
      <c r="O11" s="39"/>
      <c r="P11" s="55"/>
      <c r="Q11"/>
      <c r="R11"/>
      <c r="S11"/>
    </row>
    <row r="12" spans="1:19" ht="4.5" customHeight="1" thickBot="1">
      <c r="A12" s="524"/>
      <c r="B12" s="524"/>
      <c r="C12" s="524"/>
      <c r="D12" s="525"/>
      <c r="E12" s="524"/>
      <c r="F12" s="525"/>
      <c r="G12" s="525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513" t="s">
        <v>533</v>
      </c>
      <c r="B13" s="514"/>
      <c r="C13" s="514"/>
      <c r="D13" s="515"/>
      <c r="E13" s="515"/>
      <c r="F13" s="515"/>
      <c r="G13" s="516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486"/>
      <c r="B14" s="487"/>
      <c r="C14" s="487"/>
      <c r="D14" s="459"/>
      <c r="E14" s="459"/>
      <c r="F14" s="459"/>
      <c r="G14" s="488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486"/>
      <c r="B15" s="487"/>
      <c r="C15" s="487"/>
      <c r="D15" s="459"/>
      <c r="E15" s="459"/>
      <c r="F15" s="459"/>
      <c r="G15" s="488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489"/>
      <c r="B16" s="459"/>
      <c r="C16" s="459"/>
      <c r="D16" s="459"/>
      <c r="E16" s="459"/>
      <c r="F16" s="459"/>
      <c r="G16" s="488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489"/>
      <c r="B17" s="459"/>
      <c r="C17" s="459"/>
      <c r="D17" s="459"/>
      <c r="E17" s="459"/>
      <c r="F17" s="459"/>
      <c r="G17" s="488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517"/>
      <c r="B18" s="463"/>
      <c r="C18" s="463"/>
      <c r="D18" s="463"/>
      <c r="E18" s="463"/>
      <c r="F18" s="463"/>
      <c r="G18" s="518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482" t="s">
        <v>534</v>
      </c>
      <c r="B19" s="483"/>
      <c r="C19" s="483"/>
      <c r="D19" s="484"/>
      <c r="E19" s="484"/>
      <c r="F19" s="484"/>
      <c r="G19" s="485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486"/>
      <c r="B20" s="487"/>
      <c r="C20" s="487"/>
      <c r="D20" s="459"/>
      <c r="E20" s="459"/>
      <c r="F20" s="459"/>
      <c r="G20" s="488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486"/>
      <c r="B21" s="487"/>
      <c r="C21" s="487"/>
      <c r="D21" s="459"/>
      <c r="E21" s="459"/>
      <c r="F21" s="459"/>
      <c r="G21" s="488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486"/>
      <c r="B22" s="487"/>
      <c r="C22" s="487"/>
      <c r="D22" s="459"/>
      <c r="E22" s="459"/>
      <c r="F22" s="459"/>
      <c r="G22" s="488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489"/>
      <c r="B23" s="459"/>
      <c r="C23" s="459"/>
      <c r="D23" s="459"/>
      <c r="E23" s="459"/>
      <c r="F23" s="459"/>
      <c r="G23" s="488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489"/>
      <c r="B24" s="459"/>
      <c r="C24" s="459"/>
      <c r="D24" s="459"/>
      <c r="E24" s="459"/>
      <c r="F24" s="459"/>
      <c r="G24" s="488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517"/>
      <c r="B25" s="463"/>
      <c r="C25" s="463"/>
      <c r="D25" s="463"/>
      <c r="E25" s="463"/>
      <c r="F25" s="463"/>
      <c r="G25" s="518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482" t="s">
        <v>548</v>
      </c>
      <c r="B26" s="483"/>
      <c r="C26" s="483"/>
      <c r="D26" s="484"/>
      <c r="E26" s="484"/>
      <c r="F26" s="484"/>
      <c r="G26" s="485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486"/>
      <c r="B27" s="487"/>
      <c r="C27" s="487"/>
      <c r="D27" s="459"/>
      <c r="E27" s="459"/>
      <c r="F27" s="459"/>
      <c r="G27" s="488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486"/>
      <c r="B28" s="487"/>
      <c r="C28" s="487"/>
      <c r="D28" s="459"/>
      <c r="E28" s="459"/>
      <c r="F28" s="459"/>
      <c r="G28" s="48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486"/>
      <c r="B29" s="487"/>
      <c r="C29" s="487"/>
      <c r="D29" s="459"/>
      <c r="E29" s="459"/>
      <c r="F29" s="459"/>
      <c r="G29" s="48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489"/>
      <c r="B30" s="459"/>
      <c r="C30" s="459"/>
      <c r="D30" s="459"/>
      <c r="E30" s="459"/>
      <c r="F30" s="459"/>
      <c r="G30" s="48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489"/>
      <c r="B31" s="459"/>
      <c r="C31" s="459"/>
      <c r="D31" s="459"/>
      <c r="E31" s="459"/>
      <c r="F31" s="459"/>
      <c r="G31" s="48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ht="13.5" thickBot="1">
      <c r="A32" s="490"/>
      <c r="B32" s="491"/>
      <c r="C32" s="491"/>
      <c r="D32" s="491"/>
      <c r="E32" s="491"/>
      <c r="F32" s="491"/>
      <c r="G32" s="49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6.75" customHeight="1" thickBot="1">
      <c r="A33" s="56"/>
      <c r="B33" s="56"/>
      <c r="C33" s="56"/>
      <c r="D33" s="56"/>
      <c r="E33" s="56"/>
      <c r="F33" s="56"/>
      <c r="G33" s="5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5.75" customHeight="1" thickBot="1">
      <c r="A34" s="493" t="s">
        <v>318</v>
      </c>
      <c r="B34" s="494"/>
      <c r="C34" s="494"/>
      <c r="D34" s="495"/>
      <c r="E34" s="495"/>
      <c r="F34" s="495"/>
      <c r="G34" s="49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32" ht="12.75">
      <c r="A35" s="367" t="s">
        <v>552</v>
      </c>
      <c r="B35" s="368" t="s">
        <v>425</v>
      </c>
      <c r="C35" s="368" t="s">
        <v>486</v>
      </c>
      <c r="D35" s="358" t="s">
        <v>94</v>
      </c>
      <c r="E35" s="358" t="s">
        <v>95</v>
      </c>
      <c r="F35" s="358" t="s">
        <v>101</v>
      </c>
      <c r="G35" s="359" t="s">
        <v>363</v>
      </c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39"/>
      <c r="V35" s="39" t="s">
        <v>583</v>
      </c>
      <c r="W35" s="39" t="s">
        <v>584</v>
      </c>
      <c r="X35" s="39" t="s">
        <v>585</v>
      </c>
      <c r="Y35" s="39" t="s">
        <v>586</v>
      </c>
      <c r="Z35" s="39" t="s">
        <v>587</v>
      </c>
      <c r="AA35" s="39" t="s">
        <v>104</v>
      </c>
      <c r="AB35" s="39" t="s">
        <v>105</v>
      </c>
      <c r="AC35" s="39" t="s">
        <v>588</v>
      </c>
      <c r="AD35" s="39" t="s">
        <v>589</v>
      </c>
      <c r="AE35" s="39" t="s">
        <v>18</v>
      </c>
      <c r="AF35" s="39"/>
    </row>
    <row r="36" spans="1:32" ht="12.75">
      <c r="A36" s="391" t="s">
        <v>38</v>
      </c>
      <c r="B36" s="392">
        <v>8205</v>
      </c>
      <c r="C36" s="392" t="s">
        <v>591</v>
      </c>
      <c r="D36" s="393">
        <v>39325</v>
      </c>
      <c r="E36" s="393">
        <v>39346</v>
      </c>
      <c r="F36" s="371"/>
      <c r="G36" s="372">
        <v>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39" t="s">
        <v>25</v>
      </c>
      <c r="V36" s="39" t="s">
        <v>108</v>
      </c>
      <c r="W36" s="39" t="s">
        <v>590</v>
      </c>
      <c r="X36" s="39">
        <v>3</v>
      </c>
      <c r="Y36" s="39">
        <v>8205</v>
      </c>
      <c r="Z36" s="39" t="s">
        <v>591</v>
      </c>
      <c r="AA36" s="39" t="s">
        <v>109</v>
      </c>
      <c r="AB36" s="67">
        <v>39325</v>
      </c>
      <c r="AC36" s="39" t="s">
        <v>110</v>
      </c>
      <c r="AD36" s="67">
        <v>39346</v>
      </c>
      <c r="AE36" s="39">
        <v>-14</v>
      </c>
      <c r="AF36" s="39"/>
    </row>
    <row r="37" spans="1:32" ht="12.75">
      <c r="A37" s="394" t="s">
        <v>39</v>
      </c>
      <c r="B37" s="392">
        <v>1806</v>
      </c>
      <c r="C37" s="392" t="s">
        <v>593</v>
      </c>
      <c r="D37" s="393">
        <v>39336</v>
      </c>
      <c r="E37" s="393">
        <v>39358</v>
      </c>
      <c r="F37" s="363"/>
      <c r="G37" s="374">
        <v>3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9" t="s">
        <v>25</v>
      </c>
      <c r="V37" s="39" t="s">
        <v>111</v>
      </c>
      <c r="W37" s="39" t="s">
        <v>592</v>
      </c>
      <c r="X37" s="39">
        <v>3</v>
      </c>
      <c r="Y37" s="39">
        <v>1806</v>
      </c>
      <c r="Z37" s="39" t="s">
        <v>593</v>
      </c>
      <c r="AA37" s="39" t="s">
        <v>112</v>
      </c>
      <c r="AB37" s="67">
        <v>39336</v>
      </c>
      <c r="AC37" s="39" t="s">
        <v>113</v>
      </c>
      <c r="AD37" s="67">
        <v>39358</v>
      </c>
      <c r="AE37" s="39">
        <v>-16</v>
      </c>
      <c r="AF37" s="39"/>
    </row>
    <row r="38" spans="1:32" ht="12.75">
      <c r="A38" s="385" t="s">
        <v>40</v>
      </c>
      <c r="B38" s="386">
        <v>1421</v>
      </c>
      <c r="C38" s="386" t="s">
        <v>594</v>
      </c>
      <c r="D38" s="387">
        <v>39281</v>
      </c>
      <c r="E38" s="388" t="s">
        <v>117</v>
      </c>
      <c r="F38" s="389"/>
      <c r="G38" s="390">
        <v>3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39" t="s">
        <v>25</v>
      </c>
      <c r="V38" s="39" t="s">
        <v>114</v>
      </c>
      <c r="W38" s="39" t="s">
        <v>115</v>
      </c>
      <c r="X38" s="39">
        <v>3</v>
      </c>
      <c r="Y38" s="39">
        <v>1421</v>
      </c>
      <c r="Z38" s="39" t="s">
        <v>594</v>
      </c>
      <c r="AA38" s="67">
        <v>39268</v>
      </c>
      <c r="AB38" s="67">
        <v>39281</v>
      </c>
      <c r="AC38" s="39" t="s">
        <v>116</v>
      </c>
      <c r="AD38" s="39" t="s">
        <v>117</v>
      </c>
      <c r="AE38" s="39">
        <v>12</v>
      </c>
      <c r="AF38" s="39"/>
    </row>
    <row r="39" spans="1:32" ht="12.75">
      <c r="A39" s="394" t="s">
        <v>41</v>
      </c>
      <c r="B39" s="392">
        <v>1806</v>
      </c>
      <c r="C39" s="392" t="s">
        <v>593</v>
      </c>
      <c r="D39" s="393">
        <v>39336</v>
      </c>
      <c r="E39" s="393">
        <v>39367</v>
      </c>
      <c r="F39" s="363"/>
      <c r="G39" s="374">
        <v>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39" t="s">
        <v>25</v>
      </c>
      <c r="V39" s="39" t="s">
        <v>118</v>
      </c>
      <c r="W39" s="39" t="s">
        <v>595</v>
      </c>
      <c r="X39" s="39">
        <v>3</v>
      </c>
      <c r="Y39" s="39">
        <v>1806</v>
      </c>
      <c r="Z39" s="39" t="s">
        <v>593</v>
      </c>
      <c r="AA39" s="39" t="s">
        <v>112</v>
      </c>
      <c r="AB39" s="67">
        <v>39336</v>
      </c>
      <c r="AC39" s="39" t="s">
        <v>119</v>
      </c>
      <c r="AD39" s="67">
        <v>39367</v>
      </c>
      <c r="AE39" s="39">
        <v>-23</v>
      </c>
      <c r="AF39" s="39"/>
    </row>
    <row r="40" spans="1:32" ht="12.75">
      <c r="A40" s="373" t="s">
        <v>42</v>
      </c>
      <c r="B40" s="39">
        <v>1416</v>
      </c>
      <c r="C40" s="39" t="s">
        <v>594</v>
      </c>
      <c r="D40" s="384">
        <v>39407</v>
      </c>
      <c r="E40" s="384">
        <v>39407</v>
      </c>
      <c r="F40" s="363"/>
      <c r="G40" s="374">
        <v>3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9" t="s">
        <v>25</v>
      </c>
      <c r="V40" s="39" t="s">
        <v>120</v>
      </c>
      <c r="W40" s="39" t="s">
        <v>597</v>
      </c>
      <c r="X40" s="39">
        <v>3</v>
      </c>
      <c r="Y40" s="39">
        <v>1416</v>
      </c>
      <c r="Z40" s="39" t="s">
        <v>594</v>
      </c>
      <c r="AA40" s="67">
        <v>39295</v>
      </c>
      <c r="AB40" s="67">
        <v>39407</v>
      </c>
      <c r="AC40" s="39" t="s">
        <v>119</v>
      </c>
      <c r="AD40" s="67">
        <v>39407</v>
      </c>
      <c r="AE40" s="39">
        <v>0</v>
      </c>
      <c r="AF40" s="39"/>
    </row>
    <row r="41" spans="1:32" ht="12.75">
      <c r="A41" s="385" t="s">
        <v>44</v>
      </c>
      <c r="B41" s="386">
        <v>1501</v>
      </c>
      <c r="C41" s="386" t="s">
        <v>596</v>
      </c>
      <c r="D41" s="387">
        <v>39283</v>
      </c>
      <c r="E41" s="388" t="s">
        <v>123</v>
      </c>
      <c r="F41" s="389"/>
      <c r="G41" s="390">
        <v>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39" t="s">
        <v>25</v>
      </c>
      <c r="V41" s="39" t="s">
        <v>121</v>
      </c>
      <c r="W41" s="39" t="s">
        <v>19</v>
      </c>
      <c r="X41" s="39">
        <v>3</v>
      </c>
      <c r="Y41" s="39">
        <v>1501</v>
      </c>
      <c r="Z41" s="39" t="s">
        <v>596</v>
      </c>
      <c r="AA41" s="67" t="s">
        <v>122</v>
      </c>
      <c r="AB41" s="67">
        <v>39283</v>
      </c>
      <c r="AC41" s="39" t="s">
        <v>123</v>
      </c>
      <c r="AD41" s="39" t="s">
        <v>123</v>
      </c>
      <c r="AE41" s="39">
        <v>0</v>
      </c>
      <c r="AF41" s="39"/>
    </row>
    <row r="42" spans="1:32" ht="12.75">
      <c r="A42" s="373" t="s">
        <v>47</v>
      </c>
      <c r="B42" s="39">
        <v>8205</v>
      </c>
      <c r="C42" s="39" t="s">
        <v>591</v>
      </c>
      <c r="D42" s="384">
        <v>39370</v>
      </c>
      <c r="E42" s="384">
        <v>39388</v>
      </c>
      <c r="G42" s="374">
        <v>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39" t="s">
        <v>25</v>
      </c>
      <c r="V42" s="39" t="s">
        <v>125</v>
      </c>
      <c r="W42" s="39" t="s">
        <v>598</v>
      </c>
      <c r="X42" s="39">
        <v>3</v>
      </c>
      <c r="Y42" s="39">
        <v>8205</v>
      </c>
      <c r="Z42" s="39" t="s">
        <v>591</v>
      </c>
      <c r="AA42" s="67">
        <v>39329</v>
      </c>
      <c r="AB42" s="67">
        <v>39370</v>
      </c>
      <c r="AC42" s="67">
        <v>39349</v>
      </c>
      <c r="AD42" s="67">
        <v>39388</v>
      </c>
      <c r="AE42" s="39">
        <v>-14</v>
      </c>
      <c r="AF42" s="73"/>
    </row>
    <row r="43" spans="1:32" ht="12.75">
      <c r="A43" s="373" t="s">
        <v>48</v>
      </c>
      <c r="B43" s="39">
        <v>1416</v>
      </c>
      <c r="C43" s="39" t="s">
        <v>594</v>
      </c>
      <c r="D43" s="384">
        <v>39392</v>
      </c>
      <c r="E43" s="384">
        <v>39392</v>
      </c>
      <c r="F43" s="363"/>
      <c r="G43" s="374">
        <v>3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39" t="s">
        <v>25</v>
      </c>
      <c r="V43" s="39" t="s">
        <v>127</v>
      </c>
      <c r="W43" s="39" t="s">
        <v>601</v>
      </c>
      <c r="X43" s="39">
        <v>3</v>
      </c>
      <c r="Y43" s="39">
        <v>1416</v>
      </c>
      <c r="Z43" s="39" t="s">
        <v>594</v>
      </c>
      <c r="AA43" s="67" t="s">
        <v>128</v>
      </c>
      <c r="AB43" s="67">
        <v>39392</v>
      </c>
      <c r="AC43" s="67" t="s">
        <v>128</v>
      </c>
      <c r="AD43" s="67">
        <v>39392</v>
      </c>
      <c r="AE43" s="39">
        <v>0</v>
      </c>
      <c r="AF43" s="39"/>
    </row>
    <row r="44" spans="1:32" ht="12.75">
      <c r="A44" s="394" t="s">
        <v>49</v>
      </c>
      <c r="B44" s="392">
        <v>1421</v>
      </c>
      <c r="C44" s="392" t="s">
        <v>594</v>
      </c>
      <c r="D44" s="393">
        <v>39329</v>
      </c>
      <c r="E44" s="393" t="s">
        <v>21</v>
      </c>
      <c r="F44" s="364">
        <v>39416</v>
      </c>
      <c r="G44" s="374">
        <v>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39" t="s">
        <v>25</v>
      </c>
      <c r="V44" s="39" t="s">
        <v>124</v>
      </c>
      <c r="W44" s="39" t="s">
        <v>20</v>
      </c>
      <c r="X44" s="39">
        <v>2</v>
      </c>
      <c r="Y44" s="39">
        <v>1421</v>
      </c>
      <c r="Z44" s="39" t="s">
        <v>594</v>
      </c>
      <c r="AA44" s="67"/>
      <c r="AB44" s="67">
        <v>39329</v>
      </c>
      <c r="AC44" s="39"/>
      <c r="AD44" s="67" t="s">
        <v>21</v>
      </c>
      <c r="AE44" s="39">
        <v>-23</v>
      </c>
      <c r="AF44" s="39"/>
    </row>
    <row r="45" spans="1:32" ht="12.75">
      <c r="A45" s="373" t="s">
        <v>50</v>
      </c>
      <c r="B45" s="39">
        <v>1302</v>
      </c>
      <c r="C45" s="39" t="s">
        <v>600</v>
      </c>
      <c r="D45" s="384">
        <v>39427</v>
      </c>
      <c r="E45" s="384">
        <v>39374</v>
      </c>
      <c r="F45" s="364">
        <v>39537</v>
      </c>
      <c r="G45" s="374">
        <v>2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39" t="s">
        <v>25</v>
      </c>
      <c r="V45" s="39" t="s">
        <v>129</v>
      </c>
      <c r="W45" s="39" t="s">
        <v>462</v>
      </c>
      <c r="X45" s="39">
        <v>2</v>
      </c>
      <c r="Y45" s="39">
        <v>1302</v>
      </c>
      <c r="Z45" s="39" t="s">
        <v>600</v>
      </c>
      <c r="AA45" s="67"/>
      <c r="AB45" s="67">
        <v>39427</v>
      </c>
      <c r="AC45" s="39"/>
      <c r="AD45" s="67">
        <v>39374</v>
      </c>
      <c r="AE45" s="39">
        <v>35</v>
      </c>
      <c r="AF45" s="39"/>
    </row>
    <row r="46" spans="1:32" ht="12.75">
      <c r="A46" s="373" t="s">
        <v>51</v>
      </c>
      <c r="B46" s="39">
        <v>1361</v>
      </c>
      <c r="C46" s="39" t="s">
        <v>600</v>
      </c>
      <c r="D46" s="384">
        <v>39353</v>
      </c>
      <c r="E46" s="384">
        <v>39374</v>
      </c>
      <c r="F46" s="363">
        <v>39447</v>
      </c>
      <c r="G46" s="374">
        <v>2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39" t="s">
        <v>25</v>
      </c>
      <c r="V46" s="39" t="s">
        <v>126</v>
      </c>
      <c r="W46" s="39" t="s">
        <v>599</v>
      </c>
      <c r="X46" s="39">
        <v>2</v>
      </c>
      <c r="Y46" s="39">
        <v>1361</v>
      </c>
      <c r="Z46" s="39" t="s">
        <v>600</v>
      </c>
      <c r="AA46" s="39"/>
      <c r="AB46" s="67">
        <v>39353</v>
      </c>
      <c r="AC46" s="39"/>
      <c r="AD46" s="67">
        <v>39374</v>
      </c>
      <c r="AE46" s="39">
        <v>-15</v>
      </c>
      <c r="AF46" s="73"/>
    </row>
    <row r="47" spans="1:32" ht="12.75">
      <c r="A47" s="373" t="s">
        <v>53</v>
      </c>
      <c r="B47" s="39">
        <v>8205</v>
      </c>
      <c r="C47" s="39" t="s">
        <v>591</v>
      </c>
      <c r="D47" s="384">
        <v>39493</v>
      </c>
      <c r="E47" s="384">
        <v>39513</v>
      </c>
      <c r="G47" s="374">
        <v>3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39" t="s">
        <v>25</v>
      </c>
      <c r="V47" s="39" t="s">
        <v>130</v>
      </c>
      <c r="W47" s="39" t="s">
        <v>602</v>
      </c>
      <c r="X47" s="39">
        <v>3</v>
      </c>
      <c r="Y47" s="39">
        <v>8205</v>
      </c>
      <c r="Z47" s="39" t="s">
        <v>591</v>
      </c>
      <c r="AA47" s="67">
        <v>39371</v>
      </c>
      <c r="AB47" s="67">
        <v>39493</v>
      </c>
      <c r="AC47" s="67">
        <v>39391</v>
      </c>
      <c r="AD47" s="67">
        <v>39513</v>
      </c>
      <c r="AE47" s="39">
        <v>-14</v>
      </c>
      <c r="AF47" s="39"/>
    </row>
    <row r="48" spans="1:32" ht="12.75">
      <c r="A48" s="373" t="s">
        <v>54</v>
      </c>
      <c r="B48" s="39">
        <v>1361</v>
      </c>
      <c r="C48" s="39" t="s">
        <v>600</v>
      </c>
      <c r="D48" s="384">
        <v>39409</v>
      </c>
      <c r="E48" s="384">
        <v>39409</v>
      </c>
      <c r="F48" s="363"/>
      <c r="G48" s="374">
        <v>3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9" t="s">
        <v>25</v>
      </c>
      <c r="V48" s="39" t="s">
        <v>131</v>
      </c>
      <c r="W48" s="39" t="s">
        <v>603</v>
      </c>
      <c r="X48" s="39">
        <v>3</v>
      </c>
      <c r="Y48" s="39">
        <v>1361</v>
      </c>
      <c r="Z48" s="39" t="s">
        <v>600</v>
      </c>
      <c r="AA48" s="67" t="s">
        <v>132</v>
      </c>
      <c r="AB48" s="67">
        <v>39409</v>
      </c>
      <c r="AC48" s="39" t="s">
        <v>132</v>
      </c>
      <c r="AD48" s="67">
        <v>39409</v>
      </c>
      <c r="AE48" s="39">
        <v>0</v>
      </c>
      <c r="AF48" s="39"/>
    </row>
    <row r="49" spans="1:32" ht="12.75">
      <c r="A49" s="373" t="s">
        <v>55</v>
      </c>
      <c r="B49" s="39">
        <v>1302</v>
      </c>
      <c r="C49" s="39" t="s">
        <v>600</v>
      </c>
      <c r="D49" s="384">
        <v>39531</v>
      </c>
      <c r="E49" s="384">
        <v>39436</v>
      </c>
      <c r="F49" s="363"/>
      <c r="G49" s="374">
        <v>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9" t="s">
        <v>25</v>
      </c>
      <c r="V49" s="39" t="s">
        <v>133</v>
      </c>
      <c r="W49" s="39" t="s">
        <v>22</v>
      </c>
      <c r="X49" s="39">
        <v>3</v>
      </c>
      <c r="Y49" s="39">
        <v>1302</v>
      </c>
      <c r="Z49" s="39" t="s">
        <v>600</v>
      </c>
      <c r="AA49" s="67">
        <v>39528</v>
      </c>
      <c r="AB49" s="67">
        <v>39531</v>
      </c>
      <c r="AC49" s="67">
        <v>39435</v>
      </c>
      <c r="AD49" s="67">
        <v>39436</v>
      </c>
      <c r="AE49" s="39">
        <v>60</v>
      </c>
      <c r="AF49" s="39"/>
    </row>
    <row r="50" spans="1:32" ht="12.75">
      <c r="A50" s="373" t="s">
        <v>56</v>
      </c>
      <c r="B50" s="39">
        <v>1416</v>
      </c>
      <c r="C50" s="39" t="s">
        <v>594</v>
      </c>
      <c r="D50" s="384">
        <v>39461</v>
      </c>
      <c r="E50" s="384">
        <v>39472</v>
      </c>
      <c r="F50" s="363"/>
      <c r="G50" s="374">
        <v>3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39" t="s">
        <v>25</v>
      </c>
      <c r="V50" s="39" t="s">
        <v>134</v>
      </c>
      <c r="W50" s="39" t="s">
        <v>463</v>
      </c>
      <c r="X50" s="39">
        <v>3</v>
      </c>
      <c r="Y50" s="39">
        <v>1416</v>
      </c>
      <c r="Z50" s="39" t="s">
        <v>594</v>
      </c>
      <c r="AA50" s="67">
        <v>39430</v>
      </c>
      <c r="AB50" s="67">
        <v>39461</v>
      </c>
      <c r="AC50" s="67">
        <v>39454</v>
      </c>
      <c r="AD50" s="67">
        <v>39472</v>
      </c>
      <c r="AE50" s="39">
        <v>-9</v>
      </c>
      <c r="AF50" s="39"/>
    </row>
    <row r="51" spans="1:32" ht="12.75">
      <c r="A51" s="373" t="s">
        <v>59</v>
      </c>
      <c r="B51" s="39">
        <v>1702</v>
      </c>
      <c r="C51" s="39" t="s">
        <v>596</v>
      </c>
      <c r="D51" s="384">
        <v>39412</v>
      </c>
      <c r="E51" s="384">
        <v>39482</v>
      </c>
      <c r="F51" s="364"/>
      <c r="G51" s="374">
        <v>3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39" t="s">
        <v>25</v>
      </c>
      <c r="V51" s="39" t="s">
        <v>23</v>
      </c>
      <c r="W51" s="39" t="s">
        <v>26</v>
      </c>
      <c r="X51" s="39">
        <v>3</v>
      </c>
      <c r="Y51" s="39">
        <v>1702</v>
      </c>
      <c r="Z51" s="39" t="s">
        <v>596</v>
      </c>
      <c r="AA51" s="67">
        <v>39412</v>
      </c>
      <c r="AB51" s="67">
        <v>39412</v>
      </c>
      <c r="AC51" s="67">
        <v>39482</v>
      </c>
      <c r="AD51" s="67">
        <v>39482</v>
      </c>
      <c r="AE51" s="39">
        <v>-41</v>
      </c>
      <c r="AF51" s="73"/>
    </row>
    <row r="52" spans="1:32" ht="12.75">
      <c r="A52" s="373" t="s">
        <v>60</v>
      </c>
      <c r="B52" s="39">
        <v>1421</v>
      </c>
      <c r="C52" s="39" t="s">
        <v>594</v>
      </c>
      <c r="D52" s="384">
        <v>39454</v>
      </c>
      <c r="E52" s="384">
        <v>39485</v>
      </c>
      <c r="F52" s="363"/>
      <c r="G52" s="374">
        <v>3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39" t="s">
        <v>25</v>
      </c>
      <c r="V52" s="39" t="s">
        <v>135</v>
      </c>
      <c r="W52" s="39" t="s">
        <v>24</v>
      </c>
      <c r="X52" s="39">
        <v>3</v>
      </c>
      <c r="Y52" s="39">
        <v>1421</v>
      </c>
      <c r="Z52" s="39" t="s">
        <v>594</v>
      </c>
      <c r="AA52" s="67"/>
      <c r="AB52" s="67">
        <v>39454</v>
      </c>
      <c r="AC52" s="39"/>
      <c r="AD52" s="67">
        <v>39485</v>
      </c>
      <c r="AE52" s="39">
        <v>-23</v>
      </c>
      <c r="AF52" s="39"/>
    </row>
    <row r="53" spans="1:28" ht="12.75">
      <c r="A53" s="377"/>
      <c r="B53" s="378"/>
      <c r="C53" s="379"/>
      <c r="D53" s="380"/>
      <c r="E53" s="381"/>
      <c r="F53" s="382"/>
      <c r="G53" s="383"/>
      <c r="H53" s="366"/>
      <c r="I53" s="366"/>
      <c r="J53" s="366"/>
      <c r="K53" s="366"/>
      <c r="L53" s="366"/>
      <c r="M53" s="366"/>
      <c r="N53" s="366"/>
      <c r="O53" s="366"/>
      <c r="P53" s="366"/>
      <c r="Q53" s="39"/>
      <c r="R53" s="39"/>
      <c r="S53" s="39"/>
      <c r="T53" s="39"/>
      <c r="U53" s="39"/>
      <c r="V53" s="39"/>
      <c r="W53" s="39"/>
      <c r="X53" s="67"/>
      <c r="Y53" s="39"/>
      <c r="Z53" s="39"/>
      <c r="AA53" s="39"/>
      <c r="AB53" s="73"/>
    </row>
    <row r="54" spans="1:28" ht="13.5" thickBot="1">
      <c r="A54" s="369"/>
      <c r="B54" s="370"/>
      <c r="C54" s="370"/>
      <c r="D54" s="360"/>
      <c r="E54" s="360"/>
      <c r="F54" s="361"/>
      <c r="G54" s="362"/>
      <c r="H54" s="52"/>
      <c r="I54" s="52"/>
      <c r="J54" s="52"/>
      <c r="K54" s="52"/>
      <c r="L54" s="52"/>
      <c r="M54" s="52"/>
      <c r="N54" s="52"/>
      <c r="O54" s="52"/>
      <c r="P54" s="52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4.5" customHeight="1" thickBo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ht="15">
      <c r="A56" s="80"/>
      <c r="B56" s="81"/>
      <c r="C56" s="81"/>
      <c r="D56" s="82" t="s">
        <v>98</v>
      </c>
      <c r="E56" s="83"/>
      <c r="F56" s="83"/>
      <c r="G56" s="84"/>
      <c r="H56" s="52"/>
      <c r="I56" s="52"/>
      <c r="J56" s="52"/>
      <c r="K56" s="52"/>
      <c r="L56" s="52"/>
      <c r="M56" s="52"/>
      <c r="N56" s="52"/>
      <c r="O56" s="52"/>
      <c r="P56" s="52"/>
      <c r="Q56" s="85"/>
      <c r="R56" s="85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2.75">
      <c r="A57" s="497"/>
      <c r="B57" s="498"/>
      <c r="C57" s="498"/>
      <c r="D57" s="499"/>
      <c r="E57" s="221"/>
      <c r="F57" s="86" t="s">
        <v>96</v>
      </c>
      <c r="G57" s="86" t="s">
        <v>97</v>
      </c>
      <c r="H57" s="452"/>
      <c r="I57" s="452"/>
      <c r="J57" s="452"/>
      <c r="K57" s="452"/>
      <c r="L57" s="452"/>
      <c r="M57" s="452"/>
      <c r="N57" s="452"/>
      <c r="O57" s="452"/>
      <c r="P57" s="452"/>
      <c r="Q57" s="85"/>
      <c r="R57" s="85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ht="15">
      <c r="A58" s="500"/>
      <c r="B58" s="501"/>
      <c r="C58" s="501"/>
      <c r="D58" s="502"/>
      <c r="E58" s="87" t="s">
        <v>538</v>
      </c>
      <c r="F58" s="197">
        <f>SUM('BCWS by JOB'!$E$60)</f>
        <v>2147</v>
      </c>
      <c r="G58" s="222">
        <f>SUM('BCWS by JOB'!I60)</f>
        <v>497</v>
      </c>
      <c r="H58" s="433"/>
      <c r="I58" s="433"/>
      <c r="J58" s="433"/>
      <c r="K58" s="433"/>
      <c r="L58" s="433"/>
      <c r="M58" s="433"/>
      <c r="N58" s="433"/>
      <c r="O58" s="433"/>
      <c r="P58" s="433"/>
      <c r="Q58" s="85"/>
      <c r="R58" s="85"/>
      <c r="S58"/>
      <c r="T58"/>
      <c r="U58"/>
      <c r="V58"/>
      <c r="W58"/>
      <c r="X58"/>
      <c r="Y58"/>
      <c r="Z58"/>
      <c r="AA58"/>
      <c r="AB58"/>
    </row>
    <row r="59" spans="1:28" ht="15">
      <c r="A59" s="500"/>
      <c r="B59" s="501"/>
      <c r="C59" s="501"/>
      <c r="D59" s="502"/>
      <c r="E59" s="87" t="s">
        <v>539</v>
      </c>
      <c r="F59" s="197">
        <f>SUM('BCWP by JOB'!D60)</f>
        <v>1938.64609184</v>
      </c>
      <c r="G59" s="222">
        <f>+'BCWS by JOB'!I101-'BCWS by JOB'!H101</f>
        <v>392.64609184000005</v>
      </c>
      <c r="H59" s="433"/>
      <c r="I59" s="433"/>
      <c r="J59" s="433"/>
      <c r="K59" s="433"/>
      <c r="L59" s="433"/>
      <c r="M59" s="433"/>
      <c r="N59" s="433"/>
      <c r="O59" s="433"/>
      <c r="P59" s="433"/>
      <c r="Q59" s="85"/>
      <c r="R59" s="85"/>
      <c r="S59"/>
      <c r="T59"/>
      <c r="U59"/>
      <c r="V59"/>
      <c r="W59"/>
      <c r="X59"/>
      <c r="Y59"/>
      <c r="Z59"/>
      <c r="AA59"/>
      <c r="AB59"/>
    </row>
    <row r="60" spans="1:23" ht="15">
      <c r="A60" s="500"/>
      <c r="B60" s="501"/>
      <c r="C60" s="501"/>
      <c r="D60" s="502"/>
      <c r="E60" s="87" t="s">
        <v>540</v>
      </c>
      <c r="F60" s="197">
        <f>SUM('ACWP by JOB'!D60)</f>
        <v>1659.2606533122737</v>
      </c>
      <c r="G60" s="222">
        <f>SUM('ACWP by JOB'!I60)</f>
        <v>653.4000000000001</v>
      </c>
      <c r="H60" s="85"/>
      <c r="I60" s="85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19" ht="12.75">
      <c r="A61" s="500"/>
      <c r="B61" s="501"/>
      <c r="C61" s="501"/>
      <c r="D61" s="502"/>
      <c r="E61" s="87" t="s">
        <v>541</v>
      </c>
      <c r="F61" s="277">
        <f>+F59-F60</f>
        <v>279.38543852772636</v>
      </c>
      <c r="G61" s="223"/>
      <c r="H61" s="85"/>
      <c r="I61" s="85"/>
      <c r="J61"/>
      <c r="K61"/>
      <c r="L61"/>
      <c r="M61"/>
      <c r="N61"/>
      <c r="O61"/>
      <c r="P61"/>
      <c r="Q61"/>
      <c r="R61"/>
      <c r="S61"/>
    </row>
    <row r="62" spans="1:19" ht="12.75">
      <c r="A62" s="500"/>
      <c r="B62" s="501"/>
      <c r="C62" s="501"/>
      <c r="D62" s="502"/>
      <c r="E62" s="87" t="s">
        <v>542</v>
      </c>
      <c r="F62" s="277">
        <f>+F59-F58</f>
        <v>-208.35390815999995</v>
      </c>
      <c r="G62" s="223"/>
      <c r="H62" s="85"/>
      <c r="I62" s="85"/>
      <c r="J62"/>
      <c r="K62"/>
      <c r="L62"/>
      <c r="M62"/>
      <c r="N62"/>
      <c r="O62"/>
      <c r="P62"/>
      <c r="Q62"/>
      <c r="R62"/>
      <c r="S62"/>
    </row>
    <row r="63" spans="1:19" ht="12.75">
      <c r="A63" s="500"/>
      <c r="B63" s="501"/>
      <c r="C63" s="501"/>
      <c r="D63" s="502"/>
      <c r="E63" s="87" t="s">
        <v>543</v>
      </c>
      <c r="F63" s="278">
        <f>+F59/F60</f>
        <v>1.168379475503145</v>
      </c>
      <c r="G63" s="280">
        <f>+G59/G60</f>
        <v>0.6009275969390878</v>
      </c>
      <c r="H63" s="85"/>
      <c r="I63" s="85"/>
      <c r="J63"/>
      <c r="K63"/>
      <c r="L63"/>
      <c r="M63"/>
      <c r="N63"/>
      <c r="O63"/>
      <c r="P63"/>
      <c r="Q63"/>
      <c r="R63"/>
      <c r="S63"/>
    </row>
    <row r="64" spans="1:19" ht="12.75">
      <c r="A64" s="500"/>
      <c r="B64" s="501"/>
      <c r="C64" s="501"/>
      <c r="D64" s="502"/>
      <c r="E64" s="87" t="s">
        <v>544</v>
      </c>
      <c r="F64" s="278">
        <f>+F59/F58</f>
        <v>0.9029557949883559</v>
      </c>
      <c r="G64" s="280">
        <f>+G59/G58</f>
        <v>0.7900323779476862</v>
      </c>
      <c r="H64" s="85"/>
      <c r="I64" s="85"/>
      <c r="J64"/>
      <c r="K64"/>
      <c r="L64"/>
      <c r="M64"/>
      <c r="N64"/>
      <c r="O64"/>
      <c r="P64"/>
      <c r="Q64"/>
      <c r="R64"/>
      <c r="S64"/>
    </row>
    <row r="65" spans="1:19" ht="15">
      <c r="A65" s="500"/>
      <c r="B65" s="501"/>
      <c r="C65" s="501"/>
      <c r="D65" s="502"/>
      <c r="E65" s="87" t="s">
        <v>536</v>
      </c>
      <c r="F65" s="197">
        <v>57127</v>
      </c>
      <c r="G65" s="224"/>
      <c r="H65" s="85"/>
      <c r="I65" s="85"/>
      <c r="J65"/>
      <c r="K65"/>
      <c r="L65"/>
      <c r="M65"/>
      <c r="N65"/>
      <c r="O65"/>
      <c r="P65"/>
      <c r="Q65"/>
      <c r="R65"/>
      <c r="S65"/>
    </row>
    <row r="66" spans="1:19" ht="15">
      <c r="A66" s="500"/>
      <c r="B66" s="501"/>
      <c r="C66" s="501"/>
      <c r="D66" s="502"/>
      <c r="E66" s="87" t="s">
        <v>537</v>
      </c>
      <c r="F66" s="198"/>
      <c r="G66" s="224"/>
      <c r="H66" s="85"/>
      <c r="I66" s="85"/>
      <c r="J66"/>
      <c r="K66"/>
      <c r="L66"/>
      <c r="M66"/>
      <c r="N66"/>
      <c r="O66"/>
      <c r="P66"/>
      <c r="Q66"/>
      <c r="R66"/>
      <c r="S66"/>
    </row>
    <row r="67" spans="1:19" ht="12.75">
      <c r="A67" s="500"/>
      <c r="B67" s="501"/>
      <c r="C67" s="501"/>
      <c r="D67" s="502"/>
      <c r="E67" s="225" t="s">
        <v>535</v>
      </c>
      <c r="F67" s="226"/>
      <c r="G67" s="227"/>
      <c r="H67" s="85"/>
      <c r="I67" s="85"/>
      <c r="J67"/>
      <c r="K67"/>
      <c r="L67"/>
      <c r="M67"/>
      <c r="N67"/>
      <c r="O67"/>
      <c r="P67"/>
      <c r="Q67"/>
      <c r="R67"/>
      <c r="S67"/>
    </row>
    <row r="68" spans="1:19" ht="12.75">
      <c r="A68" s="500"/>
      <c r="B68" s="501"/>
      <c r="C68" s="501"/>
      <c r="D68" s="502"/>
      <c r="E68" s="89" t="s">
        <v>545</v>
      </c>
      <c r="F68" s="506"/>
      <c r="G68" s="507"/>
      <c r="H68" s="85"/>
      <c r="I68" s="85"/>
      <c r="J68"/>
      <c r="K68"/>
      <c r="L68"/>
      <c r="M68"/>
      <c r="N68"/>
      <c r="O68"/>
      <c r="P68"/>
      <c r="Q68"/>
      <c r="R68"/>
      <c r="S68"/>
    </row>
    <row r="69" spans="1:19" ht="12.75">
      <c r="A69" s="500"/>
      <c r="B69" s="501"/>
      <c r="C69" s="501"/>
      <c r="D69" s="502"/>
      <c r="E69" s="508"/>
      <c r="F69" s="477"/>
      <c r="G69" s="509"/>
      <c r="H69" s="85"/>
      <c r="I69" s="85"/>
      <c r="J69"/>
      <c r="K69"/>
      <c r="L69"/>
      <c r="M69"/>
      <c r="N69"/>
      <c r="O69"/>
      <c r="P69"/>
      <c r="Q69"/>
      <c r="R69"/>
      <c r="S69"/>
    </row>
    <row r="70" spans="1:19" ht="12.75">
      <c r="A70" s="503"/>
      <c r="B70" s="504"/>
      <c r="C70" s="504"/>
      <c r="D70" s="505"/>
      <c r="E70" s="510"/>
      <c r="F70" s="511"/>
      <c r="G70" s="512"/>
      <c r="H70" s="85"/>
      <c r="I70" s="85"/>
      <c r="J70"/>
      <c r="K70"/>
      <c r="L70"/>
      <c r="M70"/>
      <c r="N70"/>
      <c r="O70"/>
      <c r="P70"/>
      <c r="Q70"/>
      <c r="R70"/>
      <c r="S70"/>
    </row>
    <row r="71" spans="1:19" ht="12.75">
      <c r="A71" s="465" t="s">
        <v>99</v>
      </c>
      <c r="B71" s="466"/>
      <c r="C71" s="466"/>
      <c r="D71" s="467"/>
      <c r="E71" s="467"/>
      <c r="F71" s="467"/>
      <c r="G71" s="468"/>
      <c r="H71" s="85"/>
      <c r="I71" s="39"/>
      <c r="J71"/>
      <c r="K71"/>
      <c r="L71"/>
      <c r="M71"/>
      <c r="N71"/>
      <c r="O71"/>
      <c r="P71"/>
      <c r="Q71"/>
      <c r="R71"/>
      <c r="S71"/>
    </row>
    <row r="72" spans="1:19" ht="12.75">
      <c r="A72" s="469" t="s">
        <v>554</v>
      </c>
      <c r="B72" s="470"/>
      <c r="C72" s="470"/>
      <c r="D72" s="471"/>
      <c r="E72" s="90" t="s">
        <v>555</v>
      </c>
      <c r="F72" s="91"/>
      <c r="G72" s="92"/>
      <c r="H72" s="39"/>
      <c r="I72" s="39"/>
      <c r="J72"/>
      <c r="K72"/>
      <c r="L72"/>
      <c r="M72"/>
      <c r="N72"/>
      <c r="O72"/>
      <c r="P72"/>
      <c r="Q72"/>
      <c r="R72"/>
      <c r="S72"/>
    </row>
    <row r="73" spans="1:19" ht="12.75">
      <c r="A73" s="472"/>
      <c r="B73" s="473"/>
      <c r="C73" s="473"/>
      <c r="D73" s="474"/>
      <c r="E73" s="473"/>
      <c r="F73" s="474"/>
      <c r="G73" s="453"/>
      <c r="H73" s="39"/>
      <c r="I73" s="39"/>
      <c r="J73"/>
      <c r="K73"/>
      <c r="L73"/>
      <c r="M73"/>
      <c r="N73"/>
      <c r="O73"/>
      <c r="P73"/>
      <c r="Q73"/>
      <c r="R73"/>
      <c r="S73"/>
    </row>
    <row r="74" spans="1:19" ht="12.75">
      <c r="A74" s="475"/>
      <c r="B74" s="476"/>
      <c r="C74" s="476"/>
      <c r="D74" s="477"/>
      <c r="E74" s="476"/>
      <c r="F74" s="477"/>
      <c r="G74" s="454"/>
      <c r="H74" s="39"/>
      <c r="I74" s="39"/>
      <c r="J74"/>
      <c r="K74"/>
      <c r="L74"/>
      <c r="M74"/>
      <c r="N74"/>
      <c r="O74"/>
      <c r="P74"/>
      <c r="Q74"/>
      <c r="R74"/>
      <c r="S74"/>
    </row>
    <row r="75" spans="1:19" ht="12.75">
      <c r="A75" s="475"/>
      <c r="B75" s="476"/>
      <c r="C75" s="476"/>
      <c r="D75" s="477"/>
      <c r="E75" s="476"/>
      <c r="F75" s="477"/>
      <c r="G75" s="454"/>
      <c r="H75" s="39"/>
      <c r="I75" s="39"/>
      <c r="J75"/>
      <c r="K75"/>
      <c r="L75"/>
      <c r="M75"/>
      <c r="N75"/>
      <c r="O75"/>
      <c r="P75"/>
      <c r="Q75"/>
      <c r="R75"/>
      <c r="S75"/>
    </row>
    <row r="76" spans="1:19" ht="12.75">
      <c r="A76" s="478"/>
      <c r="B76" s="477"/>
      <c r="C76" s="477"/>
      <c r="D76" s="477"/>
      <c r="E76" s="477"/>
      <c r="F76" s="477"/>
      <c r="G76" s="454"/>
      <c r="H76" s="39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478"/>
      <c r="B77" s="477"/>
      <c r="C77" s="477"/>
      <c r="D77" s="477"/>
      <c r="E77" s="477"/>
      <c r="F77" s="477"/>
      <c r="G77" s="454"/>
      <c r="H77" s="39"/>
      <c r="I77"/>
      <c r="J77"/>
      <c r="K77"/>
      <c r="L77"/>
      <c r="M77"/>
      <c r="N77"/>
      <c r="O77"/>
      <c r="P77"/>
      <c r="Q77"/>
      <c r="R77"/>
      <c r="S77"/>
    </row>
    <row r="78" spans="1:19" ht="13.5" thickBot="1">
      <c r="A78" s="479"/>
      <c r="B78" s="480"/>
      <c r="C78" s="480"/>
      <c r="D78" s="480"/>
      <c r="E78" s="480"/>
      <c r="F78" s="480"/>
      <c r="G78" s="481"/>
      <c r="H78" s="85"/>
      <c r="I78"/>
      <c r="J78"/>
      <c r="K78"/>
      <c r="L78"/>
      <c r="M78"/>
      <c r="N78"/>
      <c r="O78"/>
      <c r="P78"/>
      <c r="Q78"/>
      <c r="R78"/>
      <c r="S78"/>
    </row>
    <row r="79" spans="1:19" ht="4.5" customHeight="1" thickBot="1">
      <c r="A79" s="56"/>
      <c r="B79" s="56"/>
      <c r="C79" s="56"/>
      <c r="D79" s="56"/>
      <c r="E79" s="56"/>
      <c r="F79" s="56"/>
      <c r="G79" s="56"/>
      <c r="H79" s="85"/>
      <c r="I79"/>
      <c r="J79"/>
      <c r="K79"/>
      <c r="L79"/>
      <c r="M79"/>
      <c r="N79"/>
      <c r="O79"/>
      <c r="P79"/>
      <c r="Q79"/>
      <c r="R79"/>
      <c r="S79"/>
    </row>
    <row r="80" spans="1:19" ht="14.25">
      <c r="A80" s="93" t="s">
        <v>547</v>
      </c>
      <c r="B80" s="94"/>
      <c r="C80" s="94"/>
      <c r="D80" s="95"/>
      <c r="E80" s="96"/>
      <c r="F80" s="97"/>
      <c r="G80" s="98"/>
      <c r="H80" s="39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228" t="s">
        <v>100</v>
      </c>
      <c r="B81" s="229"/>
      <c r="C81" s="229"/>
      <c r="D81" s="231" t="s">
        <v>546</v>
      </c>
      <c r="E81" s="232" t="s">
        <v>102</v>
      </c>
      <c r="F81" s="233"/>
      <c r="G81" s="234"/>
      <c r="H81" s="39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455"/>
      <c r="B82" s="230"/>
      <c r="C82" s="230"/>
      <c r="D82" s="455"/>
      <c r="E82" s="455"/>
      <c r="F82" s="457"/>
      <c r="G82" s="458"/>
      <c r="H82" s="39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461"/>
      <c r="B83" s="99"/>
      <c r="C83" s="99"/>
      <c r="D83" s="461"/>
      <c r="E83" s="461"/>
      <c r="F83" s="459"/>
      <c r="G83" s="460"/>
      <c r="H83" s="39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456"/>
      <c r="B84" s="57"/>
      <c r="C84" s="57"/>
      <c r="D84" s="456"/>
      <c r="E84" s="456"/>
      <c r="F84" s="459"/>
      <c r="G84" s="460"/>
      <c r="H84" s="39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 s="461"/>
      <c r="B85" s="99"/>
      <c r="C85" s="99"/>
      <c r="D85" s="461"/>
      <c r="E85" s="461"/>
      <c r="F85" s="459"/>
      <c r="G85" s="460"/>
      <c r="H85" s="39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 s="462"/>
      <c r="B86" s="58"/>
      <c r="C86" s="58"/>
      <c r="D86" s="462"/>
      <c r="E86" s="462"/>
      <c r="F86" s="463"/>
      <c r="G86" s="464"/>
      <c r="H86" s="39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mergeCells count="24">
    <mergeCell ref="A34:G34"/>
    <mergeCell ref="A57:D70"/>
    <mergeCell ref="A73:D78"/>
    <mergeCell ref="E73:G78"/>
    <mergeCell ref="A72:D72"/>
    <mergeCell ref="A71:G71"/>
    <mergeCell ref="E69:G70"/>
    <mergeCell ref="F68:G68"/>
    <mergeCell ref="A13:G13"/>
    <mergeCell ref="A3:D3"/>
    <mergeCell ref="A11:D11"/>
    <mergeCell ref="A12:D12"/>
    <mergeCell ref="E12:G12"/>
    <mergeCell ref="A82:A84"/>
    <mergeCell ref="D82:D84"/>
    <mergeCell ref="E82:G84"/>
    <mergeCell ref="A85:A86"/>
    <mergeCell ref="D85:D86"/>
    <mergeCell ref="E85:G86"/>
    <mergeCell ref="A14:G18"/>
    <mergeCell ref="A20:G25"/>
    <mergeCell ref="A27:G32"/>
    <mergeCell ref="A26:G26"/>
    <mergeCell ref="A19:G19"/>
  </mergeCells>
  <printOptions gridLines="1"/>
  <pageMargins left="0.17" right="0.17" top="0.18" bottom="0.3" header="0.17" footer="0.18"/>
  <pageSetup fitToHeight="1" fitToWidth="1" horizontalDpi="600" verticalDpi="600" orientation="portrait" scale="67"/>
  <headerFooter alignWithMargins="0">
    <oddFooter>&amp;R&amp;F           &amp;A      &amp;D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4"/>
  <sheetViews>
    <sheetView showZeros="0" workbookViewId="0" topLeftCell="A73">
      <selection activeCell="E54" sqref="E54"/>
    </sheetView>
  </sheetViews>
  <sheetFormatPr defaultColWidth="9.140625" defaultRowHeight="12.75"/>
  <cols>
    <col min="1" max="1" width="19.421875" style="1" bestFit="1" customWidth="1"/>
    <col min="2" max="2" width="45.7109375" style="1" customWidth="1"/>
    <col min="3" max="3" width="8.140625" style="1" customWidth="1"/>
    <col min="4" max="4" width="9.140625" style="1" customWidth="1"/>
    <col min="5" max="5" width="18.421875" style="1" customWidth="1"/>
    <col min="6" max="6" width="11.421875" style="1" bestFit="1" customWidth="1"/>
    <col min="7" max="7" width="10.8515625" style="2" bestFit="1" customWidth="1"/>
    <col min="8" max="8" width="10.421875" style="2" bestFit="1" customWidth="1"/>
    <col min="9" max="9" width="11.140625" style="3" bestFit="1" customWidth="1"/>
    <col min="10" max="10" width="10.421875" style="3" bestFit="1" customWidth="1"/>
    <col min="11" max="11" width="11.140625" style="34" bestFit="1" customWidth="1"/>
    <col min="12" max="12" width="11.421875" style="34" bestFit="1" customWidth="1"/>
    <col min="13" max="13" width="11.140625" style="34" bestFit="1" customWidth="1"/>
    <col min="14" max="15" width="11.00390625" style="2" bestFit="1" customWidth="1"/>
    <col min="16" max="16" width="11.7109375" style="2" bestFit="1" customWidth="1"/>
    <col min="17" max="17" width="11.140625" style="2" bestFit="1" customWidth="1"/>
    <col min="18" max="18" width="11.7109375" style="2" bestFit="1" customWidth="1"/>
    <col min="19" max="19" width="11.00390625" style="2" bestFit="1" customWidth="1"/>
    <col min="20" max="20" width="10.421875" style="2" bestFit="1" customWidth="1"/>
    <col min="21" max="21" width="11.421875" style="2" bestFit="1" customWidth="1"/>
    <col min="22" max="22" width="10.8515625" style="2" bestFit="1" customWidth="1"/>
    <col min="23" max="23" width="11.140625" style="2" bestFit="1" customWidth="1"/>
    <col min="24" max="24" width="11.421875" style="2" bestFit="1" customWidth="1"/>
    <col min="25" max="25" width="11.140625" style="2" bestFit="1" customWidth="1"/>
    <col min="26" max="27" width="11.00390625" style="2" bestFit="1" customWidth="1"/>
    <col min="28" max="28" width="11.7109375" style="2" bestFit="1" customWidth="1"/>
    <col min="29" max="29" width="11.140625" style="2" bestFit="1" customWidth="1"/>
    <col min="30" max="30" width="11.7109375" style="2" bestFit="1" customWidth="1"/>
    <col min="31" max="31" width="11.00390625" style="2" bestFit="1" customWidth="1"/>
    <col min="32" max="32" width="10.421875" style="2" bestFit="1" customWidth="1"/>
    <col min="33" max="33" width="11.421875" style="2" bestFit="1" customWidth="1"/>
    <col min="34" max="35" width="10.8515625" style="2" bestFit="1" customWidth="1"/>
    <col min="36" max="36" width="11.00390625" style="2" bestFit="1" customWidth="1"/>
    <col min="37" max="37" width="10.8515625" style="2" bestFit="1" customWidth="1"/>
    <col min="38" max="39" width="10.421875" style="2" bestFit="1" customWidth="1"/>
    <col min="40" max="40" width="11.421875" style="2" bestFit="1" customWidth="1"/>
    <col min="41" max="41" width="10.8515625" style="2" bestFit="1" customWidth="1"/>
    <col min="42" max="42" width="11.421875" style="2" bestFit="1" customWidth="1"/>
    <col min="43" max="43" width="10.421875" style="2" bestFit="1" customWidth="1"/>
    <col min="44" max="44" width="10.28125" style="3" bestFit="1" customWidth="1"/>
    <col min="45" max="45" width="11.00390625" style="2" bestFit="1" customWidth="1"/>
    <col min="46" max="49" width="10.421875" style="2" bestFit="1" customWidth="1"/>
    <col min="50" max="51" width="10.28125" style="2" bestFit="1" customWidth="1"/>
    <col min="52" max="52" width="11.00390625" style="2" bestFit="1" customWidth="1"/>
    <col min="53" max="53" width="10.421875" style="2" bestFit="1" customWidth="1"/>
    <col min="54" max="54" width="11.00390625" style="2" bestFit="1" customWidth="1"/>
    <col min="55" max="55" width="10.28125" style="2" bestFit="1" customWidth="1"/>
    <col min="56" max="56" width="9.8515625" style="2" bestFit="1" customWidth="1"/>
    <col min="57" max="57" width="10.421875" style="1" bestFit="1" customWidth="1"/>
    <col min="58" max="58" width="10.00390625" style="1" bestFit="1" customWidth="1"/>
    <col min="59" max="59" width="10.8515625" style="1" bestFit="1" customWidth="1"/>
    <col min="60" max="60" width="11.00390625" style="1" bestFit="1" customWidth="1"/>
    <col min="61" max="61" width="10.8515625" style="1" bestFit="1" customWidth="1"/>
    <col min="62" max="63" width="10.421875" style="1" bestFit="1" customWidth="1"/>
    <col min="64" max="64" width="11.421875" style="1" bestFit="1" customWidth="1"/>
    <col min="65" max="65" width="10.8515625" style="1" bestFit="1" customWidth="1"/>
    <col min="66" max="66" width="11.421875" style="1" bestFit="1" customWidth="1"/>
    <col min="67" max="67" width="10.421875" style="1" bestFit="1" customWidth="1"/>
    <col min="68" max="68" width="10.28125" style="1" bestFit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421875" style="1" bestFit="1" customWidth="1"/>
    <col min="85" max="85" width="16.421875" style="1" bestFit="1" customWidth="1"/>
    <col min="86" max="16384" width="7.421875" style="1" customWidth="1"/>
  </cols>
  <sheetData>
    <row r="1" spans="1:70" s="25" customFormat="1" ht="20.25" customHeight="1">
      <c r="A1" s="24" t="s">
        <v>88</v>
      </c>
      <c r="B1" s="24" t="s">
        <v>322</v>
      </c>
      <c r="C1" s="24"/>
      <c r="D1" s="20" t="s">
        <v>87</v>
      </c>
      <c r="E1" s="20" t="s">
        <v>140</v>
      </c>
      <c r="F1" s="24" t="s">
        <v>334</v>
      </c>
      <c r="G1" s="24" t="s">
        <v>335</v>
      </c>
      <c r="H1" s="24" t="s">
        <v>336</v>
      </c>
      <c r="I1" s="24" t="s">
        <v>337</v>
      </c>
      <c r="J1" s="24" t="s">
        <v>338</v>
      </c>
      <c r="K1" s="24" t="s">
        <v>339</v>
      </c>
      <c r="L1" s="24" t="s">
        <v>340</v>
      </c>
      <c r="M1" s="24" t="s">
        <v>341</v>
      </c>
      <c r="N1" s="24" t="s">
        <v>342</v>
      </c>
      <c r="O1" s="24" t="s">
        <v>343</v>
      </c>
      <c r="P1" s="24" t="s">
        <v>344</v>
      </c>
      <c r="Q1" s="24" t="s">
        <v>345</v>
      </c>
      <c r="R1" s="24" t="s">
        <v>346</v>
      </c>
      <c r="S1" s="24" t="s">
        <v>347</v>
      </c>
      <c r="T1" s="24" t="s">
        <v>348</v>
      </c>
      <c r="U1" s="24" t="s">
        <v>349</v>
      </c>
      <c r="V1" s="24" t="s">
        <v>350</v>
      </c>
      <c r="W1" s="24" t="s">
        <v>351</v>
      </c>
      <c r="X1" s="24" t="s">
        <v>352</v>
      </c>
      <c r="Y1" s="24" t="s">
        <v>353</v>
      </c>
      <c r="Z1" s="24" t="s">
        <v>354</v>
      </c>
      <c r="AA1" s="24" t="s">
        <v>355</v>
      </c>
      <c r="AB1" s="24" t="s">
        <v>356</v>
      </c>
      <c r="AC1" s="24" t="s">
        <v>357</v>
      </c>
      <c r="AD1" s="24" t="s">
        <v>358</v>
      </c>
      <c r="AE1" s="24" t="s">
        <v>359</v>
      </c>
      <c r="AF1" s="24" t="s">
        <v>360</v>
      </c>
      <c r="AG1" s="24" t="s">
        <v>361</v>
      </c>
      <c r="AH1" s="24" t="s">
        <v>362</v>
      </c>
      <c r="AI1" s="24" t="s">
        <v>238</v>
      </c>
      <c r="AJ1" s="24" t="s">
        <v>239</v>
      </c>
      <c r="AK1" s="24" t="s">
        <v>240</v>
      </c>
      <c r="AL1" s="24" t="s">
        <v>241</v>
      </c>
      <c r="AM1" s="24" t="s">
        <v>242</v>
      </c>
      <c r="AN1" s="24" t="s">
        <v>243</v>
      </c>
      <c r="AO1" s="24" t="s">
        <v>244</v>
      </c>
      <c r="AP1" s="24" t="s">
        <v>245</v>
      </c>
      <c r="AQ1" s="24" t="s">
        <v>246</v>
      </c>
      <c r="AR1" s="24" t="s">
        <v>247</v>
      </c>
      <c r="AS1" s="24" t="s">
        <v>232</v>
      </c>
      <c r="AT1" s="24" t="s">
        <v>233</v>
      </c>
      <c r="AU1" s="24" t="s">
        <v>248</v>
      </c>
      <c r="AV1" s="24" t="s">
        <v>249</v>
      </c>
      <c r="AW1" s="24" t="s">
        <v>250</v>
      </c>
      <c r="AX1" s="24" t="s">
        <v>251</v>
      </c>
      <c r="AY1" s="24" t="s">
        <v>252</v>
      </c>
      <c r="AZ1" s="24" t="s">
        <v>253</v>
      </c>
      <c r="BA1" s="24" t="s">
        <v>254</v>
      </c>
      <c r="BB1" s="24" t="s">
        <v>255</v>
      </c>
      <c r="BC1" s="24" t="s">
        <v>256</v>
      </c>
      <c r="BD1" s="24" t="s">
        <v>257</v>
      </c>
      <c r="BE1" s="24" t="s">
        <v>234</v>
      </c>
      <c r="BF1" s="24" t="s">
        <v>235</v>
      </c>
      <c r="BG1" s="24" t="s">
        <v>258</v>
      </c>
      <c r="BH1" s="24" t="s">
        <v>259</v>
      </c>
      <c r="BI1" s="24" t="s">
        <v>260</v>
      </c>
      <c r="BJ1" s="24" t="s">
        <v>261</v>
      </c>
      <c r="BK1" s="24" t="s">
        <v>262</v>
      </c>
      <c r="BL1" s="24" t="s">
        <v>263</v>
      </c>
      <c r="BM1" s="24" t="s">
        <v>264</v>
      </c>
      <c r="BN1" s="24" t="s">
        <v>265</v>
      </c>
      <c r="BO1" s="24" t="s">
        <v>266</v>
      </c>
      <c r="BP1" s="24" t="s">
        <v>267</v>
      </c>
      <c r="BQ1" s="24" t="s">
        <v>236</v>
      </c>
      <c r="BR1" s="24" t="s">
        <v>237</v>
      </c>
    </row>
    <row r="2" spans="1:64" ht="12.75">
      <c r="A2" s="4" t="s">
        <v>268</v>
      </c>
      <c r="B2" s="4" t="s">
        <v>225</v>
      </c>
      <c r="C2" s="18"/>
      <c r="D2" s="22">
        <f>SUM(F2:BO2)</f>
        <v>3844</v>
      </c>
      <c r="E2" s="21">
        <f>SUM(F2:I2)</f>
        <v>228</v>
      </c>
      <c r="F2" s="4">
        <v>61</v>
      </c>
      <c r="G2" s="4">
        <v>54</v>
      </c>
      <c r="H2" s="4">
        <v>54</v>
      </c>
      <c r="I2" s="4">
        <v>59</v>
      </c>
      <c r="J2" s="4">
        <v>49</v>
      </c>
      <c r="K2" s="4">
        <v>95</v>
      </c>
      <c r="L2" s="4">
        <v>83</v>
      </c>
      <c r="M2" s="4">
        <v>62</v>
      </c>
      <c r="N2" s="4">
        <v>91</v>
      </c>
      <c r="O2" s="4">
        <v>87</v>
      </c>
      <c r="P2" s="4">
        <v>87</v>
      </c>
      <c r="Q2" s="4">
        <v>91</v>
      </c>
      <c r="R2" s="4">
        <v>87</v>
      </c>
      <c r="S2" s="4">
        <v>87</v>
      </c>
      <c r="T2" s="4">
        <v>91</v>
      </c>
      <c r="U2" s="4">
        <v>87</v>
      </c>
      <c r="V2" s="4">
        <v>87</v>
      </c>
      <c r="W2" s="4">
        <v>107</v>
      </c>
      <c r="X2" s="4">
        <v>84</v>
      </c>
      <c r="Y2" s="4">
        <v>79</v>
      </c>
      <c r="Z2" s="4">
        <v>98</v>
      </c>
      <c r="AA2" s="4">
        <v>93</v>
      </c>
      <c r="AB2" s="4">
        <v>102</v>
      </c>
      <c r="AC2" s="4">
        <v>102</v>
      </c>
      <c r="AD2" s="4">
        <v>93</v>
      </c>
      <c r="AE2" s="4">
        <v>102</v>
      </c>
      <c r="AF2" s="4">
        <v>102</v>
      </c>
      <c r="AG2" s="4">
        <v>98</v>
      </c>
      <c r="AH2" s="4">
        <v>98</v>
      </c>
      <c r="AI2" s="4">
        <v>95</v>
      </c>
      <c r="AJ2" s="4">
        <v>82</v>
      </c>
      <c r="AK2" s="4">
        <v>69</v>
      </c>
      <c r="AL2" s="4">
        <v>87</v>
      </c>
      <c r="AM2" s="4">
        <v>87</v>
      </c>
      <c r="AN2" s="4">
        <v>100</v>
      </c>
      <c r="AO2" s="4">
        <v>95</v>
      </c>
      <c r="AP2" s="4">
        <v>87</v>
      </c>
      <c r="AQ2" s="4">
        <v>95</v>
      </c>
      <c r="AR2" s="4">
        <v>91</v>
      </c>
      <c r="AS2" s="4">
        <v>95</v>
      </c>
      <c r="AT2" s="4">
        <v>91</v>
      </c>
      <c r="AU2" s="4">
        <v>80</v>
      </c>
      <c r="AV2" s="4">
        <v>76</v>
      </c>
      <c r="AW2" s="4">
        <v>64</v>
      </c>
      <c r="AX2" s="4">
        <v>80</v>
      </c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26" customFormat="1" ht="12.75">
      <c r="A3" s="4" t="s">
        <v>268</v>
      </c>
      <c r="B3" s="4" t="s">
        <v>226</v>
      </c>
      <c r="C3" s="18"/>
      <c r="D3" s="22">
        <f aca="true" t="shared" si="0" ref="D3:D72">SUM(F3:BO3)</f>
        <v>497</v>
      </c>
      <c r="E3" s="21">
        <f>SUM(F3:I3)</f>
        <v>50</v>
      </c>
      <c r="F3" s="4">
        <v>13</v>
      </c>
      <c r="G3" s="4">
        <v>12</v>
      </c>
      <c r="H3" s="4">
        <v>12</v>
      </c>
      <c r="I3" s="4">
        <v>13</v>
      </c>
      <c r="J3" s="4">
        <v>11</v>
      </c>
      <c r="K3" s="4">
        <v>14</v>
      </c>
      <c r="L3" s="4">
        <v>13</v>
      </c>
      <c r="M3" s="4">
        <v>10</v>
      </c>
      <c r="N3" s="4">
        <v>14</v>
      </c>
      <c r="O3" s="4">
        <v>13</v>
      </c>
      <c r="P3" s="4">
        <v>13</v>
      </c>
      <c r="Q3" s="4">
        <v>14</v>
      </c>
      <c r="R3" s="4">
        <v>13</v>
      </c>
      <c r="S3" s="4">
        <v>13</v>
      </c>
      <c r="T3" s="4">
        <v>14</v>
      </c>
      <c r="U3" s="4">
        <v>13</v>
      </c>
      <c r="V3" s="4">
        <v>13</v>
      </c>
      <c r="W3" s="4">
        <v>14</v>
      </c>
      <c r="X3" s="4">
        <v>12</v>
      </c>
      <c r="Y3" s="4">
        <v>11</v>
      </c>
      <c r="Z3" s="4">
        <v>13</v>
      </c>
      <c r="AA3" s="4">
        <v>13</v>
      </c>
      <c r="AB3" s="4">
        <v>14</v>
      </c>
      <c r="AC3" s="4">
        <v>14</v>
      </c>
      <c r="AD3" s="4">
        <v>13</v>
      </c>
      <c r="AE3" s="4">
        <v>14</v>
      </c>
      <c r="AF3" s="4">
        <v>14</v>
      </c>
      <c r="AG3" s="4">
        <v>13</v>
      </c>
      <c r="AH3" s="4">
        <v>13</v>
      </c>
      <c r="AI3" s="4">
        <v>9</v>
      </c>
      <c r="AJ3" s="4">
        <v>8</v>
      </c>
      <c r="AK3" s="4">
        <v>7</v>
      </c>
      <c r="AL3" s="4">
        <v>8</v>
      </c>
      <c r="AM3" s="4">
        <v>8</v>
      </c>
      <c r="AN3" s="4">
        <v>9</v>
      </c>
      <c r="AO3" s="4">
        <v>9</v>
      </c>
      <c r="AP3" s="4">
        <v>8</v>
      </c>
      <c r="AQ3" s="4">
        <v>9</v>
      </c>
      <c r="AR3" s="4">
        <v>9</v>
      </c>
      <c r="AS3" s="4">
        <v>9</v>
      </c>
      <c r="AT3" s="4">
        <v>9</v>
      </c>
      <c r="AU3" s="4">
        <v>5</v>
      </c>
      <c r="AV3" s="4">
        <v>5</v>
      </c>
      <c r="AW3" s="4">
        <v>4</v>
      </c>
      <c r="AX3" s="4">
        <v>5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8" customFormat="1" ht="12.75">
      <c r="A4" s="27" t="s">
        <v>268</v>
      </c>
      <c r="B4" s="27" t="s">
        <v>227</v>
      </c>
      <c r="D4" s="29">
        <f t="shared" si="0"/>
        <v>1453</v>
      </c>
      <c r="E4" s="30">
        <f>SUM(F4:I4)</f>
        <v>119</v>
      </c>
      <c r="F4" s="27">
        <v>30</v>
      </c>
      <c r="G4" s="27">
        <v>29</v>
      </c>
      <c r="H4" s="27">
        <v>29</v>
      </c>
      <c r="I4" s="27">
        <v>31</v>
      </c>
      <c r="J4" s="27">
        <v>26</v>
      </c>
      <c r="K4" s="27">
        <v>36</v>
      </c>
      <c r="L4" s="27">
        <v>31</v>
      </c>
      <c r="M4" s="27">
        <v>23</v>
      </c>
      <c r="N4" s="27">
        <v>34</v>
      </c>
      <c r="O4" s="27">
        <v>32</v>
      </c>
      <c r="P4" s="27">
        <v>32</v>
      </c>
      <c r="Q4" s="27">
        <v>34</v>
      </c>
      <c r="R4" s="27">
        <v>32</v>
      </c>
      <c r="S4" s="27">
        <v>32</v>
      </c>
      <c r="T4" s="27">
        <v>34</v>
      </c>
      <c r="U4" s="27">
        <v>32</v>
      </c>
      <c r="V4" s="27">
        <v>31</v>
      </c>
      <c r="W4" s="27">
        <v>38</v>
      </c>
      <c r="X4" s="27">
        <v>30</v>
      </c>
      <c r="Y4" s="27">
        <v>28</v>
      </c>
      <c r="Z4" s="27">
        <v>35</v>
      </c>
      <c r="AA4" s="27">
        <v>33</v>
      </c>
      <c r="AB4" s="27">
        <v>36</v>
      </c>
      <c r="AC4" s="27">
        <v>36</v>
      </c>
      <c r="AD4" s="27">
        <v>33</v>
      </c>
      <c r="AE4" s="27">
        <v>36</v>
      </c>
      <c r="AF4" s="27">
        <v>36</v>
      </c>
      <c r="AG4" s="27">
        <v>35</v>
      </c>
      <c r="AH4" s="27">
        <v>31</v>
      </c>
      <c r="AI4" s="27">
        <v>38</v>
      </c>
      <c r="AJ4" s="27">
        <v>33</v>
      </c>
      <c r="AK4" s="27">
        <v>28</v>
      </c>
      <c r="AL4" s="27">
        <v>35</v>
      </c>
      <c r="AM4" s="27">
        <v>35</v>
      </c>
      <c r="AN4" s="27">
        <v>40</v>
      </c>
      <c r="AO4" s="27">
        <v>38</v>
      </c>
      <c r="AP4" s="27">
        <v>35</v>
      </c>
      <c r="AQ4" s="27">
        <v>38</v>
      </c>
      <c r="AR4" s="27">
        <v>36</v>
      </c>
      <c r="AS4" s="27">
        <v>38</v>
      </c>
      <c r="AT4" s="27">
        <v>36</v>
      </c>
      <c r="AU4" s="27">
        <v>23</v>
      </c>
      <c r="AV4" s="27">
        <v>22</v>
      </c>
      <c r="AW4" s="27">
        <v>19</v>
      </c>
      <c r="AX4" s="27">
        <v>23</v>
      </c>
      <c r="AY4" s="27">
        <v>1</v>
      </c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70" ht="12.75">
      <c r="A5" s="4"/>
      <c r="B5" s="4"/>
      <c r="C5" s="18"/>
      <c r="D5" s="31">
        <f>SUM(D2:D4)</f>
        <v>5794</v>
      </c>
      <c r="E5" s="31">
        <f aca="true" t="shared" si="1" ref="E5:BP5">SUM(E2:E4)</f>
        <v>397</v>
      </c>
      <c r="F5" s="31">
        <f t="shared" si="1"/>
        <v>104</v>
      </c>
      <c r="G5" s="31">
        <f t="shared" si="1"/>
        <v>95</v>
      </c>
      <c r="H5" s="31">
        <f t="shared" si="1"/>
        <v>95</v>
      </c>
      <c r="I5" s="31">
        <f t="shared" si="1"/>
        <v>103</v>
      </c>
      <c r="J5" s="31">
        <f t="shared" si="1"/>
        <v>86</v>
      </c>
      <c r="K5" s="31">
        <f t="shared" si="1"/>
        <v>145</v>
      </c>
      <c r="L5" s="31">
        <f t="shared" si="1"/>
        <v>127</v>
      </c>
      <c r="M5" s="31">
        <f t="shared" si="1"/>
        <v>95</v>
      </c>
      <c r="N5" s="31">
        <f t="shared" si="1"/>
        <v>139</v>
      </c>
      <c r="O5" s="31">
        <f t="shared" si="1"/>
        <v>132</v>
      </c>
      <c r="P5" s="31">
        <f t="shared" si="1"/>
        <v>132</v>
      </c>
      <c r="Q5" s="31">
        <f t="shared" si="1"/>
        <v>139</v>
      </c>
      <c r="R5" s="31">
        <f t="shared" si="1"/>
        <v>132</v>
      </c>
      <c r="S5" s="31">
        <f t="shared" si="1"/>
        <v>132</v>
      </c>
      <c r="T5" s="31">
        <f t="shared" si="1"/>
        <v>139</v>
      </c>
      <c r="U5" s="31">
        <f t="shared" si="1"/>
        <v>132</v>
      </c>
      <c r="V5" s="31">
        <f t="shared" si="1"/>
        <v>131</v>
      </c>
      <c r="W5" s="31">
        <f t="shared" si="1"/>
        <v>159</v>
      </c>
      <c r="X5" s="31">
        <f t="shared" si="1"/>
        <v>126</v>
      </c>
      <c r="Y5" s="31">
        <f t="shared" si="1"/>
        <v>118</v>
      </c>
      <c r="Z5" s="31">
        <f t="shared" si="1"/>
        <v>146</v>
      </c>
      <c r="AA5" s="31">
        <f t="shared" si="1"/>
        <v>139</v>
      </c>
      <c r="AB5" s="31">
        <f t="shared" si="1"/>
        <v>152</v>
      </c>
      <c r="AC5" s="31">
        <f t="shared" si="1"/>
        <v>152</v>
      </c>
      <c r="AD5" s="31">
        <f t="shared" si="1"/>
        <v>139</v>
      </c>
      <c r="AE5" s="31">
        <f t="shared" si="1"/>
        <v>152</v>
      </c>
      <c r="AF5" s="31">
        <f t="shared" si="1"/>
        <v>152</v>
      </c>
      <c r="AG5" s="31">
        <f t="shared" si="1"/>
        <v>146</v>
      </c>
      <c r="AH5" s="31">
        <f t="shared" si="1"/>
        <v>142</v>
      </c>
      <c r="AI5" s="31">
        <f t="shared" si="1"/>
        <v>142</v>
      </c>
      <c r="AJ5" s="31">
        <f t="shared" si="1"/>
        <v>123</v>
      </c>
      <c r="AK5" s="31">
        <f t="shared" si="1"/>
        <v>104</v>
      </c>
      <c r="AL5" s="31">
        <f t="shared" si="1"/>
        <v>130</v>
      </c>
      <c r="AM5" s="31">
        <f t="shared" si="1"/>
        <v>130</v>
      </c>
      <c r="AN5" s="31">
        <f t="shared" si="1"/>
        <v>149</v>
      </c>
      <c r="AO5" s="31">
        <f t="shared" si="1"/>
        <v>142</v>
      </c>
      <c r="AP5" s="31">
        <f t="shared" si="1"/>
        <v>130</v>
      </c>
      <c r="AQ5" s="31">
        <f t="shared" si="1"/>
        <v>142</v>
      </c>
      <c r="AR5" s="31">
        <f t="shared" si="1"/>
        <v>136</v>
      </c>
      <c r="AS5" s="31">
        <f t="shared" si="1"/>
        <v>142</v>
      </c>
      <c r="AT5" s="31">
        <f t="shared" si="1"/>
        <v>136</v>
      </c>
      <c r="AU5" s="31">
        <f t="shared" si="1"/>
        <v>108</v>
      </c>
      <c r="AV5" s="31">
        <f t="shared" si="1"/>
        <v>103</v>
      </c>
      <c r="AW5" s="31">
        <f t="shared" si="1"/>
        <v>87</v>
      </c>
      <c r="AX5" s="31">
        <f t="shared" si="1"/>
        <v>108</v>
      </c>
      <c r="AY5" s="31">
        <f t="shared" si="1"/>
        <v>1</v>
      </c>
      <c r="AZ5" s="31">
        <f t="shared" si="1"/>
        <v>0</v>
      </c>
      <c r="BA5" s="31">
        <f t="shared" si="1"/>
        <v>0</v>
      </c>
      <c r="BB5" s="31">
        <f t="shared" si="1"/>
        <v>0</v>
      </c>
      <c r="BC5" s="31">
        <f t="shared" si="1"/>
        <v>0</v>
      </c>
      <c r="BD5" s="31">
        <f t="shared" si="1"/>
        <v>0</v>
      </c>
      <c r="BE5" s="31">
        <f t="shared" si="1"/>
        <v>0</v>
      </c>
      <c r="BF5" s="31">
        <f t="shared" si="1"/>
        <v>0</v>
      </c>
      <c r="BG5" s="31">
        <f t="shared" si="1"/>
        <v>0</v>
      </c>
      <c r="BH5" s="31">
        <f t="shared" si="1"/>
        <v>0</v>
      </c>
      <c r="BI5" s="31">
        <f t="shared" si="1"/>
        <v>0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31">
        <f t="shared" si="1"/>
        <v>0</v>
      </c>
      <c r="BP5" s="31">
        <f t="shared" si="1"/>
        <v>0</v>
      </c>
      <c r="BQ5" s="31">
        <f>SUM(BQ2:BQ4)</f>
        <v>0</v>
      </c>
      <c r="BR5" s="31">
        <f>SUM(BR2:BR4)</f>
        <v>0</v>
      </c>
    </row>
    <row r="6" spans="1:64" ht="12.75">
      <c r="A6" s="4"/>
      <c r="B6" s="4"/>
      <c r="C6" s="18"/>
      <c r="D6" s="22"/>
      <c r="E6" s="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2.75">
      <c r="A7" s="4" t="s">
        <v>269</v>
      </c>
      <c r="B7" s="4" t="s">
        <v>298</v>
      </c>
      <c r="C7" s="18"/>
      <c r="D7" s="22">
        <f t="shared" si="0"/>
        <v>409</v>
      </c>
      <c r="E7" s="21">
        <f aca="true" t="shared" si="2" ref="E7:E31">SUM(F7:I7)</f>
        <v>46</v>
      </c>
      <c r="F7" s="4"/>
      <c r="G7" s="4">
        <v>17</v>
      </c>
      <c r="H7" s="4">
        <v>25</v>
      </c>
      <c r="I7" s="4">
        <v>4</v>
      </c>
      <c r="J7" s="4"/>
      <c r="K7" s="4">
        <v>27</v>
      </c>
      <c r="L7" s="4">
        <v>29</v>
      </c>
      <c r="M7" s="4">
        <v>2</v>
      </c>
      <c r="N7" s="4"/>
      <c r="O7" s="4"/>
      <c r="P7" s="4"/>
      <c r="Q7" s="4">
        <v>30</v>
      </c>
      <c r="R7" s="4">
        <v>27</v>
      </c>
      <c r="S7" s="4">
        <v>12</v>
      </c>
      <c r="T7" s="4">
        <v>12</v>
      </c>
      <c r="U7" s="4">
        <v>12</v>
      </c>
      <c r="V7" s="4">
        <v>12</v>
      </c>
      <c r="W7" s="4">
        <v>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v>60</v>
      </c>
      <c r="AJ7" s="4">
        <v>88</v>
      </c>
      <c r="AK7" s="4">
        <v>34</v>
      </c>
      <c r="AL7" s="4">
        <v>17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2.75">
      <c r="A8" s="4" t="s">
        <v>269</v>
      </c>
      <c r="B8" s="4" t="s">
        <v>189</v>
      </c>
      <c r="C8" s="18"/>
      <c r="D8" s="22">
        <f t="shared" si="0"/>
        <v>-252</v>
      </c>
      <c r="E8" s="21">
        <f t="shared" si="2"/>
        <v>-252</v>
      </c>
      <c r="F8" s="4">
        <v>-162</v>
      </c>
      <c r="G8" s="4"/>
      <c r="H8" s="4"/>
      <c r="I8" s="4">
        <v>-90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2.75">
      <c r="A9" s="4" t="s">
        <v>269</v>
      </c>
      <c r="B9" s="4" t="s">
        <v>190</v>
      </c>
      <c r="C9" s="18"/>
      <c r="D9" s="22">
        <f t="shared" si="0"/>
        <v>348</v>
      </c>
      <c r="E9" s="21">
        <f t="shared" si="2"/>
        <v>148</v>
      </c>
      <c r="F9" s="4">
        <v>17</v>
      </c>
      <c r="G9" s="4">
        <v>24</v>
      </c>
      <c r="H9" s="4">
        <v>51</v>
      </c>
      <c r="I9" s="4">
        <v>56</v>
      </c>
      <c r="J9" s="4">
        <v>29</v>
      </c>
      <c r="K9" s="4">
        <v>26</v>
      </c>
      <c r="L9" s="4">
        <v>22</v>
      </c>
      <c r="M9" s="4">
        <v>28</v>
      </c>
      <c r="N9" s="4">
        <v>41</v>
      </c>
      <c r="O9" s="4">
        <v>35</v>
      </c>
      <c r="P9" s="4">
        <v>11</v>
      </c>
      <c r="Q9" s="4">
        <v>5</v>
      </c>
      <c r="R9" s="4">
        <v>3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 t="s">
        <v>269</v>
      </c>
      <c r="B10" s="4" t="s">
        <v>193</v>
      </c>
      <c r="C10" s="18"/>
      <c r="D10" s="22">
        <f t="shared" si="0"/>
        <v>1039</v>
      </c>
      <c r="E10" s="21">
        <f t="shared" si="2"/>
        <v>336</v>
      </c>
      <c r="F10" s="4">
        <v>144</v>
      </c>
      <c r="G10" s="4">
        <v>7</v>
      </c>
      <c r="H10" s="4">
        <v>103</v>
      </c>
      <c r="I10" s="4">
        <v>82</v>
      </c>
      <c r="J10" s="4">
        <v>27</v>
      </c>
      <c r="K10" s="4">
        <v>452</v>
      </c>
      <c r="L10" s="4">
        <v>64</v>
      </c>
      <c r="M10" s="4">
        <v>22</v>
      </c>
      <c r="N10" s="4">
        <v>25</v>
      </c>
      <c r="O10" s="4">
        <v>23</v>
      </c>
      <c r="P10" s="4">
        <v>20</v>
      </c>
      <c r="Q10" s="4">
        <v>11</v>
      </c>
      <c r="R10" s="4">
        <v>10</v>
      </c>
      <c r="S10" s="4">
        <v>10</v>
      </c>
      <c r="T10" s="4">
        <v>10</v>
      </c>
      <c r="U10" s="4">
        <v>6</v>
      </c>
      <c r="V10" s="4">
        <v>6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v>12</v>
      </c>
      <c r="AJ10" s="4">
        <v>4</v>
      </c>
      <c r="AK10" s="4">
        <v>1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2.75">
      <c r="A11" s="4" t="s">
        <v>269</v>
      </c>
      <c r="B11" s="4" t="s">
        <v>191</v>
      </c>
      <c r="C11" s="18"/>
      <c r="D11" s="22">
        <f t="shared" si="0"/>
        <v>2769</v>
      </c>
      <c r="E11" s="21">
        <f t="shared" si="2"/>
        <v>821</v>
      </c>
      <c r="F11" s="4">
        <v>237</v>
      </c>
      <c r="G11" s="4">
        <v>171</v>
      </c>
      <c r="H11" s="4">
        <v>231</v>
      </c>
      <c r="I11" s="4">
        <v>182</v>
      </c>
      <c r="J11" s="4">
        <v>136</v>
      </c>
      <c r="K11" s="4">
        <v>213</v>
      </c>
      <c r="L11" s="4">
        <v>188</v>
      </c>
      <c r="M11" s="4">
        <v>133</v>
      </c>
      <c r="N11" s="4">
        <v>222</v>
      </c>
      <c r="O11" s="4">
        <v>211</v>
      </c>
      <c r="P11" s="4">
        <v>183</v>
      </c>
      <c r="Q11" s="4">
        <v>209</v>
      </c>
      <c r="R11" s="4">
        <v>193</v>
      </c>
      <c r="S11" s="4">
        <v>156</v>
      </c>
      <c r="T11" s="4">
        <v>87</v>
      </c>
      <c r="U11" s="4">
        <v>16</v>
      </c>
      <c r="V11" s="4">
        <v>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12.75">
      <c r="A12" s="4" t="s">
        <v>269</v>
      </c>
      <c r="B12" s="4" t="s">
        <v>192</v>
      </c>
      <c r="C12" s="18"/>
      <c r="D12" s="22">
        <f t="shared" si="0"/>
        <v>501</v>
      </c>
      <c r="E12" s="21">
        <f t="shared" si="2"/>
        <v>43</v>
      </c>
      <c r="F12" s="4"/>
      <c r="G12" s="4">
        <v>4</v>
      </c>
      <c r="H12" s="4">
        <v>19</v>
      </c>
      <c r="I12" s="4">
        <v>20</v>
      </c>
      <c r="J12" s="4">
        <v>47</v>
      </c>
      <c r="K12" s="4">
        <v>57</v>
      </c>
      <c r="L12" s="4">
        <v>43</v>
      </c>
      <c r="M12" s="4">
        <v>26</v>
      </c>
      <c r="N12" s="4">
        <v>42</v>
      </c>
      <c r="O12" s="4">
        <v>43</v>
      </c>
      <c r="P12" s="4">
        <v>42</v>
      </c>
      <c r="Q12" s="4">
        <v>26</v>
      </c>
      <c r="R12" s="4">
        <v>24</v>
      </c>
      <c r="S12" s="4">
        <v>25</v>
      </c>
      <c r="T12" s="4">
        <v>26</v>
      </c>
      <c r="U12" s="4">
        <v>33</v>
      </c>
      <c r="V12" s="4">
        <v>24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12.75">
      <c r="A13" s="4" t="s">
        <v>269</v>
      </c>
      <c r="B13" s="4" t="s">
        <v>195</v>
      </c>
      <c r="C13" s="18"/>
      <c r="D13" s="22">
        <f t="shared" si="0"/>
        <v>1987</v>
      </c>
      <c r="E13" s="21">
        <f t="shared" si="2"/>
        <v>210</v>
      </c>
      <c r="F13" s="4">
        <v>64</v>
      </c>
      <c r="G13" s="4">
        <v>47</v>
      </c>
      <c r="H13" s="4">
        <v>47</v>
      </c>
      <c r="I13" s="4">
        <v>52</v>
      </c>
      <c r="J13" s="4">
        <v>43</v>
      </c>
      <c r="K13" s="4">
        <v>79</v>
      </c>
      <c r="L13" s="4">
        <v>58</v>
      </c>
      <c r="M13" s="4">
        <v>43</v>
      </c>
      <c r="N13" s="4">
        <v>63</v>
      </c>
      <c r="O13" s="4">
        <v>60</v>
      </c>
      <c r="P13" s="4">
        <v>86</v>
      </c>
      <c r="Q13" s="4">
        <v>71</v>
      </c>
      <c r="R13" s="4">
        <v>67</v>
      </c>
      <c r="S13" s="4">
        <v>66</v>
      </c>
      <c r="T13" s="4">
        <v>68</v>
      </c>
      <c r="U13" s="4">
        <v>64</v>
      </c>
      <c r="V13" s="4">
        <v>63</v>
      </c>
      <c r="W13" s="4">
        <v>89</v>
      </c>
      <c r="X13" s="4">
        <v>65</v>
      </c>
      <c r="Y13" s="4">
        <v>60</v>
      </c>
      <c r="Z13" s="4">
        <v>74</v>
      </c>
      <c r="AA13" s="4">
        <v>81</v>
      </c>
      <c r="AB13" s="4">
        <v>84</v>
      </c>
      <c r="AC13" s="4">
        <v>83</v>
      </c>
      <c r="AD13" s="4">
        <v>74</v>
      </c>
      <c r="AE13" s="4">
        <v>68</v>
      </c>
      <c r="AF13" s="4">
        <v>62</v>
      </c>
      <c r="AG13" s="4">
        <v>59</v>
      </c>
      <c r="AH13" s="4">
        <v>59</v>
      </c>
      <c r="AI13" s="4">
        <v>61</v>
      </c>
      <c r="AJ13" s="4">
        <v>27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12.75">
      <c r="A14" s="4" t="s">
        <v>269</v>
      </c>
      <c r="B14" s="4" t="s">
        <v>194</v>
      </c>
      <c r="C14" s="18"/>
      <c r="D14" s="22">
        <f t="shared" si="0"/>
        <v>522</v>
      </c>
      <c r="E14" s="21">
        <f t="shared" si="2"/>
        <v>107</v>
      </c>
      <c r="F14" s="4"/>
      <c r="G14" s="4">
        <v>11</v>
      </c>
      <c r="H14" s="4">
        <v>54</v>
      </c>
      <c r="I14" s="4">
        <v>42</v>
      </c>
      <c r="J14" s="4">
        <v>23</v>
      </c>
      <c r="K14" s="4">
        <v>30</v>
      </c>
      <c r="L14" s="4">
        <v>24</v>
      </c>
      <c r="M14" s="4">
        <v>35</v>
      </c>
      <c r="N14" s="4">
        <v>81</v>
      </c>
      <c r="O14" s="4">
        <v>46</v>
      </c>
      <c r="P14" s="4">
        <v>43</v>
      </c>
      <c r="Q14" s="4">
        <v>13</v>
      </c>
      <c r="R14" s="4">
        <v>9</v>
      </c>
      <c r="S14" s="4"/>
      <c r="T14" s="4"/>
      <c r="U14" s="4"/>
      <c r="V14" s="4">
        <v>36</v>
      </c>
      <c r="W14" s="4">
        <v>39</v>
      </c>
      <c r="X14" s="4">
        <v>31</v>
      </c>
      <c r="Y14" s="4">
        <v>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2.75">
      <c r="A15" s="4" t="s">
        <v>269</v>
      </c>
      <c r="B15" s="4" t="s">
        <v>196</v>
      </c>
      <c r="C15" s="18"/>
      <c r="D15" s="22">
        <f t="shared" si="0"/>
        <v>5742</v>
      </c>
      <c r="E15" s="21">
        <f t="shared" si="2"/>
        <v>996</v>
      </c>
      <c r="F15" s="4">
        <v>190</v>
      </c>
      <c r="G15" s="4">
        <v>196</v>
      </c>
      <c r="H15" s="4">
        <v>294</v>
      </c>
      <c r="I15" s="4">
        <v>316</v>
      </c>
      <c r="J15" s="4">
        <v>269</v>
      </c>
      <c r="K15" s="4">
        <v>261</v>
      </c>
      <c r="L15" s="4">
        <v>179</v>
      </c>
      <c r="M15" s="4">
        <v>177</v>
      </c>
      <c r="N15" s="4">
        <v>238</v>
      </c>
      <c r="O15" s="4">
        <v>185</v>
      </c>
      <c r="P15" s="4">
        <v>204</v>
      </c>
      <c r="Q15" s="4">
        <v>189</v>
      </c>
      <c r="R15" s="4">
        <v>177</v>
      </c>
      <c r="S15" s="4">
        <v>162</v>
      </c>
      <c r="T15" s="4">
        <v>197</v>
      </c>
      <c r="U15" s="4">
        <v>186</v>
      </c>
      <c r="V15" s="4">
        <v>198</v>
      </c>
      <c r="W15" s="4">
        <v>214</v>
      </c>
      <c r="X15" s="4">
        <v>183</v>
      </c>
      <c r="Y15" s="4">
        <v>110</v>
      </c>
      <c r="Z15" s="4">
        <v>164</v>
      </c>
      <c r="AA15" s="4">
        <v>250</v>
      </c>
      <c r="AB15" s="4">
        <v>245</v>
      </c>
      <c r="AC15" s="4">
        <v>167</v>
      </c>
      <c r="AD15" s="4">
        <v>161</v>
      </c>
      <c r="AE15" s="4">
        <v>136</v>
      </c>
      <c r="AF15" s="4">
        <v>113</v>
      </c>
      <c r="AG15" s="4">
        <v>108</v>
      </c>
      <c r="AH15" s="4">
        <v>108</v>
      </c>
      <c r="AI15" s="4">
        <v>113</v>
      </c>
      <c r="AJ15" s="4">
        <v>52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12.75">
      <c r="A16" s="4" t="s">
        <v>269</v>
      </c>
      <c r="B16" s="4" t="s">
        <v>197</v>
      </c>
      <c r="C16" s="18"/>
      <c r="D16" s="22">
        <f t="shared" si="0"/>
        <v>1335</v>
      </c>
      <c r="E16" s="21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155</v>
      </c>
      <c r="U16" s="4">
        <v>55</v>
      </c>
      <c r="V16" s="4">
        <v>13</v>
      </c>
      <c r="W16" s="4">
        <v>3</v>
      </c>
      <c r="X16" s="4">
        <v>30</v>
      </c>
      <c r="Y16" s="4">
        <v>40</v>
      </c>
      <c r="Z16" s="4">
        <v>58</v>
      </c>
      <c r="AA16" s="4">
        <v>49</v>
      </c>
      <c r="AB16" s="4">
        <v>92</v>
      </c>
      <c r="AC16" s="4">
        <v>102</v>
      </c>
      <c r="AD16" s="4">
        <v>112</v>
      </c>
      <c r="AE16" s="4">
        <v>110</v>
      </c>
      <c r="AF16" s="4">
        <v>172</v>
      </c>
      <c r="AG16" s="4">
        <v>123</v>
      </c>
      <c r="AH16" s="4">
        <v>126</v>
      </c>
      <c r="AI16" s="4">
        <v>64</v>
      </c>
      <c r="AJ16" s="4">
        <v>31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2.75">
      <c r="A17" s="4" t="s">
        <v>269</v>
      </c>
      <c r="B17" s="4" t="s">
        <v>198</v>
      </c>
      <c r="C17" s="18"/>
      <c r="D17" s="22">
        <f t="shared" si="0"/>
        <v>69</v>
      </c>
      <c r="E17" s="21">
        <f t="shared" si="2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v>13</v>
      </c>
      <c r="AI17" s="4">
        <v>21</v>
      </c>
      <c r="AJ17" s="4">
        <v>3</v>
      </c>
      <c r="AK17" s="4">
        <v>2</v>
      </c>
      <c r="AL17" s="4">
        <v>3</v>
      </c>
      <c r="AM17" s="4">
        <v>2</v>
      </c>
      <c r="AN17" s="4">
        <v>0</v>
      </c>
      <c r="AO17" s="4">
        <v>2</v>
      </c>
      <c r="AP17" s="4">
        <v>12</v>
      </c>
      <c r="AQ17" s="4">
        <v>11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2.75">
      <c r="A18" s="4" t="s">
        <v>269</v>
      </c>
      <c r="B18" s="4" t="s">
        <v>199</v>
      </c>
      <c r="C18" s="18"/>
      <c r="D18" s="22">
        <f t="shared" si="0"/>
        <v>170</v>
      </c>
      <c r="E18" s="21">
        <f t="shared" si="2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v>22</v>
      </c>
      <c r="AA18" s="4">
        <v>20</v>
      </c>
      <c r="AB18" s="4">
        <v>25</v>
      </c>
      <c r="AC18" s="4">
        <v>3</v>
      </c>
      <c r="AD18" s="4"/>
      <c r="AE18" s="4"/>
      <c r="AF18" s="4"/>
      <c r="AG18" s="4"/>
      <c r="AH18" s="4"/>
      <c r="AI18" s="4">
        <v>0</v>
      </c>
      <c r="AJ18" s="4">
        <v>7</v>
      </c>
      <c r="AK18" s="4">
        <v>15</v>
      </c>
      <c r="AL18" s="4">
        <v>19</v>
      </c>
      <c r="AM18" s="4">
        <v>19</v>
      </c>
      <c r="AN18" s="4">
        <v>22</v>
      </c>
      <c r="AO18" s="4">
        <v>16</v>
      </c>
      <c r="AP18" s="4">
        <v>2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2.75">
      <c r="A19" s="4" t="s">
        <v>269</v>
      </c>
      <c r="B19" s="4" t="s">
        <v>200</v>
      </c>
      <c r="C19" s="18"/>
      <c r="D19" s="22">
        <f t="shared" si="0"/>
        <v>290</v>
      </c>
      <c r="E19" s="21">
        <f t="shared" si="2"/>
        <v>145</v>
      </c>
      <c r="F19" s="4">
        <v>12</v>
      </c>
      <c r="G19" s="4">
        <v>15</v>
      </c>
      <c r="H19" s="4">
        <v>22</v>
      </c>
      <c r="I19" s="4">
        <v>96</v>
      </c>
      <c r="J19" s="4">
        <v>37</v>
      </c>
      <c r="K19" s="4">
        <v>57</v>
      </c>
      <c r="L19" s="4">
        <v>24</v>
      </c>
      <c r="M19" s="4">
        <v>17</v>
      </c>
      <c r="N19" s="4">
        <v>9</v>
      </c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>
      <c r="A20" s="4" t="s">
        <v>269</v>
      </c>
      <c r="B20" s="4" t="s">
        <v>201</v>
      </c>
      <c r="C20" s="18"/>
      <c r="D20" s="22">
        <f t="shared" si="0"/>
        <v>31</v>
      </c>
      <c r="E20" s="21">
        <f t="shared" si="2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v>9</v>
      </c>
      <c r="AJ20" s="4">
        <v>8</v>
      </c>
      <c r="AK20" s="4">
        <v>1</v>
      </c>
      <c r="AL20" s="4">
        <v>2</v>
      </c>
      <c r="AM20" s="4">
        <v>2</v>
      </c>
      <c r="AN20" s="4">
        <v>7</v>
      </c>
      <c r="AO20" s="4">
        <v>2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12.75">
      <c r="A21" s="4" t="s">
        <v>269</v>
      </c>
      <c r="B21" s="4" t="s">
        <v>202</v>
      </c>
      <c r="C21" s="18"/>
      <c r="D21" s="22">
        <f t="shared" si="0"/>
        <v>263</v>
      </c>
      <c r="E21" s="21">
        <f t="shared" si="2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25</v>
      </c>
      <c r="AC21" s="4">
        <v>24</v>
      </c>
      <c r="AD21" s="4">
        <v>28</v>
      </c>
      <c r="AE21" s="4">
        <v>24</v>
      </c>
      <c r="AF21" s="4"/>
      <c r="AG21" s="4"/>
      <c r="AH21" s="4"/>
      <c r="AI21" s="4">
        <v>23</v>
      </c>
      <c r="AJ21" s="4">
        <v>20</v>
      </c>
      <c r="AK21" s="4">
        <v>17</v>
      </c>
      <c r="AL21" s="4">
        <v>26</v>
      </c>
      <c r="AM21" s="4">
        <v>29</v>
      </c>
      <c r="AN21" s="4">
        <v>33</v>
      </c>
      <c r="AO21" s="4">
        <v>14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12.75">
      <c r="A22" s="4" t="s">
        <v>269</v>
      </c>
      <c r="B22" s="4" t="s">
        <v>203</v>
      </c>
      <c r="C22" s="18"/>
      <c r="D22" s="22">
        <f t="shared" si="0"/>
        <v>133</v>
      </c>
      <c r="E22" s="21">
        <f t="shared" si="2"/>
        <v>8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3</v>
      </c>
      <c r="L22" s="4">
        <v>2</v>
      </c>
      <c r="M22" s="4">
        <v>2</v>
      </c>
      <c r="N22" s="4">
        <v>3</v>
      </c>
      <c r="O22" s="4">
        <v>2</v>
      </c>
      <c r="P22" s="4">
        <v>2</v>
      </c>
      <c r="Q22" s="4">
        <v>3</v>
      </c>
      <c r="R22" s="4">
        <v>2</v>
      </c>
      <c r="S22" s="4">
        <v>2</v>
      </c>
      <c r="T22" s="4">
        <v>3</v>
      </c>
      <c r="U22" s="4">
        <v>2</v>
      </c>
      <c r="V22" s="4">
        <v>2</v>
      </c>
      <c r="W22" s="4">
        <v>3</v>
      </c>
      <c r="X22" s="4">
        <v>2</v>
      </c>
      <c r="Y22" s="4">
        <v>2</v>
      </c>
      <c r="Z22" s="4">
        <v>3</v>
      </c>
      <c r="AA22" s="4">
        <v>2</v>
      </c>
      <c r="AB22" s="4">
        <v>3</v>
      </c>
      <c r="AC22" s="4">
        <v>3</v>
      </c>
      <c r="AD22" s="4">
        <v>2</v>
      </c>
      <c r="AE22" s="4">
        <v>3</v>
      </c>
      <c r="AF22" s="4">
        <v>3</v>
      </c>
      <c r="AG22" s="4">
        <v>3</v>
      </c>
      <c r="AH22" s="4">
        <v>2</v>
      </c>
      <c r="AI22" s="4">
        <v>6</v>
      </c>
      <c r="AJ22" s="4">
        <v>5</v>
      </c>
      <c r="AK22" s="4">
        <v>4</v>
      </c>
      <c r="AL22" s="4">
        <v>5</v>
      </c>
      <c r="AM22" s="4">
        <v>5</v>
      </c>
      <c r="AN22" s="4">
        <v>6</v>
      </c>
      <c r="AO22" s="4">
        <v>6</v>
      </c>
      <c r="AP22" s="4">
        <v>5</v>
      </c>
      <c r="AQ22" s="4">
        <v>6</v>
      </c>
      <c r="AR22" s="4">
        <v>5</v>
      </c>
      <c r="AS22" s="4">
        <v>6</v>
      </c>
      <c r="AT22" s="4">
        <v>5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2.75">
      <c r="A23" s="4" t="s">
        <v>269</v>
      </c>
      <c r="B23" s="4" t="s">
        <v>204</v>
      </c>
      <c r="C23" s="18"/>
      <c r="D23" s="22">
        <f t="shared" si="0"/>
        <v>46</v>
      </c>
      <c r="E23" s="21">
        <f t="shared" si="2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13</v>
      </c>
      <c r="X23" s="4">
        <v>1</v>
      </c>
      <c r="Y23" s="4">
        <v>1</v>
      </c>
      <c r="Z23" s="4">
        <v>2</v>
      </c>
      <c r="AA23" s="4">
        <v>2</v>
      </c>
      <c r="AB23" s="4">
        <v>1</v>
      </c>
      <c r="AC23" s="4">
        <v>5</v>
      </c>
      <c r="AD23" s="4">
        <v>11</v>
      </c>
      <c r="AE23" s="4">
        <v>8</v>
      </c>
      <c r="AF23" s="4">
        <v>2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ht="12.75">
      <c r="A24" s="4" t="s">
        <v>269</v>
      </c>
      <c r="B24" s="4" t="s">
        <v>205</v>
      </c>
      <c r="C24" s="18"/>
      <c r="D24" s="22">
        <f t="shared" si="0"/>
        <v>654</v>
      </c>
      <c r="E24" s="21">
        <f t="shared" si="2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23</v>
      </c>
      <c r="X24" s="4">
        <v>18</v>
      </c>
      <c r="Y24" s="4"/>
      <c r="Z24" s="4">
        <v>59</v>
      </c>
      <c r="AA24" s="4">
        <v>35</v>
      </c>
      <c r="AB24" s="4">
        <v>21</v>
      </c>
      <c r="AC24" s="4">
        <v>23</v>
      </c>
      <c r="AD24" s="4">
        <v>17</v>
      </c>
      <c r="AE24" s="4"/>
      <c r="AF24" s="4"/>
      <c r="AG24" s="4">
        <v>30</v>
      </c>
      <c r="AH24" s="4">
        <v>44</v>
      </c>
      <c r="AI24" s="4">
        <v>61</v>
      </c>
      <c r="AJ24" s="4">
        <v>57</v>
      </c>
      <c r="AK24" s="4">
        <v>49</v>
      </c>
      <c r="AL24" s="4">
        <v>55</v>
      </c>
      <c r="AM24" s="4">
        <v>42</v>
      </c>
      <c r="AN24" s="4">
        <v>32</v>
      </c>
      <c r="AO24" s="4">
        <v>29</v>
      </c>
      <c r="AP24" s="4">
        <v>26</v>
      </c>
      <c r="AQ24" s="4">
        <v>30</v>
      </c>
      <c r="AR24" s="4">
        <v>2</v>
      </c>
      <c r="AS24" s="4">
        <v>1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ht="12.75">
      <c r="A25" s="4" t="s">
        <v>269</v>
      </c>
      <c r="B25" s="4" t="s">
        <v>206</v>
      </c>
      <c r="C25" s="18"/>
      <c r="D25" s="22">
        <f t="shared" si="0"/>
        <v>105</v>
      </c>
      <c r="E25" s="21">
        <f t="shared" si="2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18</v>
      </c>
      <c r="X25" s="4">
        <v>18</v>
      </c>
      <c r="Y25" s="4">
        <v>11</v>
      </c>
      <c r="Z25" s="4">
        <v>13</v>
      </c>
      <c r="AA25" s="4">
        <v>10</v>
      </c>
      <c r="AB25" s="4"/>
      <c r="AC25" s="4"/>
      <c r="AD25" s="4">
        <v>15</v>
      </c>
      <c r="AE25" s="4">
        <v>16</v>
      </c>
      <c r="AF25" s="4">
        <v>4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4" t="s">
        <v>269</v>
      </c>
      <c r="B26" s="4" t="s">
        <v>207</v>
      </c>
      <c r="C26" s="18"/>
      <c r="D26" s="22">
        <f t="shared" si="0"/>
        <v>573</v>
      </c>
      <c r="E26" s="21">
        <f t="shared" si="2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7</v>
      </c>
      <c r="AD26" s="4">
        <v>8</v>
      </c>
      <c r="AE26" s="4">
        <v>23</v>
      </c>
      <c r="AF26" s="4">
        <v>24</v>
      </c>
      <c r="AG26" s="4">
        <v>21</v>
      </c>
      <c r="AH26" s="4">
        <v>23</v>
      </c>
      <c r="AI26" s="4">
        <v>25</v>
      </c>
      <c r="AJ26" s="4">
        <v>57</v>
      </c>
      <c r="AK26" s="4">
        <v>58</v>
      </c>
      <c r="AL26" s="4">
        <v>73</v>
      </c>
      <c r="AM26" s="4">
        <v>68</v>
      </c>
      <c r="AN26" s="4">
        <v>60</v>
      </c>
      <c r="AO26" s="4">
        <v>57</v>
      </c>
      <c r="AP26" s="4">
        <v>45</v>
      </c>
      <c r="AQ26" s="4">
        <v>24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ht="12.75">
      <c r="A27" s="4" t="s">
        <v>269</v>
      </c>
      <c r="B27" s="4" t="s">
        <v>208</v>
      </c>
      <c r="C27" s="18"/>
      <c r="D27" s="22">
        <f t="shared" si="0"/>
        <v>202</v>
      </c>
      <c r="E27" s="21">
        <f t="shared" si="2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5</v>
      </c>
      <c r="W27" s="4">
        <v>43</v>
      </c>
      <c r="X27" s="4">
        <v>74</v>
      </c>
      <c r="Y27" s="4">
        <v>68</v>
      </c>
      <c r="Z27" s="4">
        <v>12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ht="12.75">
      <c r="A28" s="4" t="s">
        <v>269</v>
      </c>
      <c r="B28" s="4" t="s">
        <v>209</v>
      </c>
      <c r="C28" s="18"/>
      <c r="D28" s="22">
        <f t="shared" si="0"/>
        <v>1416</v>
      </c>
      <c r="E28" s="21">
        <f t="shared" si="2"/>
        <v>-308</v>
      </c>
      <c r="F28" s="4">
        <v>-308</v>
      </c>
      <c r="G28" s="4"/>
      <c r="H28" s="4"/>
      <c r="I28" s="4"/>
      <c r="J28" s="4"/>
      <c r="K28" s="4">
        <v>2</v>
      </c>
      <c r="L28" s="4">
        <v>2</v>
      </c>
      <c r="M28" s="4">
        <v>1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4">
        <v>2</v>
      </c>
      <c r="V28" s="4">
        <v>2</v>
      </c>
      <c r="W28" s="4">
        <v>14</v>
      </c>
      <c r="X28" s="4">
        <v>12</v>
      </c>
      <c r="Y28" s="4">
        <v>5</v>
      </c>
      <c r="Z28" s="4">
        <v>71</v>
      </c>
      <c r="AA28" s="4">
        <v>63</v>
      </c>
      <c r="AB28" s="4">
        <v>68</v>
      </c>
      <c r="AC28" s="4">
        <v>66</v>
      </c>
      <c r="AD28" s="4">
        <v>60</v>
      </c>
      <c r="AE28" s="4">
        <v>66</v>
      </c>
      <c r="AF28" s="4">
        <v>66</v>
      </c>
      <c r="AG28" s="4">
        <v>62</v>
      </c>
      <c r="AH28" s="4">
        <v>61</v>
      </c>
      <c r="AI28" s="4">
        <v>64</v>
      </c>
      <c r="AJ28" s="4">
        <v>54</v>
      </c>
      <c r="AK28" s="4">
        <v>45</v>
      </c>
      <c r="AL28" s="4">
        <v>56</v>
      </c>
      <c r="AM28" s="4">
        <v>55</v>
      </c>
      <c r="AN28" s="4">
        <v>86</v>
      </c>
      <c r="AO28" s="4">
        <v>85</v>
      </c>
      <c r="AP28" s="4">
        <v>79</v>
      </c>
      <c r="AQ28" s="4">
        <v>85</v>
      </c>
      <c r="AR28" s="4">
        <v>83</v>
      </c>
      <c r="AS28" s="4">
        <v>84</v>
      </c>
      <c r="AT28" s="4">
        <v>81</v>
      </c>
      <c r="AU28" s="4">
        <v>79</v>
      </c>
      <c r="AV28" s="4">
        <v>77</v>
      </c>
      <c r="AW28" s="4">
        <v>70</v>
      </c>
      <c r="AX28" s="4">
        <v>4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ht="12.75">
      <c r="A29" s="4" t="s">
        <v>269</v>
      </c>
      <c r="B29" s="4" t="s">
        <v>210</v>
      </c>
      <c r="C29" s="18"/>
      <c r="D29" s="22">
        <f t="shared" si="0"/>
        <v>1406</v>
      </c>
      <c r="E29" s="21">
        <f t="shared" si="2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v>10</v>
      </c>
      <c r="AA29" s="4">
        <v>38</v>
      </c>
      <c r="AB29" s="4">
        <v>42</v>
      </c>
      <c r="AC29" s="4">
        <v>42</v>
      </c>
      <c r="AD29" s="4">
        <v>38</v>
      </c>
      <c r="AE29" s="4">
        <v>42</v>
      </c>
      <c r="AF29" s="4">
        <v>42</v>
      </c>
      <c r="AG29" s="4">
        <v>40</v>
      </c>
      <c r="AH29" s="4">
        <v>42</v>
      </c>
      <c r="AI29" s="4">
        <v>42</v>
      </c>
      <c r="AJ29" s="4">
        <v>40</v>
      </c>
      <c r="AK29" s="4">
        <v>44</v>
      </c>
      <c r="AL29" s="4">
        <v>40</v>
      </c>
      <c r="AM29" s="4">
        <v>38</v>
      </c>
      <c r="AN29" s="4">
        <v>83</v>
      </c>
      <c r="AO29" s="4">
        <v>87</v>
      </c>
      <c r="AP29" s="4">
        <v>83</v>
      </c>
      <c r="AQ29" s="4">
        <v>87</v>
      </c>
      <c r="AR29" s="4">
        <v>87</v>
      </c>
      <c r="AS29" s="4">
        <v>87</v>
      </c>
      <c r="AT29" s="4">
        <v>87</v>
      </c>
      <c r="AU29" s="4">
        <v>83</v>
      </c>
      <c r="AV29" s="4">
        <v>87</v>
      </c>
      <c r="AW29" s="4">
        <v>91</v>
      </c>
      <c r="AX29" s="4">
        <v>4</v>
      </c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ht="12.75">
      <c r="A30" s="4" t="s">
        <v>269</v>
      </c>
      <c r="B30" s="4" t="s">
        <v>211</v>
      </c>
      <c r="C30" s="18"/>
      <c r="D30" s="22">
        <f t="shared" si="0"/>
        <v>4511</v>
      </c>
      <c r="E30" s="21">
        <f t="shared" si="2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>
        <v>59</v>
      </c>
      <c r="Y30" s="4">
        <v>393</v>
      </c>
      <c r="Z30" s="4">
        <v>369</v>
      </c>
      <c r="AA30" s="4">
        <v>129</v>
      </c>
      <c r="AB30" s="4">
        <v>103</v>
      </c>
      <c r="AC30" s="4">
        <v>102</v>
      </c>
      <c r="AD30" s="4">
        <v>108</v>
      </c>
      <c r="AE30" s="4">
        <v>147</v>
      </c>
      <c r="AF30" s="4">
        <v>75</v>
      </c>
      <c r="AG30" s="4">
        <v>74</v>
      </c>
      <c r="AH30" s="4">
        <v>107</v>
      </c>
      <c r="AI30" s="4">
        <v>243</v>
      </c>
      <c r="AJ30" s="4">
        <v>98</v>
      </c>
      <c r="AK30" s="4">
        <v>128</v>
      </c>
      <c r="AL30" s="4">
        <v>224</v>
      </c>
      <c r="AM30" s="4">
        <v>105</v>
      </c>
      <c r="AN30" s="4">
        <v>206</v>
      </c>
      <c r="AO30" s="4">
        <v>295</v>
      </c>
      <c r="AP30" s="4">
        <v>206</v>
      </c>
      <c r="AQ30" s="4">
        <v>172</v>
      </c>
      <c r="AR30" s="4">
        <v>181</v>
      </c>
      <c r="AS30" s="4">
        <v>197</v>
      </c>
      <c r="AT30" s="4">
        <v>151</v>
      </c>
      <c r="AU30" s="4">
        <v>248</v>
      </c>
      <c r="AV30" s="4">
        <v>211</v>
      </c>
      <c r="AW30" s="4">
        <v>157</v>
      </c>
      <c r="AX30" s="4">
        <v>23</v>
      </c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28" customFormat="1" ht="12.75">
      <c r="A31" s="27" t="s">
        <v>269</v>
      </c>
      <c r="B31" s="27" t="s">
        <v>212</v>
      </c>
      <c r="D31" s="29">
        <f t="shared" si="0"/>
        <v>414</v>
      </c>
      <c r="E31" s="30">
        <f t="shared" si="2"/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>
        <v>6</v>
      </c>
      <c r="AA31" s="27">
        <v>24</v>
      </c>
      <c r="AB31" s="27">
        <v>26</v>
      </c>
      <c r="AC31" s="27">
        <v>26</v>
      </c>
      <c r="AD31" s="27">
        <v>24</v>
      </c>
      <c r="AE31" s="27">
        <v>26</v>
      </c>
      <c r="AF31" s="27">
        <v>26</v>
      </c>
      <c r="AG31" s="27">
        <v>25</v>
      </c>
      <c r="AH31" s="27">
        <v>25</v>
      </c>
      <c r="AI31" s="27">
        <v>26</v>
      </c>
      <c r="AJ31" s="27">
        <v>23</v>
      </c>
      <c r="AK31" s="27">
        <v>19</v>
      </c>
      <c r="AL31" s="27">
        <v>24</v>
      </c>
      <c r="AM31" s="27">
        <v>24</v>
      </c>
      <c r="AN31" s="27">
        <v>27</v>
      </c>
      <c r="AO31" s="27">
        <v>26</v>
      </c>
      <c r="AP31" s="27">
        <v>24</v>
      </c>
      <c r="AQ31" s="27">
        <v>13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2.75">
      <c r="A32" s="4"/>
      <c r="B32" s="4"/>
      <c r="C32" s="18"/>
      <c r="D32" s="31">
        <f>SUM(D7:D31)</f>
        <v>24683</v>
      </c>
      <c r="E32" s="31">
        <f aca="true" t="shared" si="3" ref="E32:BD32">SUM(E7:E31)</f>
        <v>2300</v>
      </c>
      <c r="F32" s="31">
        <f t="shared" si="3"/>
        <v>196</v>
      </c>
      <c r="G32" s="31">
        <f t="shared" si="3"/>
        <v>494</v>
      </c>
      <c r="H32" s="31">
        <f t="shared" si="3"/>
        <v>848</v>
      </c>
      <c r="I32" s="31">
        <f t="shared" si="3"/>
        <v>762</v>
      </c>
      <c r="J32" s="31">
        <f t="shared" si="3"/>
        <v>613</v>
      </c>
      <c r="K32" s="31">
        <f t="shared" si="3"/>
        <v>1207</v>
      </c>
      <c r="L32" s="31">
        <f t="shared" si="3"/>
        <v>635</v>
      </c>
      <c r="M32" s="31">
        <f t="shared" si="3"/>
        <v>486</v>
      </c>
      <c r="N32" s="31">
        <f t="shared" si="3"/>
        <v>726</v>
      </c>
      <c r="O32" s="31">
        <f t="shared" si="3"/>
        <v>608</v>
      </c>
      <c r="P32" s="31">
        <f t="shared" si="3"/>
        <v>593</v>
      </c>
      <c r="Q32" s="31">
        <f t="shared" si="3"/>
        <v>559</v>
      </c>
      <c r="R32" s="31">
        <f t="shared" si="3"/>
        <v>514</v>
      </c>
      <c r="S32" s="31">
        <f t="shared" si="3"/>
        <v>435</v>
      </c>
      <c r="T32" s="31">
        <f t="shared" si="3"/>
        <v>560</v>
      </c>
      <c r="U32" s="31">
        <f t="shared" si="3"/>
        <v>376</v>
      </c>
      <c r="V32" s="31">
        <f t="shared" si="3"/>
        <v>362</v>
      </c>
      <c r="W32" s="31">
        <f t="shared" si="3"/>
        <v>460</v>
      </c>
      <c r="X32" s="31">
        <f t="shared" si="3"/>
        <v>493</v>
      </c>
      <c r="Y32" s="31">
        <f t="shared" si="3"/>
        <v>695</v>
      </c>
      <c r="Z32" s="31">
        <f t="shared" si="3"/>
        <v>863</v>
      </c>
      <c r="AA32" s="31">
        <f t="shared" si="3"/>
        <v>703</v>
      </c>
      <c r="AB32" s="31">
        <f t="shared" si="3"/>
        <v>735</v>
      </c>
      <c r="AC32" s="31">
        <f t="shared" si="3"/>
        <v>653</v>
      </c>
      <c r="AD32" s="31">
        <f t="shared" si="3"/>
        <v>658</v>
      </c>
      <c r="AE32" s="31">
        <f t="shared" si="3"/>
        <v>669</v>
      </c>
      <c r="AF32" s="31">
        <f t="shared" si="3"/>
        <v>589</v>
      </c>
      <c r="AG32" s="31">
        <f t="shared" si="3"/>
        <v>545</v>
      </c>
      <c r="AH32" s="31">
        <f t="shared" si="3"/>
        <v>610</v>
      </c>
      <c r="AI32" s="31">
        <f t="shared" si="3"/>
        <v>830</v>
      </c>
      <c r="AJ32" s="31">
        <f t="shared" si="3"/>
        <v>574</v>
      </c>
      <c r="AK32" s="31">
        <f t="shared" si="3"/>
        <v>417</v>
      </c>
      <c r="AL32" s="31">
        <f t="shared" si="3"/>
        <v>544</v>
      </c>
      <c r="AM32" s="31">
        <f t="shared" si="3"/>
        <v>389</v>
      </c>
      <c r="AN32" s="31">
        <f t="shared" si="3"/>
        <v>562</v>
      </c>
      <c r="AO32" s="31">
        <f t="shared" si="3"/>
        <v>619</v>
      </c>
      <c r="AP32" s="31">
        <f t="shared" si="3"/>
        <v>482</v>
      </c>
      <c r="AQ32" s="31">
        <f t="shared" si="3"/>
        <v>428</v>
      </c>
      <c r="AR32" s="31">
        <f t="shared" si="3"/>
        <v>358</v>
      </c>
      <c r="AS32" s="31">
        <f t="shared" si="3"/>
        <v>375</v>
      </c>
      <c r="AT32" s="31">
        <f t="shared" si="3"/>
        <v>324</v>
      </c>
      <c r="AU32" s="31">
        <f t="shared" si="3"/>
        <v>410</v>
      </c>
      <c r="AV32" s="31">
        <f t="shared" si="3"/>
        <v>375</v>
      </c>
      <c r="AW32" s="31">
        <f t="shared" si="3"/>
        <v>318</v>
      </c>
      <c r="AX32" s="31">
        <f t="shared" si="3"/>
        <v>31</v>
      </c>
      <c r="AY32" s="31">
        <f t="shared" si="3"/>
        <v>0</v>
      </c>
      <c r="AZ32" s="31">
        <f t="shared" si="3"/>
        <v>0</v>
      </c>
      <c r="BA32" s="31">
        <f t="shared" si="3"/>
        <v>0</v>
      </c>
      <c r="BB32" s="31">
        <f t="shared" si="3"/>
        <v>0</v>
      </c>
      <c r="BC32" s="31">
        <f t="shared" si="3"/>
        <v>0</v>
      </c>
      <c r="BD32" s="31">
        <f t="shared" si="3"/>
        <v>0</v>
      </c>
      <c r="BE32" s="4"/>
      <c r="BF32" s="4"/>
      <c r="BG32" s="4"/>
      <c r="BH32" s="4"/>
      <c r="BI32" s="4"/>
      <c r="BJ32" s="4"/>
      <c r="BK32" s="4"/>
      <c r="BL32" s="4"/>
    </row>
    <row r="33" spans="1:64" ht="12.75">
      <c r="A33" s="4"/>
      <c r="B33" s="4"/>
      <c r="C33" s="18"/>
      <c r="D33" s="22"/>
      <c r="E33" s="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2.75">
      <c r="A34" s="4" t="s">
        <v>270</v>
      </c>
      <c r="B34" s="4" t="s">
        <v>273</v>
      </c>
      <c r="C34" s="18"/>
      <c r="D34" s="22">
        <f t="shared" si="0"/>
        <v>258</v>
      </c>
      <c r="E34" s="21">
        <f aca="true" t="shared" si="4" ref="E34:E59">SUM(F34:I34)</f>
        <v>14</v>
      </c>
      <c r="F34" s="4">
        <v>5</v>
      </c>
      <c r="G34" s="4"/>
      <c r="H34" s="4"/>
      <c r="I34" s="4">
        <v>9</v>
      </c>
      <c r="J34" s="4">
        <v>30</v>
      </c>
      <c r="K34" s="4">
        <v>35</v>
      </c>
      <c r="L34" s="4">
        <v>25</v>
      </c>
      <c r="M34" s="4">
        <v>30</v>
      </c>
      <c r="N34" s="4">
        <v>48</v>
      </c>
      <c r="O34" s="4">
        <v>32</v>
      </c>
      <c r="P34" s="4">
        <v>33</v>
      </c>
      <c r="Q34" s="4">
        <v>11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2.75">
      <c r="A35" s="4" t="s">
        <v>270</v>
      </c>
      <c r="B35" s="4" t="s">
        <v>274</v>
      </c>
      <c r="C35" s="18"/>
      <c r="D35" s="22">
        <f t="shared" si="0"/>
        <v>1629</v>
      </c>
      <c r="E35" s="21">
        <f t="shared" si="4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4</v>
      </c>
      <c r="Q35" s="4">
        <v>20</v>
      </c>
      <c r="R35" s="4">
        <v>40</v>
      </c>
      <c r="S35" s="4">
        <v>136</v>
      </c>
      <c r="T35" s="4">
        <v>173</v>
      </c>
      <c r="U35" s="4">
        <v>325</v>
      </c>
      <c r="V35" s="4">
        <v>270</v>
      </c>
      <c r="W35" s="4">
        <v>183</v>
      </c>
      <c r="X35" s="4">
        <v>101</v>
      </c>
      <c r="Y35" s="4">
        <v>56</v>
      </c>
      <c r="Z35" s="4">
        <v>63</v>
      </c>
      <c r="AA35" s="4">
        <v>65</v>
      </c>
      <c r="AB35" s="4">
        <v>64</v>
      </c>
      <c r="AC35" s="4">
        <v>69</v>
      </c>
      <c r="AD35" s="4">
        <v>32</v>
      </c>
      <c r="AE35" s="4"/>
      <c r="AF35" s="4"/>
      <c r="AG35" s="4"/>
      <c r="AH35" s="4"/>
      <c r="AI35" s="4"/>
      <c r="AJ35" s="4"/>
      <c r="AK35" s="4"/>
      <c r="AL35" s="4"/>
      <c r="AM35" s="4">
        <v>2</v>
      </c>
      <c r="AN35" s="4">
        <v>12</v>
      </c>
      <c r="AO35" s="4">
        <v>14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ht="12.75">
      <c r="A36" s="4" t="s">
        <v>270</v>
      </c>
      <c r="B36" s="4" t="s">
        <v>275</v>
      </c>
      <c r="C36" s="18"/>
      <c r="D36" s="22">
        <f t="shared" si="0"/>
        <v>339</v>
      </c>
      <c r="E36" s="21">
        <f t="shared" si="4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v>4</v>
      </c>
      <c r="AD36" s="4">
        <v>8</v>
      </c>
      <c r="AE36" s="4">
        <v>16</v>
      </c>
      <c r="AF36" s="4">
        <v>2</v>
      </c>
      <c r="AG36" s="4">
        <v>2</v>
      </c>
      <c r="AH36" s="4">
        <v>47</v>
      </c>
      <c r="AI36" s="4">
        <v>52</v>
      </c>
      <c r="AJ36" s="4">
        <v>45</v>
      </c>
      <c r="AK36" s="4">
        <v>38</v>
      </c>
      <c r="AL36" s="4">
        <v>47</v>
      </c>
      <c r="AM36" s="4">
        <v>47</v>
      </c>
      <c r="AN36" s="4">
        <v>31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2.75">
      <c r="A37" s="4" t="s">
        <v>270</v>
      </c>
      <c r="B37" s="4" t="s">
        <v>276</v>
      </c>
      <c r="C37" s="18"/>
      <c r="D37" s="22">
        <f t="shared" si="0"/>
        <v>161</v>
      </c>
      <c r="E37" s="21">
        <f t="shared" si="4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15</v>
      </c>
      <c r="X37" s="4">
        <v>15</v>
      </c>
      <c r="Y37" s="4">
        <v>19</v>
      </c>
      <c r="Z37" s="4">
        <v>20</v>
      </c>
      <c r="AA37" s="4">
        <v>7</v>
      </c>
      <c r="AB37" s="4">
        <v>6</v>
      </c>
      <c r="AC37" s="4">
        <v>18</v>
      </c>
      <c r="AD37" s="4">
        <v>16</v>
      </c>
      <c r="AE37" s="4">
        <v>18</v>
      </c>
      <c r="AF37" s="4">
        <v>18</v>
      </c>
      <c r="AG37" s="4">
        <v>9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2.75">
      <c r="A38" s="4" t="s">
        <v>270</v>
      </c>
      <c r="B38" s="4" t="s">
        <v>277</v>
      </c>
      <c r="C38" s="18"/>
      <c r="D38" s="22">
        <f t="shared" si="0"/>
        <v>73</v>
      </c>
      <c r="E38" s="21">
        <f t="shared" si="4"/>
        <v>0</v>
      </c>
      <c r="F38" s="4"/>
      <c r="G38" s="4"/>
      <c r="H38" s="4"/>
      <c r="I38" s="4"/>
      <c r="J38" s="4"/>
      <c r="K38" s="4"/>
      <c r="L38" s="4"/>
      <c r="M38" s="4"/>
      <c r="N38" s="4"/>
      <c r="O38" s="4">
        <v>4</v>
      </c>
      <c r="P38" s="4">
        <v>4</v>
      </c>
      <c r="Q38" s="4">
        <v>4</v>
      </c>
      <c r="R38" s="4">
        <v>5</v>
      </c>
      <c r="S38" s="4">
        <v>3</v>
      </c>
      <c r="T38" s="4">
        <v>7</v>
      </c>
      <c r="U38" s="4">
        <v>4</v>
      </c>
      <c r="V38" s="4"/>
      <c r="W38" s="4">
        <v>15</v>
      </c>
      <c r="X38" s="4">
        <v>12</v>
      </c>
      <c r="Y38" s="4">
        <v>3</v>
      </c>
      <c r="Z38" s="4">
        <v>6</v>
      </c>
      <c r="AA38" s="4">
        <v>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>
        <v>2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2.75">
      <c r="A39" s="4" t="s">
        <v>270</v>
      </c>
      <c r="B39" s="4" t="s">
        <v>272</v>
      </c>
      <c r="C39" s="18"/>
      <c r="D39" s="22">
        <f t="shared" si="0"/>
        <v>1004</v>
      </c>
      <c r="E39" s="21">
        <f t="shared" si="4"/>
        <v>168</v>
      </c>
      <c r="F39" s="4">
        <v>8</v>
      </c>
      <c r="G39" s="4">
        <v>65</v>
      </c>
      <c r="H39" s="4">
        <v>60</v>
      </c>
      <c r="I39" s="4">
        <v>35</v>
      </c>
      <c r="J39" s="4">
        <v>60</v>
      </c>
      <c r="K39" s="4">
        <v>61</v>
      </c>
      <c r="L39" s="4">
        <v>59</v>
      </c>
      <c r="M39" s="4">
        <v>56</v>
      </c>
      <c r="N39" s="4">
        <v>59</v>
      </c>
      <c r="O39" s="4">
        <v>58</v>
      </c>
      <c r="P39" s="4">
        <v>104</v>
      </c>
      <c r="Q39" s="4">
        <v>57</v>
      </c>
      <c r="R39" s="4">
        <v>57</v>
      </c>
      <c r="S39" s="4">
        <v>56</v>
      </c>
      <c r="T39" s="4">
        <v>103</v>
      </c>
      <c r="U39" s="4">
        <v>54</v>
      </c>
      <c r="V39" s="4">
        <v>52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2.75">
      <c r="A40" s="4" t="s">
        <v>270</v>
      </c>
      <c r="B40" s="4" t="s">
        <v>278</v>
      </c>
      <c r="C40" s="18"/>
      <c r="D40" s="22">
        <f t="shared" si="0"/>
        <v>-36</v>
      </c>
      <c r="E40" s="21">
        <f t="shared" si="4"/>
        <v>-36</v>
      </c>
      <c r="F40" s="4">
        <v>-36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s="32" customFormat="1" ht="12.75">
      <c r="A41" s="4" t="s">
        <v>270</v>
      </c>
      <c r="B41" s="4" t="s">
        <v>280</v>
      </c>
      <c r="C41" s="18"/>
      <c r="D41" s="22">
        <f t="shared" si="0"/>
        <v>-84</v>
      </c>
      <c r="E41" s="21">
        <f t="shared" si="4"/>
        <v>-84</v>
      </c>
      <c r="F41" s="4">
        <v>5</v>
      </c>
      <c r="G41" s="4">
        <v>1</v>
      </c>
      <c r="H41" s="4"/>
      <c r="I41" s="4">
        <v>-90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2.75">
      <c r="A42" s="4" t="s">
        <v>270</v>
      </c>
      <c r="B42" s="4" t="s">
        <v>279</v>
      </c>
      <c r="C42" s="18"/>
      <c r="D42" s="22">
        <f t="shared" si="0"/>
        <v>280</v>
      </c>
      <c r="E42" s="21">
        <f t="shared" si="4"/>
        <v>58</v>
      </c>
      <c r="F42" s="4">
        <v>12</v>
      </c>
      <c r="G42" s="4">
        <v>23</v>
      </c>
      <c r="H42" s="4">
        <v>8</v>
      </c>
      <c r="I42" s="4">
        <v>15</v>
      </c>
      <c r="J42" s="4">
        <v>12</v>
      </c>
      <c r="K42" s="4">
        <v>116</v>
      </c>
      <c r="L42" s="4">
        <v>56</v>
      </c>
      <c r="M42" s="4">
        <v>19</v>
      </c>
      <c r="N42" s="4">
        <v>17</v>
      </c>
      <c r="O42" s="4">
        <v>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2.75">
      <c r="A43" s="4" t="s">
        <v>270</v>
      </c>
      <c r="B43" s="4" t="s">
        <v>281</v>
      </c>
      <c r="C43" s="18"/>
      <c r="D43" s="22">
        <f t="shared" si="0"/>
        <v>1208</v>
      </c>
      <c r="E43" s="21">
        <f t="shared" si="4"/>
        <v>894</v>
      </c>
      <c r="F43" s="4">
        <v>177</v>
      </c>
      <c r="G43" s="4">
        <v>276</v>
      </c>
      <c r="H43" s="4">
        <v>250</v>
      </c>
      <c r="I43" s="4">
        <v>191</v>
      </c>
      <c r="J43" s="4">
        <v>102</v>
      </c>
      <c r="K43" s="4">
        <v>118</v>
      </c>
      <c r="L43" s="4">
        <v>26</v>
      </c>
      <c r="M43" s="4">
        <v>19</v>
      </c>
      <c r="N43" s="4">
        <v>25</v>
      </c>
      <c r="O43" s="4">
        <v>24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2.75">
      <c r="A44" s="4" t="s">
        <v>270</v>
      </c>
      <c r="B44" s="4" t="s">
        <v>282</v>
      </c>
      <c r="C44" s="18"/>
      <c r="D44" s="22">
        <f t="shared" si="0"/>
        <v>118</v>
      </c>
      <c r="E44" s="21">
        <f t="shared" si="4"/>
        <v>118</v>
      </c>
      <c r="F44" s="4">
        <v>30</v>
      </c>
      <c r="G44" s="4"/>
      <c r="H44" s="4">
        <v>51</v>
      </c>
      <c r="I44" s="4">
        <v>37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2.75">
      <c r="A45" s="4" t="s">
        <v>270</v>
      </c>
      <c r="B45" s="4" t="s">
        <v>288</v>
      </c>
      <c r="C45" s="18"/>
      <c r="D45" s="22">
        <f t="shared" si="0"/>
        <v>186</v>
      </c>
      <c r="E45" s="21">
        <f t="shared" si="4"/>
        <v>128</v>
      </c>
      <c r="F45" s="4">
        <v>7</v>
      </c>
      <c r="G45" s="4">
        <v>31</v>
      </c>
      <c r="H45" s="4">
        <v>32</v>
      </c>
      <c r="I45" s="4">
        <v>58</v>
      </c>
      <c r="J45" s="4">
        <v>36</v>
      </c>
      <c r="K45" s="4">
        <v>22</v>
      </c>
      <c r="L45" s="4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2.75">
      <c r="A46" s="4" t="s">
        <v>270</v>
      </c>
      <c r="B46" s="4" t="s">
        <v>289</v>
      </c>
      <c r="C46" s="18"/>
      <c r="D46" s="22">
        <f t="shared" si="0"/>
        <v>1074</v>
      </c>
      <c r="E46" s="21">
        <f t="shared" si="4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32</v>
      </c>
      <c r="T46" s="4">
        <v>109</v>
      </c>
      <c r="U46" s="4">
        <v>131</v>
      </c>
      <c r="V46" s="4">
        <v>131</v>
      </c>
      <c r="W46" s="4">
        <v>143</v>
      </c>
      <c r="X46" s="4">
        <v>93</v>
      </c>
      <c r="Y46" s="4">
        <v>51</v>
      </c>
      <c r="Z46" s="4">
        <v>63</v>
      </c>
      <c r="AA46" s="4">
        <v>60</v>
      </c>
      <c r="AB46" s="4">
        <v>66</v>
      </c>
      <c r="AC46" s="4">
        <v>66</v>
      </c>
      <c r="AD46" s="4">
        <v>60</v>
      </c>
      <c r="AE46" s="4">
        <v>66</v>
      </c>
      <c r="AF46" s="4">
        <v>3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ht="12.75">
      <c r="A47" s="4" t="s">
        <v>270</v>
      </c>
      <c r="B47" s="4" t="s">
        <v>290</v>
      </c>
      <c r="C47" s="18"/>
      <c r="D47" s="22">
        <f t="shared" si="0"/>
        <v>861</v>
      </c>
      <c r="E47" s="21">
        <f t="shared" si="4"/>
        <v>6</v>
      </c>
      <c r="F47" s="4">
        <v>6</v>
      </c>
      <c r="G47" s="4"/>
      <c r="H47" s="4"/>
      <c r="I47" s="4"/>
      <c r="J47" s="4"/>
      <c r="K47" s="4"/>
      <c r="L47" s="4"/>
      <c r="M47" s="4"/>
      <c r="N47" s="4">
        <v>28</v>
      </c>
      <c r="O47" s="4">
        <v>27</v>
      </c>
      <c r="P47" s="4">
        <v>27</v>
      </c>
      <c r="Q47" s="4">
        <v>28</v>
      </c>
      <c r="R47" s="4">
        <v>27</v>
      </c>
      <c r="S47" s="4">
        <v>48</v>
      </c>
      <c r="T47" s="4">
        <v>31</v>
      </c>
      <c r="U47" s="4">
        <v>47</v>
      </c>
      <c r="V47" s="4">
        <v>58</v>
      </c>
      <c r="W47" s="4">
        <v>77</v>
      </c>
      <c r="X47" s="4">
        <v>61</v>
      </c>
      <c r="Y47" s="4">
        <v>53</v>
      </c>
      <c r="Z47" s="4">
        <v>26</v>
      </c>
      <c r="AA47" s="4">
        <v>20</v>
      </c>
      <c r="AB47" s="4">
        <v>23</v>
      </c>
      <c r="AC47" s="4">
        <v>23</v>
      </c>
      <c r="AD47" s="4">
        <v>20</v>
      </c>
      <c r="AE47" s="4">
        <v>23</v>
      </c>
      <c r="AF47" s="4">
        <v>23</v>
      </c>
      <c r="AG47" s="4">
        <v>21</v>
      </c>
      <c r="AH47" s="4">
        <v>4</v>
      </c>
      <c r="AI47" s="4">
        <v>42</v>
      </c>
      <c r="AJ47" s="4">
        <v>42</v>
      </c>
      <c r="AK47" s="4">
        <v>39</v>
      </c>
      <c r="AL47" s="4">
        <v>34</v>
      </c>
      <c r="AM47" s="4">
        <v>3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2.75">
      <c r="A48" s="4" t="s">
        <v>270</v>
      </c>
      <c r="B48" s="4" t="s">
        <v>285</v>
      </c>
      <c r="C48" s="18"/>
      <c r="D48" s="22">
        <f t="shared" si="0"/>
        <v>207</v>
      </c>
      <c r="E48" s="21">
        <f t="shared" si="4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6</v>
      </c>
      <c r="X48" s="4">
        <v>4</v>
      </c>
      <c r="Y48" s="4">
        <v>4</v>
      </c>
      <c r="Z48" s="4">
        <v>10</v>
      </c>
      <c r="AA48" s="4">
        <v>22</v>
      </c>
      <c r="AB48" s="4">
        <v>43</v>
      </c>
      <c r="AC48" s="4">
        <v>44</v>
      </c>
      <c r="AD48" s="4">
        <v>21</v>
      </c>
      <c r="AE48" s="4">
        <v>23</v>
      </c>
      <c r="AF48" s="4">
        <v>23</v>
      </c>
      <c r="AG48" s="4">
        <v>7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2.75">
      <c r="A49" s="4" t="s">
        <v>270</v>
      </c>
      <c r="B49" s="4" t="s">
        <v>283</v>
      </c>
      <c r="C49" s="18"/>
      <c r="D49" s="22">
        <f t="shared" si="0"/>
        <v>164</v>
      </c>
      <c r="E49" s="21">
        <f t="shared" si="4"/>
        <v>0</v>
      </c>
      <c r="F49" s="4"/>
      <c r="G49" s="4"/>
      <c r="H49" s="4"/>
      <c r="I49" s="4"/>
      <c r="J49" s="4"/>
      <c r="K49" s="4">
        <v>43</v>
      </c>
      <c r="L49" s="4">
        <v>36</v>
      </c>
      <c r="M49" s="4">
        <v>28</v>
      </c>
      <c r="N49" s="4">
        <v>41</v>
      </c>
      <c r="O49" s="4">
        <v>15</v>
      </c>
      <c r="P49" s="4">
        <v>1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2.75">
      <c r="A50" s="4" t="s">
        <v>270</v>
      </c>
      <c r="B50" s="4" t="s">
        <v>286</v>
      </c>
      <c r="C50" s="18"/>
      <c r="D50" s="22">
        <f t="shared" si="0"/>
        <v>325</v>
      </c>
      <c r="E50" s="21">
        <f t="shared" si="4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>
        <v>74</v>
      </c>
      <c r="AJ50" s="4">
        <v>64</v>
      </c>
      <c r="AK50" s="4">
        <v>54</v>
      </c>
      <c r="AL50" s="4">
        <v>52</v>
      </c>
      <c r="AM50" s="4">
        <v>36</v>
      </c>
      <c r="AN50" s="4">
        <v>31</v>
      </c>
      <c r="AO50" s="4">
        <v>14</v>
      </c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ht="12.75">
      <c r="A51" s="4" t="s">
        <v>270</v>
      </c>
      <c r="B51" s="4" t="s">
        <v>284</v>
      </c>
      <c r="C51" s="18"/>
      <c r="D51" s="22">
        <f t="shared" si="0"/>
        <v>91</v>
      </c>
      <c r="E51" s="21">
        <f t="shared" si="4"/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1</v>
      </c>
      <c r="Q51" s="4">
        <v>1</v>
      </c>
      <c r="R51" s="4">
        <v>1</v>
      </c>
      <c r="S51" s="4">
        <v>6</v>
      </c>
      <c r="T51" s="4">
        <v>18</v>
      </c>
      <c r="U51" s="4">
        <v>17</v>
      </c>
      <c r="V51" s="4">
        <v>18</v>
      </c>
      <c r="W51" s="4">
        <v>20</v>
      </c>
      <c r="X51" s="4">
        <v>6</v>
      </c>
      <c r="Y51" s="4">
        <v>1</v>
      </c>
      <c r="Z51" s="4">
        <v>1</v>
      </c>
      <c r="AA51" s="4">
        <v>1</v>
      </c>
      <c r="AB51" s="4"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2.75">
      <c r="A52" s="4" t="s">
        <v>270</v>
      </c>
      <c r="B52" s="4" t="s">
        <v>287</v>
      </c>
      <c r="C52" s="18"/>
      <c r="D52" s="22">
        <f t="shared" si="0"/>
        <v>517</v>
      </c>
      <c r="E52" s="21">
        <f t="shared" si="4"/>
        <v>67</v>
      </c>
      <c r="F52" s="4">
        <v>9</v>
      </c>
      <c r="G52" s="4">
        <v>15</v>
      </c>
      <c r="H52" s="4">
        <v>17</v>
      </c>
      <c r="I52" s="4">
        <v>26</v>
      </c>
      <c r="J52" s="4">
        <v>25</v>
      </c>
      <c r="K52" s="4">
        <v>28</v>
      </c>
      <c r="L52" s="4">
        <v>19</v>
      </c>
      <c r="M52" s="4">
        <v>25</v>
      </c>
      <c r="N52" s="4">
        <v>37</v>
      </c>
      <c r="O52" s="4">
        <v>35</v>
      </c>
      <c r="P52" s="4">
        <v>35</v>
      </c>
      <c r="Q52" s="4">
        <v>36</v>
      </c>
      <c r="R52" s="4">
        <v>32</v>
      </c>
      <c r="S52" s="4">
        <v>32</v>
      </c>
      <c r="T52" s="4">
        <v>33</v>
      </c>
      <c r="U52" s="4">
        <v>34</v>
      </c>
      <c r="V52" s="4">
        <v>39</v>
      </c>
      <c r="W52" s="4">
        <v>19</v>
      </c>
      <c r="X52" s="4">
        <v>7</v>
      </c>
      <c r="Y52" s="4">
        <v>7</v>
      </c>
      <c r="Z52" s="4">
        <v>7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ht="12.75">
      <c r="A53" s="4" t="s">
        <v>270</v>
      </c>
      <c r="B53" s="4" t="s">
        <v>291</v>
      </c>
      <c r="C53" s="18"/>
      <c r="D53" s="22">
        <f t="shared" si="0"/>
        <v>1618</v>
      </c>
      <c r="E53" s="21">
        <f t="shared" si="4"/>
        <v>133</v>
      </c>
      <c r="F53" s="4">
        <v>34</v>
      </c>
      <c r="G53" s="4">
        <v>32</v>
      </c>
      <c r="H53" s="4">
        <v>32</v>
      </c>
      <c r="I53" s="4">
        <v>35</v>
      </c>
      <c r="J53" s="4">
        <v>29</v>
      </c>
      <c r="K53" s="4">
        <v>38</v>
      </c>
      <c r="L53" s="4">
        <v>33</v>
      </c>
      <c r="M53" s="4">
        <v>25</v>
      </c>
      <c r="N53" s="4">
        <v>36</v>
      </c>
      <c r="O53" s="4">
        <v>34</v>
      </c>
      <c r="P53" s="4">
        <v>34</v>
      </c>
      <c r="Q53" s="4">
        <v>36</v>
      </c>
      <c r="R53" s="4">
        <v>34</v>
      </c>
      <c r="S53" s="4">
        <v>34</v>
      </c>
      <c r="T53" s="4">
        <v>36</v>
      </c>
      <c r="U53" s="4">
        <v>34</v>
      </c>
      <c r="V53" s="4">
        <v>33</v>
      </c>
      <c r="W53" s="4">
        <v>40</v>
      </c>
      <c r="X53" s="4">
        <v>31</v>
      </c>
      <c r="Y53" s="4">
        <v>30</v>
      </c>
      <c r="Z53" s="4">
        <v>37</v>
      </c>
      <c r="AA53" s="4">
        <v>35</v>
      </c>
      <c r="AB53" s="4">
        <v>38</v>
      </c>
      <c r="AC53" s="4">
        <v>38</v>
      </c>
      <c r="AD53" s="4">
        <v>35</v>
      </c>
      <c r="AE53" s="4">
        <v>38</v>
      </c>
      <c r="AF53" s="4">
        <v>38</v>
      </c>
      <c r="AG53" s="4">
        <v>37</v>
      </c>
      <c r="AH53" s="4">
        <v>33</v>
      </c>
      <c r="AI53" s="4">
        <v>40</v>
      </c>
      <c r="AJ53" s="4">
        <v>34</v>
      </c>
      <c r="AK53" s="4">
        <v>29</v>
      </c>
      <c r="AL53" s="4">
        <v>36</v>
      </c>
      <c r="AM53" s="4">
        <v>36</v>
      </c>
      <c r="AN53" s="4">
        <v>42</v>
      </c>
      <c r="AO53" s="4">
        <v>40</v>
      </c>
      <c r="AP53" s="4">
        <v>36</v>
      </c>
      <c r="AQ53" s="4">
        <v>40</v>
      </c>
      <c r="AR53" s="4">
        <v>38</v>
      </c>
      <c r="AS53" s="4">
        <v>40</v>
      </c>
      <c r="AT53" s="4">
        <v>38</v>
      </c>
      <c r="AU53" s="4">
        <v>45</v>
      </c>
      <c r="AV53" s="4">
        <v>43</v>
      </c>
      <c r="AW53" s="4">
        <v>37</v>
      </c>
      <c r="AX53" s="4">
        <v>45</v>
      </c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ht="12.75">
      <c r="A54" s="4" t="s">
        <v>270</v>
      </c>
      <c r="B54" s="4" t="s">
        <v>292</v>
      </c>
      <c r="C54" s="18"/>
      <c r="D54" s="22">
        <f t="shared" si="0"/>
        <v>2519</v>
      </c>
      <c r="E54" s="21">
        <f t="shared" si="4"/>
        <v>290</v>
      </c>
      <c r="F54">
        <v>82</v>
      </c>
      <c r="G54">
        <v>76</v>
      </c>
      <c r="H54">
        <v>63</v>
      </c>
      <c r="I54">
        <v>69</v>
      </c>
      <c r="J54">
        <v>53</v>
      </c>
      <c r="K54" s="4">
        <v>61</v>
      </c>
      <c r="L54" s="4">
        <v>53</v>
      </c>
      <c r="M54" s="4">
        <v>40</v>
      </c>
      <c r="N54" s="4">
        <v>59</v>
      </c>
      <c r="O54" s="4">
        <v>56</v>
      </c>
      <c r="P54" s="4">
        <v>56</v>
      </c>
      <c r="Q54" s="4">
        <v>59</v>
      </c>
      <c r="R54" s="4">
        <v>56</v>
      </c>
      <c r="S54" s="4">
        <v>56</v>
      </c>
      <c r="T54" s="4">
        <v>59</v>
      </c>
      <c r="U54" s="4">
        <v>56</v>
      </c>
      <c r="V54" s="4">
        <v>56</v>
      </c>
      <c r="W54" s="4">
        <v>61</v>
      </c>
      <c r="X54" s="4">
        <v>48</v>
      </c>
      <c r="Y54" s="4">
        <v>45</v>
      </c>
      <c r="Z54" s="4">
        <v>56</v>
      </c>
      <c r="AA54" s="4">
        <v>53</v>
      </c>
      <c r="AB54" s="4">
        <v>59</v>
      </c>
      <c r="AC54" s="4">
        <v>59</v>
      </c>
      <c r="AD54" s="4">
        <v>53</v>
      </c>
      <c r="AE54" s="4">
        <v>59</v>
      </c>
      <c r="AF54" s="4">
        <v>59</v>
      </c>
      <c r="AG54" s="4">
        <v>56</v>
      </c>
      <c r="AH54" s="4">
        <v>56</v>
      </c>
      <c r="AI54" s="4">
        <v>59</v>
      </c>
      <c r="AJ54" s="4">
        <v>51</v>
      </c>
      <c r="AK54" s="4">
        <v>43</v>
      </c>
      <c r="AL54" s="4">
        <v>53</v>
      </c>
      <c r="AM54" s="4">
        <v>53</v>
      </c>
      <c r="AN54" s="4">
        <v>61</v>
      </c>
      <c r="AO54" s="4">
        <v>59</v>
      </c>
      <c r="AP54" s="4">
        <v>53</v>
      </c>
      <c r="AQ54" s="4">
        <v>59</v>
      </c>
      <c r="AR54" s="4">
        <v>56</v>
      </c>
      <c r="AS54" s="4">
        <v>59</v>
      </c>
      <c r="AT54" s="4">
        <v>56</v>
      </c>
      <c r="AU54" s="4">
        <v>48</v>
      </c>
      <c r="AV54" s="4">
        <v>46</v>
      </c>
      <c r="AW54" s="4">
        <v>39</v>
      </c>
      <c r="AX54" s="4">
        <v>48</v>
      </c>
      <c r="AY54" s="4">
        <v>2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2.75">
      <c r="A55" s="4" t="s">
        <v>270</v>
      </c>
      <c r="B55" s="4" t="s">
        <v>293</v>
      </c>
      <c r="C55" s="18"/>
      <c r="D55" s="22">
        <f t="shared" si="0"/>
        <v>1412</v>
      </c>
      <c r="E55" s="21">
        <f t="shared" si="4"/>
        <v>132</v>
      </c>
      <c r="F55" s="4">
        <v>33</v>
      </c>
      <c r="G55" s="4">
        <v>32</v>
      </c>
      <c r="H55" s="4">
        <v>32</v>
      </c>
      <c r="I55" s="4">
        <v>35</v>
      </c>
      <c r="J55" s="4">
        <v>29</v>
      </c>
      <c r="K55" s="4">
        <v>35</v>
      </c>
      <c r="L55" s="4">
        <v>30</v>
      </c>
      <c r="M55" s="4">
        <v>23</v>
      </c>
      <c r="N55" s="4">
        <v>33</v>
      </c>
      <c r="O55" s="4">
        <v>32</v>
      </c>
      <c r="P55" s="4">
        <v>32</v>
      </c>
      <c r="Q55" s="4">
        <v>33</v>
      </c>
      <c r="R55" s="4">
        <v>32</v>
      </c>
      <c r="S55" s="4">
        <v>32</v>
      </c>
      <c r="T55" s="4">
        <v>33</v>
      </c>
      <c r="U55" s="4">
        <v>32</v>
      </c>
      <c r="V55" s="4">
        <v>32</v>
      </c>
      <c r="W55" s="4">
        <v>35</v>
      </c>
      <c r="X55" s="4">
        <v>27</v>
      </c>
      <c r="Y55" s="4">
        <v>26</v>
      </c>
      <c r="Z55" s="4">
        <v>32</v>
      </c>
      <c r="AA55" s="4">
        <v>30</v>
      </c>
      <c r="AB55" s="4">
        <v>33</v>
      </c>
      <c r="AC55" s="4">
        <v>33</v>
      </c>
      <c r="AD55" s="4">
        <v>30</v>
      </c>
      <c r="AE55" s="4">
        <v>33</v>
      </c>
      <c r="AF55" s="4">
        <v>33</v>
      </c>
      <c r="AG55" s="4">
        <v>32</v>
      </c>
      <c r="AH55" s="4">
        <v>32</v>
      </c>
      <c r="AI55" s="4">
        <v>33</v>
      </c>
      <c r="AJ55" s="4">
        <v>29</v>
      </c>
      <c r="AK55" s="4">
        <v>24</v>
      </c>
      <c r="AL55" s="4">
        <v>30</v>
      </c>
      <c r="AM55" s="4">
        <v>30</v>
      </c>
      <c r="AN55" s="4">
        <v>35</v>
      </c>
      <c r="AO55" s="4">
        <v>33</v>
      </c>
      <c r="AP55" s="4">
        <v>30</v>
      </c>
      <c r="AQ55" s="4">
        <v>33</v>
      </c>
      <c r="AR55" s="4">
        <v>32</v>
      </c>
      <c r="AS55" s="4">
        <v>33</v>
      </c>
      <c r="AT55" s="4">
        <v>32</v>
      </c>
      <c r="AU55" s="4">
        <v>32</v>
      </c>
      <c r="AV55" s="4">
        <v>30</v>
      </c>
      <c r="AW55" s="4">
        <v>26</v>
      </c>
      <c r="AX55" s="4">
        <v>32</v>
      </c>
      <c r="AY55" s="4">
        <v>2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2.75">
      <c r="A56" s="4" t="s">
        <v>270</v>
      </c>
      <c r="B56" s="4" t="s">
        <v>294</v>
      </c>
      <c r="C56" s="18"/>
      <c r="D56" s="22">
        <f t="shared" si="0"/>
        <v>1160</v>
      </c>
      <c r="E56" s="21">
        <f t="shared" si="4"/>
        <v>148</v>
      </c>
      <c r="F56" s="4">
        <v>37</v>
      </c>
      <c r="G56" s="4">
        <v>36</v>
      </c>
      <c r="H56" s="4">
        <v>36</v>
      </c>
      <c r="I56" s="4">
        <v>39</v>
      </c>
      <c r="J56" s="4">
        <v>32</v>
      </c>
      <c r="K56" s="4">
        <v>27</v>
      </c>
      <c r="L56" s="4">
        <v>24</v>
      </c>
      <c r="M56" s="4">
        <v>18</v>
      </c>
      <c r="N56" s="4">
        <v>26</v>
      </c>
      <c r="O56" s="4">
        <v>25</v>
      </c>
      <c r="P56" s="4">
        <v>25</v>
      </c>
      <c r="Q56" s="4">
        <v>26</v>
      </c>
      <c r="R56" s="4">
        <v>25</v>
      </c>
      <c r="S56" s="4">
        <v>25</v>
      </c>
      <c r="T56" s="4">
        <v>26</v>
      </c>
      <c r="U56" s="4">
        <v>25</v>
      </c>
      <c r="V56" s="4">
        <v>25</v>
      </c>
      <c r="W56" s="4">
        <v>27</v>
      </c>
      <c r="X56" s="4">
        <v>21</v>
      </c>
      <c r="Y56" s="4">
        <v>20</v>
      </c>
      <c r="Z56" s="4">
        <v>25</v>
      </c>
      <c r="AA56" s="4">
        <v>24</v>
      </c>
      <c r="AB56" s="4">
        <v>26</v>
      </c>
      <c r="AC56" s="4">
        <v>26</v>
      </c>
      <c r="AD56" s="4">
        <v>24</v>
      </c>
      <c r="AE56" s="4">
        <v>26</v>
      </c>
      <c r="AF56" s="4">
        <v>26</v>
      </c>
      <c r="AG56" s="4">
        <v>25</v>
      </c>
      <c r="AH56" s="4">
        <v>25</v>
      </c>
      <c r="AI56" s="4">
        <v>26</v>
      </c>
      <c r="AJ56" s="4">
        <v>22</v>
      </c>
      <c r="AK56" s="4">
        <v>19</v>
      </c>
      <c r="AL56" s="4">
        <v>24</v>
      </c>
      <c r="AM56" s="4">
        <v>24</v>
      </c>
      <c r="AN56" s="4">
        <v>27</v>
      </c>
      <c r="AO56" s="4">
        <v>26</v>
      </c>
      <c r="AP56" s="4">
        <v>24</v>
      </c>
      <c r="AQ56" s="4">
        <v>26</v>
      </c>
      <c r="AR56" s="4">
        <v>25</v>
      </c>
      <c r="AS56" s="4">
        <v>26</v>
      </c>
      <c r="AT56" s="4">
        <v>25</v>
      </c>
      <c r="AU56" s="4">
        <v>25</v>
      </c>
      <c r="AV56" s="4">
        <v>24</v>
      </c>
      <c r="AW56" s="4">
        <v>20</v>
      </c>
      <c r="AX56" s="4">
        <v>25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2.75">
      <c r="A57" s="4" t="s">
        <v>270</v>
      </c>
      <c r="B57" s="4" t="s">
        <v>295</v>
      </c>
      <c r="C57" s="18"/>
      <c r="D57" s="22">
        <f t="shared" si="0"/>
        <v>592</v>
      </c>
      <c r="E57" s="21">
        <f t="shared" si="4"/>
        <v>84</v>
      </c>
      <c r="F57" s="4"/>
      <c r="G57" s="4">
        <v>27</v>
      </c>
      <c r="H57" s="4">
        <v>27</v>
      </c>
      <c r="I57" s="4">
        <v>30</v>
      </c>
      <c r="J57" s="4">
        <v>18</v>
      </c>
      <c r="K57" s="4">
        <v>21</v>
      </c>
      <c r="L57" s="4">
        <v>20</v>
      </c>
      <c r="M57" s="4">
        <v>15</v>
      </c>
      <c r="N57" s="4">
        <v>22</v>
      </c>
      <c r="O57" s="4">
        <v>25</v>
      </c>
      <c r="P57" s="4">
        <v>35</v>
      </c>
      <c r="Q57" s="4">
        <v>37</v>
      </c>
      <c r="R57" s="4">
        <v>35</v>
      </c>
      <c r="S57" s="4">
        <v>18</v>
      </c>
      <c r="T57" s="4">
        <v>12</v>
      </c>
      <c r="U57" s="4">
        <v>12</v>
      </c>
      <c r="V57" s="4">
        <v>12</v>
      </c>
      <c r="W57" s="4">
        <v>13</v>
      </c>
      <c r="X57" s="4">
        <v>14</v>
      </c>
      <c r="Y57" s="4">
        <v>14</v>
      </c>
      <c r="Z57" s="4">
        <v>18</v>
      </c>
      <c r="AA57" s="4">
        <v>18</v>
      </c>
      <c r="AB57" s="4">
        <v>16</v>
      </c>
      <c r="AC57" s="4">
        <v>16</v>
      </c>
      <c r="AD57" s="4">
        <v>14</v>
      </c>
      <c r="AE57" s="4">
        <v>11</v>
      </c>
      <c r="AF57" s="4">
        <v>9</v>
      </c>
      <c r="AG57" s="4">
        <v>9</v>
      </c>
      <c r="AH57" s="4">
        <v>9</v>
      </c>
      <c r="AI57" s="4">
        <v>9</v>
      </c>
      <c r="AJ57" s="4">
        <v>6</v>
      </c>
      <c r="AK57" s="4">
        <v>3</v>
      </c>
      <c r="AL57" s="4">
        <v>4</v>
      </c>
      <c r="AM57" s="4">
        <v>4</v>
      </c>
      <c r="AN57" s="4">
        <v>4</v>
      </c>
      <c r="AO57" s="4">
        <v>4</v>
      </c>
      <c r="AP57" s="4">
        <v>4</v>
      </c>
      <c r="AQ57" s="4">
        <v>4</v>
      </c>
      <c r="AR57" s="4">
        <v>4</v>
      </c>
      <c r="AS57" s="4">
        <v>4</v>
      </c>
      <c r="AT57" s="4">
        <v>4</v>
      </c>
      <c r="AU57" s="4">
        <v>4</v>
      </c>
      <c r="AV57" s="4">
        <v>4</v>
      </c>
      <c r="AW57" s="4">
        <v>3</v>
      </c>
      <c r="AX57" s="4">
        <v>0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2.75">
      <c r="A58" s="4" t="s">
        <v>270</v>
      </c>
      <c r="B58" s="4" t="s">
        <v>296</v>
      </c>
      <c r="C58" s="18"/>
      <c r="D58" s="22">
        <f t="shared" si="0"/>
        <v>19</v>
      </c>
      <c r="E58" s="21">
        <f t="shared" si="4"/>
        <v>19</v>
      </c>
      <c r="F58" s="4">
        <v>15</v>
      </c>
      <c r="G58" s="4">
        <v>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s="28" customFormat="1" ht="12.75">
      <c r="A59" s="27" t="s">
        <v>270</v>
      </c>
      <c r="B59" s="27" t="s">
        <v>297</v>
      </c>
      <c r="D59" s="29">
        <f t="shared" si="0"/>
        <v>129</v>
      </c>
      <c r="E59" s="30">
        <f t="shared" si="4"/>
        <v>8</v>
      </c>
      <c r="F59" s="27"/>
      <c r="G59" s="27"/>
      <c r="H59" s="27"/>
      <c r="I59" s="27">
        <v>8</v>
      </c>
      <c r="J59" s="27">
        <v>7</v>
      </c>
      <c r="K59" s="27">
        <v>3</v>
      </c>
      <c r="L59" s="27">
        <v>3</v>
      </c>
      <c r="M59" s="27">
        <v>2</v>
      </c>
      <c r="N59" s="27">
        <v>3</v>
      </c>
      <c r="O59" s="27">
        <v>3</v>
      </c>
      <c r="P59" s="27">
        <v>3</v>
      </c>
      <c r="Q59" s="27">
        <v>3</v>
      </c>
      <c r="R59" s="27">
        <v>3</v>
      </c>
      <c r="S59" s="27">
        <v>3</v>
      </c>
      <c r="T59" s="27">
        <v>3</v>
      </c>
      <c r="U59" s="27">
        <v>3</v>
      </c>
      <c r="V59" s="27">
        <v>3</v>
      </c>
      <c r="W59" s="27">
        <v>3</v>
      </c>
      <c r="X59" s="27">
        <v>2</v>
      </c>
      <c r="Y59" s="27">
        <v>2</v>
      </c>
      <c r="Z59" s="27">
        <v>3</v>
      </c>
      <c r="AA59" s="27">
        <v>3</v>
      </c>
      <c r="AB59" s="27">
        <v>3</v>
      </c>
      <c r="AC59" s="27">
        <v>3</v>
      </c>
      <c r="AD59" s="27">
        <v>3</v>
      </c>
      <c r="AE59" s="27">
        <v>3</v>
      </c>
      <c r="AF59" s="27">
        <v>3</v>
      </c>
      <c r="AG59" s="27">
        <v>3</v>
      </c>
      <c r="AH59" s="27">
        <v>3</v>
      </c>
      <c r="AI59" s="27">
        <v>3</v>
      </c>
      <c r="AJ59" s="27">
        <v>2</v>
      </c>
      <c r="AK59" s="27">
        <v>2</v>
      </c>
      <c r="AL59" s="27">
        <v>3</v>
      </c>
      <c r="AM59" s="27">
        <v>3</v>
      </c>
      <c r="AN59" s="27">
        <v>3</v>
      </c>
      <c r="AO59" s="27">
        <v>3</v>
      </c>
      <c r="AP59" s="27">
        <v>3</v>
      </c>
      <c r="AQ59" s="27">
        <v>3</v>
      </c>
      <c r="AR59" s="27">
        <v>3</v>
      </c>
      <c r="AS59" s="27">
        <v>3</v>
      </c>
      <c r="AT59" s="27">
        <v>3</v>
      </c>
      <c r="AU59" s="27">
        <v>3</v>
      </c>
      <c r="AV59" s="27">
        <v>3</v>
      </c>
      <c r="AW59" s="27">
        <v>2</v>
      </c>
      <c r="AX59" s="27">
        <v>3</v>
      </c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12.75">
      <c r="A60" s="4"/>
      <c r="B60" s="4"/>
      <c r="C60" s="18"/>
      <c r="D60" s="31">
        <f>SUM(D34:D59)</f>
        <v>15824</v>
      </c>
      <c r="E60" s="31">
        <f aca="true" t="shared" si="5" ref="E60:BD60">SUM(E34:E59)</f>
        <v>2147</v>
      </c>
      <c r="F60" s="31">
        <f t="shared" si="5"/>
        <v>424</v>
      </c>
      <c r="G60" s="31">
        <f t="shared" si="5"/>
        <v>618</v>
      </c>
      <c r="H60" s="31">
        <f t="shared" si="5"/>
        <v>608</v>
      </c>
      <c r="I60" s="31">
        <f t="shared" si="5"/>
        <v>497</v>
      </c>
      <c r="J60" s="31">
        <f t="shared" si="5"/>
        <v>433</v>
      </c>
      <c r="K60" s="31">
        <f t="shared" si="5"/>
        <v>608</v>
      </c>
      <c r="L60" s="31">
        <f t="shared" si="5"/>
        <v>384</v>
      </c>
      <c r="M60" s="31">
        <f t="shared" si="5"/>
        <v>300</v>
      </c>
      <c r="N60" s="31">
        <f t="shared" si="5"/>
        <v>434</v>
      </c>
      <c r="O60" s="31">
        <f t="shared" si="5"/>
        <v>372</v>
      </c>
      <c r="P60" s="31">
        <f t="shared" si="5"/>
        <v>394</v>
      </c>
      <c r="Q60" s="31">
        <f t="shared" si="5"/>
        <v>351</v>
      </c>
      <c r="R60" s="31">
        <f t="shared" si="5"/>
        <v>347</v>
      </c>
      <c r="S60" s="31">
        <f t="shared" si="5"/>
        <v>481</v>
      </c>
      <c r="T60" s="31">
        <f t="shared" si="5"/>
        <v>643</v>
      </c>
      <c r="U60" s="31">
        <f t="shared" si="5"/>
        <v>774</v>
      </c>
      <c r="V60" s="31">
        <f t="shared" si="5"/>
        <v>729</v>
      </c>
      <c r="W60" s="31">
        <f t="shared" si="5"/>
        <v>657</v>
      </c>
      <c r="X60" s="31">
        <f t="shared" si="5"/>
        <v>442</v>
      </c>
      <c r="Y60" s="31">
        <f t="shared" si="5"/>
        <v>331</v>
      </c>
      <c r="Z60" s="31">
        <f t="shared" si="5"/>
        <v>367</v>
      </c>
      <c r="AA60" s="31">
        <f t="shared" si="5"/>
        <v>342</v>
      </c>
      <c r="AB60" s="31">
        <f t="shared" si="5"/>
        <v>377</v>
      </c>
      <c r="AC60" s="31">
        <f t="shared" si="5"/>
        <v>399</v>
      </c>
      <c r="AD60" s="31">
        <f t="shared" si="5"/>
        <v>316</v>
      </c>
      <c r="AE60" s="31">
        <f t="shared" si="5"/>
        <v>316</v>
      </c>
      <c r="AF60" s="31">
        <f t="shared" si="5"/>
        <v>237</v>
      </c>
      <c r="AG60" s="31">
        <f t="shared" si="5"/>
        <v>201</v>
      </c>
      <c r="AH60" s="31">
        <f t="shared" si="5"/>
        <v>209</v>
      </c>
      <c r="AI60" s="31">
        <f t="shared" si="5"/>
        <v>338</v>
      </c>
      <c r="AJ60" s="31">
        <f t="shared" si="5"/>
        <v>295</v>
      </c>
      <c r="AK60" s="31">
        <f t="shared" si="5"/>
        <v>251</v>
      </c>
      <c r="AL60" s="31">
        <f t="shared" si="5"/>
        <v>283</v>
      </c>
      <c r="AM60" s="31">
        <f t="shared" si="5"/>
        <v>238</v>
      </c>
      <c r="AN60" s="31">
        <f t="shared" si="5"/>
        <v>248</v>
      </c>
      <c r="AO60" s="31">
        <f t="shared" si="5"/>
        <v>193</v>
      </c>
      <c r="AP60" s="31">
        <f t="shared" si="5"/>
        <v>150</v>
      </c>
      <c r="AQ60" s="31">
        <f t="shared" si="5"/>
        <v>165</v>
      </c>
      <c r="AR60" s="31">
        <f t="shared" si="5"/>
        <v>158</v>
      </c>
      <c r="AS60" s="31">
        <f t="shared" si="5"/>
        <v>165</v>
      </c>
      <c r="AT60" s="31">
        <f t="shared" si="5"/>
        <v>158</v>
      </c>
      <c r="AU60" s="31">
        <f t="shared" si="5"/>
        <v>157</v>
      </c>
      <c r="AV60" s="31">
        <f t="shared" si="5"/>
        <v>150</v>
      </c>
      <c r="AW60" s="31">
        <f t="shared" si="5"/>
        <v>127</v>
      </c>
      <c r="AX60" s="31">
        <f t="shared" si="5"/>
        <v>153</v>
      </c>
      <c r="AY60" s="31">
        <f t="shared" si="5"/>
        <v>4</v>
      </c>
      <c r="AZ60" s="31">
        <f t="shared" si="5"/>
        <v>0</v>
      </c>
      <c r="BA60" s="31">
        <f t="shared" si="5"/>
        <v>0</v>
      </c>
      <c r="BB60" s="31">
        <f t="shared" si="5"/>
        <v>0</v>
      </c>
      <c r="BC60" s="31">
        <f t="shared" si="5"/>
        <v>0</v>
      </c>
      <c r="BD60" s="31">
        <f t="shared" si="5"/>
        <v>0</v>
      </c>
      <c r="BE60" s="4"/>
      <c r="BF60" s="4"/>
      <c r="BG60" s="4"/>
      <c r="BH60" s="4"/>
      <c r="BI60" s="4"/>
      <c r="BJ60" s="4"/>
      <c r="BK60" s="4"/>
      <c r="BL60" s="4"/>
    </row>
    <row r="61" spans="1:64" ht="12.75">
      <c r="A61" s="4"/>
      <c r="B61" s="4"/>
      <c r="C61" s="18"/>
      <c r="D61" s="22"/>
      <c r="E61" s="21"/>
      <c r="F61">
        <v>82</v>
      </c>
      <c r="G61">
        <v>76</v>
      </c>
      <c r="H61">
        <v>63</v>
      </c>
      <c r="I61">
        <v>69</v>
      </c>
      <c r="J61">
        <v>53</v>
      </c>
      <c r="K61">
        <v>61</v>
      </c>
      <c r="L61">
        <v>53</v>
      </c>
      <c r="M61">
        <v>40</v>
      </c>
      <c r="N61">
        <v>59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2.75">
      <c r="A62" s="4" t="s">
        <v>271</v>
      </c>
      <c r="B62" s="4" t="s">
        <v>213</v>
      </c>
      <c r="C62" s="18"/>
      <c r="D62" s="22">
        <f t="shared" si="0"/>
        <v>52</v>
      </c>
      <c r="E62" s="21">
        <f aca="true" t="shared" si="6" ref="E62:E73">SUM(F62:I62)</f>
        <v>-104</v>
      </c>
      <c r="F62" s="4">
        <v>-104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>
        <v>0</v>
      </c>
      <c r="Z62" s="4">
        <v>12</v>
      </c>
      <c r="AA62" s="4">
        <v>11</v>
      </c>
      <c r="AB62" s="4">
        <v>14</v>
      </c>
      <c r="AC62" s="4">
        <v>4</v>
      </c>
      <c r="AD62" s="4">
        <v>3</v>
      </c>
      <c r="AE62" s="4">
        <v>1</v>
      </c>
      <c r="AF62" s="4">
        <v>1</v>
      </c>
      <c r="AG62" s="4">
        <v>3</v>
      </c>
      <c r="AH62" s="4">
        <v>6</v>
      </c>
      <c r="AI62" s="4">
        <v>6</v>
      </c>
      <c r="AJ62" s="4">
        <v>4</v>
      </c>
      <c r="AK62" s="4">
        <v>3</v>
      </c>
      <c r="AL62" s="4">
        <v>8</v>
      </c>
      <c r="AM62" s="4">
        <v>27</v>
      </c>
      <c r="AN62" s="4">
        <v>29</v>
      </c>
      <c r="AO62" s="4">
        <v>15</v>
      </c>
      <c r="AP62" s="4">
        <v>6</v>
      </c>
      <c r="AQ62" s="4">
        <v>3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2.75">
      <c r="A63" s="4" t="s">
        <v>271</v>
      </c>
      <c r="B63" s="4" t="s">
        <v>214</v>
      </c>
      <c r="C63" s="18"/>
      <c r="D63" s="22">
        <f t="shared" si="0"/>
        <v>604</v>
      </c>
      <c r="E63" s="21">
        <f t="shared" si="6"/>
        <v>0</v>
      </c>
      <c r="F63" s="4"/>
      <c r="G63" s="4"/>
      <c r="H63" s="4"/>
      <c r="I63" s="4"/>
      <c r="J63" s="4"/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38</v>
      </c>
      <c r="X63" s="4">
        <v>31</v>
      </c>
      <c r="Y63" s="4">
        <v>41</v>
      </c>
      <c r="Z63" s="4">
        <v>53</v>
      </c>
      <c r="AA63" s="4">
        <v>18</v>
      </c>
      <c r="AB63" s="4">
        <v>1</v>
      </c>
      <c r="AC63" s="4">
        <v>1</v>
      </c>
      <c r="AD63" s="4">
        <v>1</v>
      </c>
      <c r="AE63" s="4">
        <v>1</v>
      </c>
      <c r="AF63" s="4">
        <v>14</v>
      </c>
      <c r="AG63" s="4">
        <v>74</v>
      </c>
      <c r="AH63" s="4">
        <v>1</v>
      </c>
      <c r="AI63" s="4">
        <v>0</v>
      </c>
      <c r="AJ63" s="4">
        <v>62</v>
      </c>
      <c r="AK63" s="4">
        <v>52</v>
      </c>
      <c r="AL63" s="4">
        <v>66</v>
      </c>
      <c r="AM63" s="4">
        <v>66</v>
      </c>
      <c r="AN63" s="4">
        <v>72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2.75">
      <c r="A64" s="4" t="s">
        <v>271</v>
      </c>
      <c r="B64" s="4" t="s">
        <v>215</v>
      </c>
      <c r="C64" s="18"/>
      <c r="D64" s="22">
        <f t="shared" si="0"/>
        <v>1084</v>
      </c>
      <c r="E64" s="21">
        <f t="shared" si="6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11</v>
      </c>
      <c r="AB64" s="4">
        <v>26</v>
      </c>
      <c r="AC64" s="4">
        <v>33</v>
      </c>
      <c r="AD64" s="4">
        <v>32</v>
      </c>
      <c r="AE64" s="4">
        <v>41</v>
      </c>
      <c r="AF64" s="4">
        <v>42</v>
      </c>
      <c r="AG64" s="4">
        <v>60</v>
      </c>
      <c r="AH64" s="4">
        <v>69</v>
      </c>
      <c r="AI64" s="4">
        <v>103</v>
      </c>
      <c r="AJ64" s="4">
        <v>73</v>
      </c>
      <c r="AK64" s="4">
        <v>55</v>
      </c>
      <c r="AL64" s="4">
        <v>67</v>
      </c>
      <c r="AM64" s="4">
        <v>75</v>
      </c>
      <c r="AN64" s="4">
        <v>111</v>
      </c>
      <c r="AO64" s="4">
        <v>97</v>
      </c>
      <c r="AP64" s="4">
        <v>91</v>
      </c>
      <c r="AQ64" s="4">
        <v>56</v>
      </c>
      <c r="AR64" s="4">
        <v>31</v>
      </c>
      <c r="AS64" s="4">
        <v>10</v>
      </c>
      <c r="AT64" s="4">
        <v>1</v>
      </c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2.75">
      <c r="A65" s="4" t="s">
        <v>271</v>
      </c>
      <c r="B65" s="4" t="s">
        <v>216</v>
      </c>
      <c r="C65" s="18"/>
      <c r="D65" s="22">
        <f t="shared" si="0"/>
        <v>682</v>
      </c>
      <c r="E65" s="21">
        <f t="shared" si="6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v>21</v>
      </c>
      <c r="X65" s="4">
        <v>23</v>
      </c>
      <c r="Y65" s="4">
        <v>20</v>
      </c>
      <c r="Z65" s="4">
        <v>18</v>
      </c>
      <c r="AA65" s="4">
        <v>17</v>
      </c>
      <c r="AB65" s="4">
        <v>37</v>
      </c>
      <c r="AC65" s="4">
        <v>34</v>
      </c>
      <c r="AD65" s="4">
        <v>29</v>
      </c>
      <c r="AE65" s="4">
        <v>37</v>
      </c>
      <c r="AF65" s="4">
        <v>43</v>
      </c>
      <c r="AG65" s="4">
        <v>40</v>
      </c>
      <c r="AH65" s="4">
        <v>37</v>
      </c>
      <c r="AI65" s="4">
        <v>39</v>
      </c>
      <c r="AJ65" s="4">
        <v>22</v>
      </c>
      <c r="AK65" s="4">
        <v>18</v>
      </c>
      <c r="AL65" s="4">
        <v>19</v>
      </c>
      <c r="AM65" s="4">
        <v>13</v>
      </c>
      <c r="AN65" s="4"/>
      <c r="AO65" s="4"/>
      <c r="AP65" s="4">
        <v>3</v>
      </c>
      <c r="AQ65" s="4">
        <v>35</v>
      </c>
      <c r="AR65" s="4">
        <v>33</v>
      </c>
      <c r="AS65" s="4">
        <v>35</v>
      </c>
      <c r="AT65" s="4">
        <v>56</v>
      </c>
      <c r="AU65" s="4">
        <v>53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2.75">
      <c r="A66" s="4" t="s">
        <v>271</v>
      </c>
      <c r="B66" s="4" t="s">
        <v>217</v>
      </c>
      <c r="C66" s="18"/>
      <c r="D66" s="22">
        <f t="shared" si="0"/>
        <v>151</v>
      </c>
      <c r="E66" s="21">
        <f t="shared" si="6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3</v>
      </c>
      <c r="AG66" s="4">
        <v>2</v>
      </c>
      <c r="AH66" s="4">
        <v>2</v>
      </c>
      <c r="AI66" s="4">
        <v>2</v>
      </c>
      <c r="AJ66" s="4">
        <v>14</v>
      </c>
      <c r="AK66" s="4">
        <v>14</v>
      </c>
      <c r="AL66" s="4">
        <v>18</v>
      </c>
      <c r="AM66" s="4">
        <v>23</v>
      </c>
      <c r="AN66" s="4">
        <v>32</v>
      </c>
      <c r="AO66" s="4">
        <v>31</v>
      </c>
      <c r="AP66" s="4">
        <v>10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2.75">
      <c r="A67" s="4" t="s">
        <v>271</v>
      </c>
      <c r="B67" s="4" t="s">
        <v>218</v>
      </c>
      <c r="C67" s="18"/>
      <c r="D67" s="22">
        <f t="shared" si="0"/>
        <v>197</v>
      </c>
      <c r="E67" s="21">
        <f t="shared" si="6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5</v>
      </c>
      <c r="AC67" s="4">
        <v>3</v>
      </c>
      <c r="AD67" s="4">
        <v>2</v>
      </c>
      <c r="AE67" s="4">
        <v>2</v>
      </c>
      <c r="AF67" s="4">
        <v>21</v>
      </c>
      <c r="AG67" s="4">
        <v>25</v>
      </c>
      <c r="AH67" s="4">
        <v>24</v>
      </c>
      <c r="AI67" s="4">
        <v>15</v>
      </c>
      <c r="AJ67" s="4">
        <v>6</v>
      </c>
      <c r="AK67" s="4">
        <v>5</v>
      </c>
      <c r="AL67" s="4">
        <v>7</v>
      </c>
      <c r="AM67" s="4">
        <v>9</v>
      </c>
      <c r="AN67" s="4">
        <v>5</v>
      </c>
      <c r="AO67" s="4">
        <v>14</v>
      </c>
      <c r="AP67" s="4">
        <v>20</v>
      </c>
      <c r="AQ67" s="4">
        <v>22</v>
      </c>
      <c r="AR67" s="4">
        <v>12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2.75">
      <c r="A68" s="4" t="s">
        <v>271</v>
      </c>
      <c r="B68" s="4" t="s">
        <v>219</v>
      </c>
      <c r="C68" s="18"/>
      <c r="D68" s="22">
        <f t="shared" si="0"/>
        <v>165</v>
      </c>
      <c r="E68" s="21">
        <f t="shared" si="6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>
        <v>4</v>
      </c>
      <c r="AE68" s="4">
        <v>7</v>
      </c>
      <c r="AF68" s="4">
        <v>11</v>
      </c>
      <c r="AG68" s="4">
        <v>21</v>
      </c>
      <c r="AH68" s="4">
        <v>7</v>
      </c>
      <c r="AI68" s="4">
        <v>7</v>
      </c>
      <c r="AJ68" s="4">
        <v>12</v>
      </c>
      <c r="AK68" s="4">
        <v>10</v>
      </c>
      <c r="AL68" s="4">
        <v>12</v>
      </c>
      <c r="AM68" s="4">
        <v>9</v>
      </c>
      <c r="AN68" s="4">
        <v>10</v>
      </c>
      <c r="AO68" s="4">
        <v>13</v>
      </c>
      <c r="AP68" s="4">
        <v>17</v>
      </c>
      <c r="AQ68" s="4">
        <v>15</v>
      </c>
      <c r="AR68" s="4">
        <v>10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2.75">
      <c r="A69" s="4" t="s">
        <v>271</v>
      </c>
      <c r="B69" s="4" t="s">
        <v>220</v>
      </c>
      <c r="C69" s="18"/>
      <c r="D69" s="22">
        <f t="shared" si="0"/>
        <v>204</v>
      </c>
      <c r="E69" s="21">
        <f t="shared" si="6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>
        <v>5</v>
      </c>
      <c r="AG69" s="4">
        <v>4</v>
      </c>
      <c r="AH69" s="4">
        <v>3</v>
      </c>
      <c r="AI69" s="4">
        <v>16</v>
      </c>
      <c r="AJ69" s="4">
        <v>25</v>
      </c>
      <c r="AK69" s="4">
        <v>24</v>
      </c>
      <c r="AL69" s="4">
        <v>15</v>
      </c>
      <c r="AM69" s="4">
        <v>16</v>
      </c>
      <c r="AN69" s="4">
        <v>32</v>
      </c>
      <c r="AO69" s="4">
        <v>24</v>
      </c>
      <c r="AP69" s="4">
        <v>10</v>
      </c>
      <c r="AQ69" s="4">
        <v>15</v>
      </c>
      <c r="AR69" s="4">
        <v>12</v>
      </c>
      <c r="AS69" s="4">
        <v>3</v>
      </c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2.75">
      <c r="A70" s="4" t="s">
        <v>271</v>
      </c>
      <c r="B70" s="4" t="s">
        <v>221</v>
      </c>
      <c r="C70" s="18"/>
      <c r="D70" s="22">
        <f t="shared" si="0"/>
        <v>131</v>
      </c>
      <c r="E70" s="21">
        <f t="shared" si="6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5</v>
      </c>
      <c r="AG70" s="4">
        <v>7</v>
      </c>
      <c r="AH70" s="4">
        <v>6</v>
      </c>
      <c r="AI70" s="4">
        <v>6</v>
      </c>
      <c r="AJ70" s="4">
        <v>8</v>
      </c>
      <c r="AK70" s="4">
        <v>7</v>
      </c>
      <c r="AL70" s="4">
        <v>9</v>
      </c>
      <c r="AM70" s="4">
        <v>14</v>
      </c>
      <c r="AN70" s="4">
        <v>21</v>
      </c>
      <c r="AO70" s="4">
        <v>25</v>
      </c>
      <c r="AP70" s="4">
        <v>9</v>
      </c>
      <c r="AQ70" s="4">
        <v>13</v>
      </c>
      <c r="AR70" s="4">
        <v>1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2.75">
      <c r="A71" s="4" t="s">
        <v>271</v>
      </c>
      <c r="B71" s="4" t="s">
        <v>222</v>
      </c>
      <c r="C71" s="18"/>
      <c r="D71" s="22">
        <f t="shared" si="0"/>
        <v>221</v>
      </c>
      <c r="E71" s="21">
        <f t="shared" si="6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>
        <v>2</v>
      </c>
      <c r="AF71" s="4">
        <v>2</v>
      </c>
      <c r="AG71" s="4">
        <v>3</v>
      </c>
      <c r="AH71" s="4">
        <v>4</v>
      </c>
      <c r="AI71" s="4">
        <v>19</v>
      </c>
      <c r="AJ71" s="4">
        <v>20</v>
      </c>
      <c r="AK71" s="4">
        <v>17</v>
      </c>
      <c r="AL71" s="4">
        <v>18</v>
      </c>
      <c r="AM71" s="4">
        <v>18</v>
      </c>
      <c r="AN71" s="4">
        <v>34</v>
      </c>
      <c r="AO71" s="4">
        <v>32</v>
      </c>
      <c r="AP71" s="4">
        <v>29</v>
      </c>
      <c r="AQ71" s="4">
        <v>7</v>
      </c>
      <c r="AR71" s="4">
        <v>11</v>
      </c>
      <c r="AS71" s="4">
        <v>5</v>
      </c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2.75">
      <c r="A72" s="4" t="s">
        <v>271</v>
      </c>
      <c r="B72" s="4" t="s">
        <v>223</v>
      </c>
      <c r="C72" s="18"/>
      <c r="D72" s="22">
        <f t="shared" si="0"/>
        <v>71</v>
      </c>
      <c r="E72" s="21">
        <f t="shared" si="6"/>
        <v>5</v>
      </c>
      <c r="F72" s="4">
        <v>1</v>
      </c>
      <c r="G72" s="4">
        <v>1</v>
      </c>
      <c r="H72" s="4">
        <v>1</v>
      </c>
      <c r="I72" s="4">
        <v>2</v>
      </c>
      <c r="J72" s="4">
        <v>1</v>
      </c>
      <c r="K72" s="4">
        <v>2</v>
      </c>
      <c r="L72" s="4">
        <v>2</v>
      </c>
      <c r="M72" s="4">
        <v>1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2</v>
      </c>
      <c r="T72" s="4">
        <v>2</v>
      </c>
      <c r="U72" s="4">
        <v>2</v>
      </c>
      <c r="V72" s="4">
        <v>2</v>
      </c>
      <c r="W72" s="4">
        <v>2</v>
      </c>
      <c r="X72" s="4">
        <v>1</v>
      </c>
      <c r="Y72" s="4">
        <v>1</v>
      </c>
      <c r="Z72" s="4">
        <v>2</v>
      </c>
      <c r="AA72" s="4">
        <v>1</v>
      </c>
      <c r="AB72" s="4">
        <v>2</v>
      </c>
      <c r="AC72" s="4">
        <v>2</v>
      </c>
      <c r="AD72" s="4">
        <v>1</v>
      </c>
      <c r="AE72" s="4">
        <v>2</v>
      </c>
      <c r="AF72" s="4">
        <v>2</v>
      </c>
      <c r="AG72" s="4">
        <v>2</v>
      </c>
      <c r="AH72" s="4">
        <v>2</v>
      </c>
      <c r="AI72" s="4">
        <v>2</v>
      </c>
      <c r="AJ72" s="4">
        <v>1</v>
      </c>
      <c r="AK72" s="4">
        <v>1</v>
      </c>
      <c r="AL72" s="4">
        <v>2</v>
      </c>
      <c r="AM72" s="4">
        <v>2</v>
      </c>
      <c r="AN72" s="4">
        <v>2</v>
      </c>
      <c r="AO72" s="4">
        <v>2</v>
      </c>
      <c r="AP72" s="4">
        <v>2</v>
      </c>
      <c r="AQ72" s="4">
        <v>2</v>
      </c>
      <c r="AR72" s="4">
        <v>2</v>
      </c>
      <c r="AS72" s="4">
        <v>2</v>
      </c>
      <c r="AT72" s="4">
        <v>2</v>
      </c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s="28" customFormat="1" ht="12.75">
      <c r="A73" s="27" t="s">
        <v>271</v>
      </c>
      <c r="B73" s="27" t="s">
        <v>224</v>
      </c>
      <c r="D73" s="29">
        <f>SUM(F73:BO73)</f>
        <v>767</v>
      </c>
      <c r="E73" s="30">
        <f t="shared" si="6"/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>
        <v>22</v>
      </c>
      <c r="Y73" s="27">
        <v>32</v>
      </c>
      <c r="Z73" s="27">
        <v>29</v>
      </c>
      <c r="AA73" s="27">
        <v>24</v>
      </c>
      <c r="AB73" s="27">
        <v>21</v>
      </c>
      <c r="AC73" s="27">
        <v>27</v>
      </c>
      <c r="AD73" s="27">
        <v>24</v>
      </c>
      <c r="AE73" s="27">
        <v>27</v>
      </c>
      <c r="AF73" s="27">
        <v>24</v>
      </c>
      <c r="AG73" s="27">
        <v>22</v>
      </c>
      <c r="AH73" s="27">
        <v>26</v>
      </c>
      <c r="AI73" s="27">
        <v>27</v>
      </c>
      <c r="AJ73" s="27">
        <v>14</v>
      </c>
      <c r="AK73" s="27">
        <v>20</v>
      </c>
      <c r="AL73" s="27">
        <v>9</v>
      </c>
      <c r="AM73" s="27"/>
      <c r="AN73" s="27"/>
      <c r="AO73" s="27"/>
      <c r="AP73" s="27"/>
      <c r="AQ73" s="27"/>
      <c r="AR73" s="27"/>
      <c r="AS73" s="27"/>
      <c r="AT73" s="27"/>
      <c r="AU73" s="27">
        <v>116</v>
      </c>
      <c r="AV73" s="27">
        <v>110</v>
      </c>
      <c r="AW73" s="27">
        <v>94</v>
      </c>
      <c r="AX73" s="27">
        <v>99</v>
      </c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56" ht="12.75">
      <c r="A74" s="4"/>
      <c r="B74" s="4"/>
      <c r="C74" s="18"/>
      <c r="D74" s="31">
        <f>SUM(D62:D73)</f>
        <v>4329</v>
      </c>
      <c r="E74" s="31">
        <f aca="true" t="shared" si="7" ref="E74:BD74">SUM(E62:E73)</f>
        <v>-99</v>
      </c>
      <c r="F74" s="31">
        <f t="shared" si="7"/>
        <v>-103</v>
      </c>
      <c r="G74" s="31">
        <f t="shared" si="7"/>
        <v>1</v>
      </c>
      <c r="H74" s="31">
        <f t="shared" si="7"/>
        <v>1</v>
      </c>
      <c r="I74" s="31">
        <f t="shared" si="7"/>
        <v>2</v>
      </c>
      <c r="J74" s="31">
        <f t="shared" si="7"/>
        <v>1</v>
      </c>
      <c r="K74" s="31">
        <f t="shared" si="7"/>
        <v>3</v>
      </c>
      <c r="L74" s="31">
        <f t="shared" si="7"/>
        <v>3</v>
      </c>
      <c r="M74" s="31">
        <f t="shared" si="7"/>
        <v>2</v>
      </c>
      <c r="N74" s="31">
        <f t="shared" si="7"/>
        <v>3</v>
      </c>
      <c r="O74" s="31">
        <f t="shared" si="7"/>
        <v>3</v>
      </c>
      <c r="P74" s="31">
        <f t="shared" si="7"/>
        <v>3</v>
      </c>
      <c r="Q74" s="31">
        <f t="shared" si="7"/>
        <v>3</v>
      </c>
      <c r="R74" s="31">
        <f t="shared" si="7"/>
        <v>3</v>
      </c>
      <c r="S74" s="31">
        <f t="shared" si="7"/>
        <v>3</v>
      </c>
      <c r="T74" s="31">
        <f t="shared" si="7"/>
        <v>3</v>
      </c>
      <c r="U74" s="31">
        <f t="shared" si="7"/>
        <v>3</v>
      </c>
      <c r="V74" s="31">
        <f t="shared" si="7"/>
        <v>3</v>
      </c>
      <c r="W74" s="31">
        <f t="shared" si="7"/>
        <v>61</v>
      </c>
      <c r="X74" s="31">
        <f t="shared" si="7"/>
        <v>77</v>
      </c>
      <c r="Y74" s="31">
        <f t="shared" si="7"/>
        <v>94</v>
      </c>
      <c r="Z74" s="31">
        <f t="shared" si="7"/>
        <v>114</v>
      </c>
      <c r="AA74" s="31">
        <f t="shared" si="7"/>
        <v>82</v>
      </c>
      <c r="AB74" s="31">
        <f t="shared" si="7"/>
        <v>106</v>
      </c>
      <c r="AC74" s="31">
        <f t="shared" si="7"/>
        <v>104</v>
      </c>
      <c r="AD74" s="31">
        <f t="shared" si="7"/>
        <v>96</v>
      </c>
      <c r="AE74" s="31">
        <f t="shared" si="7"/>
        <v>120</v>
      </c>
      <c r="AF74" s="31">
        <f t="shared" si="7"/>
        <v>173</v>
      </c>
      <c r="AG74" s="31">
        <f t="shared" si="7"/>
        <v>263</v>
      </c>
      <c r="AH74" s="31">
        <f t="shared" si="7"/>
        <v>187</v>
      </c>
      <c r="AI74" s="31">
        <f t="shared" si="7"/>
        <v>242</v>
      </c>
      <c r="AJ74" s="31">
        <f t="shared" si="7"/>
        <v>261</v>
      </c>
      <c r="AK74" s="31">
        <f t="shared" si="7"/>
        <v>226</v>
      </c>
      <c r="AL74" s="31">
        <f t="shared" si="7"/>
        <v>250</v>
      </c>
      <c r="AM74" s="31">
        <f t="shared" si="7"/>
        <v>272</v>
      </c>
      <c r="AN74" s="31">
        <f t="shared" si="7"/>
        <v>348</v>
      </c>
      <c r="AO74" s="31">
        <f t="shared" si="7"/>
        <v>253</v>
      </c>
      <c r="AP74" s="31">
        <f t="shared" si="7"/>
        <v>197</v>
      </c>
      <c r="AQ74" s="31">
        <f t="shared" si="7"/>
        <v>168</v>
      </c>
      <c r="AR74" s="31">
        <f t="shared" si="7"/>
        <v>112</v>
      </c>
      <c r="AS74" s="31">
        <f t="shared" si="7"/>
        <v>55</v>
      </c>
      <c r="AT74" s="31">
        <f t="shared" si="7"/>
        <v>59</v>
      </c>
      <c r="AU74" s="31">
        <f t="shared" si="7"/>
        <v>169</v>
      </c>
      <c r="AV74" s="31">
        <f t="shared" si="7"/>
        <v>110</v>
      </c>
      <c r="AW74" s="31">
        <f t="shared" si="7"/>
        <v>94</v>
      </c>
      <c r="AX74" s="31">
        <f t="shared" si="7"/>
        <v>99</v>
      </c>
      <c r="AY74" s="31">
        <f t="shared" si="7"/>
        <v>0</v>
      </c>
      <c r="AZ74" s="31">
        <f t="shared" si="7"/>
        <v>0</v>
      </c>
      <c r="BA74" s="31">
        <f t="shared" si="7"/>
        <v>0</v>
      </c>
      <c r="BB74" s="31">
        <f t="shared" si="7"/>
        <v>0</v>
      </c>
      <c r="BC74" s="31">
        <f t="shared" si="7"/>
        <v>0</v>
      </c>
      <c r="BD74" s="31">
        <f t="shared" si="7"/>
        <v>0</v>
      </c>
    </row>
    <row r="75" spans="1:56" ht="12.75">
      <c r="A75" s="4"/>
      <c r="B75" s="4"/>
      <c r="C75" s="18"/>
      <c r="D75" s="22"/>
      <c r="E75" s="2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1"/>
      <c r="BA75" s="1"/>
      <c r="BB75" s="1"/>
      <c r="BC75" s="1"/>
      <c r="BD75" s="1"/>
    </row>
    <row r="76" spans="1:56" ht="12.75">
      <c r="A76" s="4"/>
      <c r="B76" s="4"/>
      <c r="C76" s="18"/>
      <c r="D76" s="22">
        <f aca="true" t="shared" si="8" ref="D76:I76">SUM(D74,D60,D32,D5)</f>
        <v>50630</v>
      </c>
      <c r="E76" s="33">
        <f t="shared" si="8"/>
        <v>4745</v>
      </c>
      <c r="F76" s="33">
        <f t="shared" si="8"/>
        <v>621</v>
      </c>
      <c r="G76" s="33">
        <f t="shared" si="8"/>
        <v>1208</v>
      </c>
      <c r="H76" s="33">
        <f t="shared" si="8"/>
        <v>1552</v>
      </c>
      <c r="I76" s="33">
        <f t="shared" si="8"/>
        <v>1364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1"/>
      <c r="BA76" s="1"/>
      <c r="BB76" s="1"/>
      <c r="BC76" s="1"/>
      <c r="BD76" s="1"/>
    </row>
    <row r="77" spans="1:56" ht="12.75">
      <c r="A77" s="4"/>
      <c r="B77" s="4"/>
      <c r="C77" s="18"/>
      <c r="D77" s="22"/>
      <c r="E77" s="21">
        <f>SUM(F76:W76)</f>
        <v>4745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9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"/>
      <c r="AW77" s="1"/>
      <c r="AX77" s="1"/>
      <c r="AY77" s="1"/>
      <c r="AZ77" s="1"/>
      <c r="BA77" s="1"/>
      <c r="BB77" s="1"/>
      <c r="BC77" s="1"/>
      <c r="BD77" s="1"/>
    </row>
    <row r="78" spans="2:86" ht="12.75">
      <c r="B78" s="18"/>
      <c r="G78" s="3"/>
      <c r="H78" s="3"/>
      <c r="AR78" s="2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 t="e">
        <f>+BT79-#REF!</f>
        <v>#REF!</v>
      </c>
      <c r="BU78" s="36" t="e">
        <f>+BU79-#REF!</f>
        <v>#REF!</v>
      </c>
      <c r="BV78" s="36" t="e">
        <f>+BV79-#REF!</f>
        <v>#REF!</v>
      </c>
      <c r="BW78" s="36" t="e">
        <f>+BW79-#REF!</f>
        <v>#REF!</v>
      </c>
      <c r="BX78" s="36" t="e">
        <f>+BX79-#REF!</f>
        <v>#REF!</v>
      </c>
      <c r="BY78" s="36" t="e">
        <f>+BY79-#REF!</f>
        <v>#REF!</v>
      </c>
      <c r="BZ78" s="36" t="e">
        <f>+BZ79-#REF!</f>
        <v>#REF!</v>
      </c>
      <c r="CA78" s="36" t="e">
        <f>+CA79-#REF!</f>
        <v>#REF!</v>
      </c>
      <c r="CB78" s="36" t="e">
        <f>+CB79-#REF!</f>
        <v>#REF!</v>
      </c>
      <c r="CC78" s="36" t="e">
        <f>+CC79-#REF!</f>
        <v>#REF!</v>
      </c>
      <c r="CD78" s="36" t="e">
        <f>+CD79-#REF!</f>
        <v>#REF!</v>
      </c>
      <c r="CE78" s="36" t="e">
        <f>+CE79-#REF!</f>
        <v>#REF!</v>
      </c>
      <c r="CF78" s="36">
        <v>10400</v>
      </c>
      <c r="CG78" s="35" t="s">
        <v>373</v>
      </c>
      <c r="CH78" s="35"/>
    </row>
    <row r="79" spans="2:86" ht="12.75">
      <c r="B79" s="4"/>
      <c r="G79" s="3"/>
      <c r="H79" s="3"/>
      <c r="AV79" s="17" t="e">
        <f>+#REF!</f>
        <v>#REF!</v>
      </c>
      <c r="AW79" s="17" t="e">
        <f>+#REF!</f>
        <v>#REF!</v>
      </c>
      <c r="AX79" s="17" t="e">
        <f>+#REF!</f>
        <v>#REF!</v>
      </c>
      <c r="AY79" s="17" t="e">
        <f>+#REF!</f>
        <v>#REF!</v>
      </c>
      <c r="AZ79" s="17" t="e">
        <f>+#REF!</f>
        <v>#REF!</v>
      </c>
      <c r="BA79" s="17" t="e">
        <f>+#REF!</f>
        <v>#REF!</v>
      </c>
      <c r="BB79" s="17" t="e">
        <f>+#REF!</f>
        <v>#REF!</v>
      </c>
      <c r="BC79" s="17" t="e">
        <f>+#REF!</f>
        <v>#REF!</v>
      </c>
      <c r="BD79" s="17" t="e">
        <f>+#REF!</f>
        <v>#REF!</v>
      </c>
      <c r="BE79" s="17" t="e">
        <f>+#REF!</f>
        <v>#REF!</v>
      </c>
      <c r="BF79" s="1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37" t="e">
        <f>+#REF!</f>
        <v>#REF!</v>
      </c>
      <c r="BQ79" s="37" t="e">
        <f>+#REF!</f>
        <v>#REF!</v>
      </c>
      <c r="BR79" s="37" t="e">
        <f>+#REF!</f>
        <v>#REF!</v>
      </c>
      <c r="BS79" s="37" t="e">
        <f>+#REF!</f>
        <v>#REF!</v>
      </c>
      <c r="BT79" s="37">
        <v>1300</v>
      </c>
      <c r="BU79" s="37">
        <v>1400</v>
      </c>
      <c r="BV79" s="37">
        <v>1450</v>
      </c>
      <c r="BW79" s="37">
        <v>1500</v>
      </c>
      <c r="BX79" s="37">
        <v>1450</v>
      </c>
      <c r="BY79" s="37">
        <v>1300</v>
      </c>
      <c r="BZ79" s="37">
        <v>1100</v>
      </c>
      <c r="CA79" s="37">
        <v>1000</v>
      </c>
      <c r="CB79" s="37">
        <v>900</v>
      </c>
      <c r="CC79" s="37">
        <v>800</v>
      </c>
      <c r="CD79" s="37">
        <v>400</v>
      </c>
      <c r="CE79" s="37">
        <v>200</v>
      </c>
      <c r="CF79" s="36" t="e">
        <f>SUM(BT78:CE78)</f>
        <v>#REF!</v>
      </c>
      <c r="CG79" s="35" t="s">
        <v>429</v>
      </c>
      <c r="CH79" s="35"/>
    </row>
    <row r="80" ht="12.75">
      <c r="B80" s="38"/>
    </row>
    <row r="81" ht="12.75">
      <c r="B81" s="38"/>
    </row>
    <row r="82" spans="2:66" ht="22.5">
      <c r="B82" s="38"/>
      <c r="C82" s="1" t="s">
        <v>422</v>
      </c>
      <c r="D82" s="20" t="s">
        <v>87</v>
      </c>
      <c r="E82" s="20" t="s">
        <v>142</v>
      </c>
      <c r="F82" s="24" t="s">
        <v>334</v>
      </c>
      <c r="G82" s="24" t="s">
        <v>335</v>
      </c>
      <c r="H82" s="24" t="s">
        <v>336</v>
      </c>
      <c r="I82" s="24" t="s">
        <v>337</v>
      </c>
      <c r="J82" s="24" t="s">
        <v>338</v>
      </c>
      <c r="K82" s="24" t="s">
        <v>339</v>
      </c>
      <c r="L82" s="24" t="s">
        <v>340</v>
      </c>
      <c r="M82" s="24" t="s">
        <v>341</v>
      </c>
      <c r="N82" s="24" t="s">
        <v>342</v>
      </c>
      <c r="O82" s="24" t="s">
        <v>343</v>
      </c>
      <c r="P82" s="24" t="s">
        <v>344</v>
      </c>
      <c r="Q82" s="24" t="s">
        <v>345</v>
      </c>
      <c r="R82" s="24" t="s">
        <v>346</v>
      </c>
      <c r="S82" s="24" t="s">
        <v>347</v>
      </c>
      <c r="T82" s="24" t="s">
        <v>348</v>
      </c>
      <c r="U82" s="24" t="s">
        <v>349</v>
      </c>
      <c r="V82" s="24" t="s">
        <v>350</v>
      </c>
      <c r="W82" s="24" t="s">
        <v>351</v>
      </c>
      <c r="X82" s="24" t="s">
        <v>352</v>
      </c>
      <c r="Y82" s="24" t="s">
        <v>353</v>
      </c>
      <c r="Z82" s="24" t="s">
        <v>354</v>
      </c>
      <c r="AA82" s="24" t="s">
        <v>355</v>
      </c>
      <c r="AB82" s="24" t="s">
        <v>356</v>
      </c>
      <c r="AC82" s="24" t="s">
        <v>357</v>
      </c>
      <c r="AD82" s="24" t="s">
        <v>358</v>
      </c>
      <c r="AE82" s="24" t="s">
        <v>359</v>
      </c>
      <c r="AF82" s="24" t="s">
        <v>360</v>
      </c>
      <c r="AG82" s="24" t="s">
        <v>361</v>
      </c>
      <c r="AH82" s="24" t="s">
        <v>362</v>
      </c>
      <c r="AI82" s="24" t="s">
        <v>238</v>
      </c>
      <c r="AJ82" s="24" t="s">
        <v>239</v>
      </c>
      <c r="AK82" s="24" t="s">
        <v>240</v>
      </c>
      <c r="AL82" s="24" t="s">
        <v>241</v>
      </c>
      <c r="AM82" s="24" t="s">
        <v>242</v>
      </c>
      <c r="AN82" s="24" t="s">
        <v>243</v>
      </c>
      <c r="AO82" s="24" t="s">
        <v>244</v>
      </c>
      <c r="AP82" s="24" t="s">
        <v>245</v>
      </c>
      <c r="AQ82" s="24" t="s">
        <v>246</v>
      </c>
      <c r="AR82" s="24" t="s">
        <v>247</v>
      </c>
      <c r="AS82" s="24" t="s">
        <v>232</v>
      </c>
      <c r="AT82" s="24" t="s">
        <v>233</v>
      </c>
      <c r="AU82" s="24" t="s">
        <v>248</v>
      </c>
      <c r="AV82" s="24" t="s">
        <v>249</v>
      </c>
      <c r="AW82" s="24" t="s">
        <v>250</v>
      </c>
      <c r="AX82" s="24" t="s">
        <v>251</v>
      </c>
      <c r="AY82" s="24" t="s">
        <v>252</v>
      </c>
      <c r="AZ82" s="24" t="s">
        <v>253</v>
      </c>
      <c r="BA82" s="24" t="s">
        <v>254</v>
      </c>
      <c r="BB82" s="24" t="s">
        <v>255</v>
      </c>
      <c r="BC82" s="24" t="s">
        <v>256</v>
      </c>
      <c r="BD82" s="24" t="s">
        <v>257</v>
      </c>
      <c r="BE82" s="24" t="s">
        <v>234</v>
      </c>
      <c r="BF82" s="24" t="s">
        <v>235</v>
      </c>
      <c r="BG82" s="24" t="s">
        <v>258</v>
      </c>
      <c r="BH82" s="24" t="s">
        <v>259</v>
      </c>
      <c r="BI82" s="24" t="s">
        <v>260</v>
      </c>
      <c r="BJ82" s="24" t="s">
        <v>261</v>
      </c>
      <c r="BK82" s="24" t="s">
        <v>262</v>
      </c>
      <c r="BL82" s="24" t="s">
        <v>263</v>
      </c>
      <c r="BM82" s="24" t="s">
        <v>264</v>
      </c>
      <c r="BN82" s="24" t="s">
        <v>265</v>
      </c>
    </row>
    <row r="83" spans="1:64" ht="11.25">
      <c r="A83" s="17">
        <f>SUM(C83:D83)</f>
        <v>11056.503999999999</v>
      </c>
      <c r="B83" s="14" t="s">
        <v>89</v>
      </c>
      <c r="C83" s="2">
        <f>SUM('Baseline Reconciliation'!F139)</f>
        <v>5262.503999999999</v>
      </c>
      <c r="D83" s="2">
        <f>SUM(D5)</f>
        <v>5794</v>
      </c>
      <c r="E83" s="2">
        <f>SUM(E5)</f>
        <v>397</v>
      </c>
      <c r="F83" s="2">
        <f aca="true" t="shared" si="9" ref="F83:BL83">SUM(F5)</f>
        <v>104</v>
      </c>
      <c r="G83" s="2">
        <f t="shared" si="9"/>
        <v>95</v>
      </c>
      <c r="H83" s="2">
        <f t="shared" si="9"/>
        <v>95</v>
      </c>
      <c r="I83" s="2">
        <f t="shared" si="9"/>
        <v>103</v>
      </c>
      <c r="J83" s="2">
        <f t="shared" si="9"/>
        <v>86</v>
      </c>
      <c r="K83" s="2">
        <f t="shared" si="9"/>
        <v>145</v>
      </c>
      <c r="L83" s="2">
        <f t="shared" si="9"/>
        <v>127</v>
      </c>
      <c r="M83" s="2">
        <f t="shared" si="9"/>
        <v>95</v>
      </c>
      <c r="N83" s="2">
        <f t="shared" si="9"/>
        <v>139</v>
      </c>
      <c r="O83" s="2">
        <f t="shared" si="9"/>
        <v>132</v>
      </c>
      <c r="P83" s="2">
        <f t="shared" si="9"/>
        <v>132</v>
      </c>
      <c r="Q83" s="2">
        <f t="shared" si="9"/>
        <v>139</v>
      </c>
      <c r="R83" s="2">
        <f t="shared" si="9"/>
        <v>132</v>
      </c>
      <c r="S83" s="2">
        <f t="shared" si="9"/>
        <v>132</v>
      </c>
      <c r="T83" s="2">
        <f t="shared" si="9"/>
        <v>139</v>
      </c>
      <c r="U83" s="2">
        <f t="shared" si="9"/>
        <v>132</v>
      </c>
      <c r="V83" s="2">
        <f t="shared" si="9"/>
        <v>131</v>
      </c>
      <c r="W83" s="2">
        <f t="shared" si="9"/>
        <v>159</v>
      </c>
      <c r="X83" s="2">
        <f t="shared" si="9"/>
        <v>126</v>
      </c>
      <c r="Y83" s="2">
        <f t="shared" si="9"/>
        <v>118</v>
      </c>
      <c r="Z83" s="2">
        <f t="shared" si="9"/>
        <v>146</v>
      </c>
      <c r="AA83" s="2">
        <f t="shared" si="9"/>
        <v>139</v>
      </c>
      <c r="AB83" s="2">
        <f t="shared" si="9"/>
        <v>152</v>
      </c>
      <c r="AC83" s="2">
        <f t="shared" si="9"/>
        <v>152</v>
      </c>
      <c r="AD83" s="2">
        <f t="shared" si="9"/>
        <v>139</v>
      </c>
      <c r="AE83" s="2">
        <f t="shared" si="9"/>
        <v>152</v>
      </c>
      <c r="AF83" s="2">
        <f t="shared" si="9"/>
        <v>152</v>
      </c>
      <c r="AG83" s="2">
        <f t="shared" si="9"/>
        <v>146</v>
      </c>
      <c r="AH83" s="2">
        <f t="shared" si="9"/>
        <v>142</v>
      </c>
      <c r="AI83" s="2">
        <f t="shared" si="9"/>
        <v>142</v>
      </c>
      <c r="AJ83" s="2">
        <f t="shared" si="9"/>
        <v>123</v>
      </c>
      <c r="AK83" s="2">
        <f t="shared" si="9"/>
        <v>104</v>
      </c>
      <c r="AL83" s="2">
        <f t="shared" si="9"/>
        <v>130</v>
      </c>
      <c r="AM83" s="2">
        <f t="shared" si="9"/>
        <v>130</v>
      </c>
      <c r="AN83" s="2">
        <f t="shared" si="9"/>
        <v>149</v>
      </c>
      <c r="AO83" s="2">
        <f t="shared" si="9"/>
        <v>142</v>
      </c>
      <c r="AP83" s="2">
        <f t="shared" si="9"/>
        <v>130</v>
      </c>
      <c r="AQ83" s="2">
        <f t="shared" si="9"/>
        <v>142</v>
      </c>
      <c r="AR83" s="2">
        <f t="shared" si="9"/>
        <v>136</v>
      </c>
      <c r="AS83" s="2">
        <f t="shared" si="9"/>
        <v>142</v>
      </c>
      <c r="AT83" s="2">
        <f t="shared" si="9"/>
        <v>136</v>
      </c>
      <c r="AU83" s="2">
        <f t="shared" si="9"/>
        <v>108</v>
      </c>
      <c r="AV83" s="2">
        <f t="shared" si="9"/>
        <v>103</v>
      </c>
      <c r="AW83" s="2">
        <f t="shared" si="9"/>
        <v>87</v>
      </c>
      <c r="AX83" s="2">
        <f t="shared" si="9"/>
        <v>108</v>
      </c>
      <c r="AY83" s="2">
        <f t="shared" si="9"/>
        <v>1</v>
      </c>
      <c r="AZ83" s="2">
        <f t="shared" si="9"/>
        <v>0</v>
      </c>
      <c r="BA83" s="2">
        <f t="shared" si="9"/>
        <v>0</v>
      </c>
      <c r="BB83" s="2">
        <f t="shared" si="9"/>
        <v>0</v>
      </c>
      <c r="BC83" s="2">
        <f t="shared" si="9"/>
        <v>0</v>
      </c>
      <c r="BD83" s="2">
        <f t="shared" si="9"/>
        <v>0</v>
      </c>
      <c r="BE83" s="2">
        <f t="shared" si="9"/>
        <v>0</v>
      </c>
      <c r="BF83" s="2">
        <f t="shared" si="9"/>
        <v>0</v>
      </c>
      <c r="BG83" s="2">
        <f t="shared" si="9"/>
        <v>0</v>
      </c>
      <c r="BH83" s="2">
        <f t="shared" si="9"/>
        <v>0</v>
      </c>
      <c r="BI83" s="2">
        <f t="shared" si="9"/>
        <v>0</v>
      </c>
      <c r="BJ83" s="2">
        <f t="shared" si="9"/>
        <v>0</v>
      </c>
      <c r="BK83" s="2">
        <f t="shared" si="9"/>
        <v>0</v>
      </c>
      <c r="BL83" s="2">
        <f t="shared" si="9"/>
        <v>0</v>
      </c>
    </row>
    <row r="84" spans="1:64" ht="11.25">
      <c r="A84" s="17">
        <f>SUM(C84:D84)</f>
        <v>45111.331000000006</v>
      </c>
      <c r="B84" s="14" t="s">
        <v>90</v>
      </c>
      <c r="C84" s="2">
        <f>SUM('Baseline Reconciliation'!F140)</f>
        <v>20428.331000000006</v>
      </c>
      <c r="D84" s="2">
        <f>SUM(D32)</f>
        <v>24683</v>
      </c>
      <c r="E84" s="2">
        <f aca="true" t="shared" si="10" ref="E84:BL84">SUM(E32)</f>
        <v>2300</v>
      </c>
      <c r="F84" s="2">
        <f t="shared" si="10"/>
        <v>196</v>
      </c>
      <c r="G84" s="2">
        <f t="shared" si="10"/>
        <v>494</v>
      </c>
      <c r="H84" s="2">
        <f t="shared" si="10"/>
        <v>848</v>
      </c>
      <c r="I84" s="2">
        <f t="shared" si="10"/>
        <v>762</v>
      </c>
      <c r="J84" s="2">
        <f t="shared" si="10"/>
        <v>613</v>
      </c>
      <c r="K84" s="2">
        <f t="shared" si="10"/>
        <v>1207</v>
      </c>
      <c r="L84" s="2">
        <f t="shared" si="10"/>
        <v>635</v>
      </c>
      <c r="M84" s="2">
        <f t="shared" si="10"/>
        <v>486</v>
      </c>
      <c r="N84" s="2">
        <f t="shared" si="10"/>
        <v>726</v>
      </c>
      <c r="O84" s="2">
        <f t="shared" si="10"/>
        <v>608</v>
      </c>
      <c r="P84" s="2">
        <f t="shared" si="10"/>
        <v>593</v>
      </c>
      <c r="Q84" s="2">
        <f t="shared" si="10"/>
        <v>559</v>
      </c>
      <c r="R84" s="2">
        <f t="shared" si="10"/>
        <v>514</v>
      </c>
      <c r="S84" s="2">
        <f t="shared" si="10"/>
        <v>435</v>
      </c>
      <c r="T84" s="2">
        <f t="shared" si="10"/>
        <v>560</v>
      </c>
      <c r="U84" s="2">
        <f t="shared" si="10"/>
        <v>376</v>
      </c>
      <c r="V84" s="2">
        <f t="shared" si="10"/>
        <v>362</v>
      </c>
      <c r="W84" s="2">
        <f t="shared" si="10"/>
        <v>460</v>
      </c>
      <c r="X84" s="2">
        <f t="shared" si="10"/>
        <v>493</v>
      </c>
      <c r="Y84" s="2">
        <f t="shared" si="10"/>
        <v>695</v>
      </c>
      <c r="Z84" s="2">
        <f t="shared" si="10"/>
        <v>863</v>
      </c>
      <c r="AA84" s="2">
        <f t="shared" si="10"/>
        <v>703</v>
      </c>
      <c r="AB84" s="2">
        <f t="shared" si="10"/>
        <v>735</v>
      </c>
      <c r="AC84" s="2">
        <f t="shared" si="10"/>
        <v>653</v>
      </c>
      <c r="AD84" s="2">
        <f t="shared" si="10"/>
        <v>658</v>
      </c>
      <c r="AE84" s="2">
        <f t="shared" si="10"/>
        <v>669</v>
      </c>
      <c r="AF84" s="2">
        <f t="shared" si="10"/>
        <v>589</v>
      </c>
      <c r="AG84" s="2">
        <f t="shared" si="10"/>
        <v>545</v>
      </c>
      <c r="AH84" s="2">
        <f t="shared" si="10"/>
        <v>610</v>
      </c>
      <c r="AI84" s="2">
        <f t="shared" si="10"/>
        <v>830</v>
      </c>
      <c r="AJ84" s="2">
        <f t="shared" si="10"/>
        <v>574</v>
      </c>
      <c r="AK84" s="2">
        <f t="shared" si="10"/>
        <v>417</v>
      </c>
      <c r="AL84" s="2">
        <f t="shared" si="10"/>
        <v>544</v>
      </c>
      <c r="AM84" s="2">
        <f t="shared" si="10"/>
        <v>389</v>
      </c>
      <c r="AN84" s="2">
        <f t="shared" si="10"/>
        <v>562</v>
      </c>
      <c r="AO84" s="2">
        <f t="shared" si="10"/>
        <v>619</v>
      </c>
      <c r="AP84" s="2">
        <f t="shared" si="10"/>
        <v>482</v>
      </c>
      <c r="AQ84" s="2">
        <f t="shared" si="10"/>
        <v>428</v>
      </c>
      <c r="AR84" s="2">
        <f t="shared" si="10"/>
        <v>358</v>
      </c>
      <c r="AS84" s="2">
        <f t="shared" si="10"/>
        <v>375</v>
      </c>
      <c r="AT84" s="2">
        <f t="shared" si="10"/>
        <v>324</v>
      </c>
      <c r="AU84" s="2">
        <f t="shared" si="10"/>
        <v>410</v>
      </c>
      <c r="AV84" s="2">
        <f t="shared" si="10"/>
        <v>375</v>
      </c>
      <c r="AW84" s="2">
        <f t="shared" si="10"/>
        <v>318</v>
      </c>
      <c r="AX84" s="2">
        <f t="shared" si="10"/>
        <v>31</v>
      </c>
      <c r="AY84" s="2">
        <f t="shared" si="10"/>
        <v>0</v>
      </c>
      <c r="AZ84" s="2">
        <f t="shared" si="10"/>
        <v>0</v>
      </c>
      <c r="BA84" s="2">
        <f t="shared" si="10"/>
        <v>0</v>
      </c>
      <c r="BB84" s="2">
        <f t="shared" si="10"/>
        <v>0</v>
      </c>
      <c r="BC84" s="2">
        <f t="shared" si="10"/>
        <v>0</v>
      </c>
      <c r="BD84" s="2">
        <f t="shared" si="10"/>
        <v>0</v>
      </c>
      <c r="BE84" s="2">
        <f t="shared" si="10"/>
        <v>0</v>
      </c>
      <c r="BF84" s="2">
        <f t="shared" si="10"/>
        <v>0</v>
      </c>
      <c r="BG84" s="2">
        <f t="shared" si="10"/>
        <v>0</v>
      </c>
      <c r="BH84" s="2">
        <f t="shared" si="10"/>
        <v>0</v>
      </c>
      <c r="BI84" s="2">
        <f t="shared" si="10"/>
        <v>0</v>
      </c>
      <c r="BJ84" s="2">
        <f t="shared" si="10"/>
        <v>0</v>
      </c>
      <c r="BK84" s="2">
        <f t="shared" si="10"/>
        <v>0</v>
      </c>
      <c r="BL84" s="2">
        <f t="shared" si="10"/>
        <v>0</v>
      </c>
    </row>
    <row r="85" spans="1:64" ht="11.25">
      <c r="A85" s="17">
        <f>SUM(C85:D85)</f>
        <v>56483.653000000006</v>
      </c>
      <c r="B85" s="14" t="s">
        <v>91</v>
      </c>
      <c r="C85" s="2">
        <f>SUM('Baseline Reconciliation'!F141)</f>
        <v>40659.653000000006</v>
      </c>
      <c r="D85" s="2">
        <f>SUM(D60)</f>
        <v>15824</v>
      </c>
      <c r="E85" s="2">
        <f aca="true" t="shared" si="11" ref="E85:BL85">SUM(E60)</f>
        <v>2147</v>
      </c>
      <c r="F85" s="2">
        <f t="shared" si="11"/>
        <v>424</v>
      </c>
      <c r="G85" s="2">
        <f t="shared" si="11"/>
        <v>618</v>
      </c>
      <c r="H85" s="2">
        <f t="shared" si="11"/>
        <v>608</v>
      </c>
      <c r="I85" s="2">
        <f t="shared" si="11"/>
        <v>497</v>
      </c>
      <c r="J85" s="2">
        <f t="shared" si="11"/>
        <v>433</v>
      </c>
      <c r="K85" s="2">
        <f t="shared" si="11"/>
        <v>608</v>
      </c>
      <c r="L85" s="2">
        <f t="shared" si="11"/>
        <v>384</v>
      </c>
      <c r="M85" s="2">
        <f t="shared" si="11"/>
        <v>300</v>
      </c>
      <c r="N85" s="2">
        <f t="shared" si="11"/>
        <v>434</v>
      </c>
      <c r="O85" s="2">
        <f t="shared" si="11"/>
        <v>372</v>
      </c>
      <c r="P85" s="2">
        <f t="shared" si="11"/>
        <v>394</v>
      </c>
      <c r="Q85" s="2">
        <f t="shared" si="11"/>
        <v>351</v>
      </c>
      <c r="R85" s="2">
        <f t="shared" si="11"/>
        <v>347</v>
      </c>
      <c r="S85" s="2">
        <f t="shared" si="11"/>
        <v>481</v>
      </c>
      <c r="T85" s="2">
        <f t="shared" si="11"/>
        <v>643</v>
      </c>
      <c r="U85" s="2">
        <f t="shared" si="11"/>
        <v>774</v>
      </c>
      <c r="V85" s="2">
        <f t="shared" si="11"/>
        <v>729</v>
      </c>
      <c r="W85" s="2">
        <f t="shared" si="11"/>
        <v>657</v>
      </c>
      <c r="X85" s="2">
        <f t="shared" si="11"/>
        <v>442</v>
      </c>
      <c r="Y85" s="2">
        <f t="shared" si="11"/>
        <v>331</v>
      </c>
      <c r="Z85" s="2">
        <f t="shared" si="11"/>
        <v>367</v>
      </c>
      <c r="AA85" s="2">
        <f t="shared" si="11"/>
        <v>342</v>
      </c>
      <c r="AB85" s="2">
        <f t="shared" si="11"/>
        <v>377</v>
      </c>
      <c r="AC85" s="2">
        <f t="shared" si="11"/>
        <v>399</v>
      </c>
      <c r="AD85" s="2">
        <f t="shared" si="11"/>
        <v>316</v>
      </c>
      <c r="AE85" s="2">
        <f t="shared" si="11"/>
        <v>316</v>
      </c>
      <c r="AF85" s="2">
        <f t="shared" si="11"/>
        <v>237</v>
      </c>
      <c r="AG85" s="2">
        <f t="shared" si="11"/>
        <v>201</v>
      </c>
      <c r="AH85" s="2">
        <f t="shared" si="11"/>
        <v>209</v>
      </c>
      <c r="AI85" s="2">
        <f t="shared" si="11"/>
        <v>338</v>
      </c>
      <c r="AJ85" s="2">
        <f t="shared" si="11"/>
        <v>295</v>
      </c>
      <c r="AK85" s="2">
        <f t="shared" si="11"/>
        <v>251</v>
      </c>
      <c r="AL85" s="2">
        <f t="shared" si="11"/>
        <v>283</v>
      </c>
      <c r="AM85" s="2">
        <f t="shared" si="11"/>
        <v>238</v>
      </c>
      <c r="AN85" s="2">
        <f t="shared" si="11"/>
        <v>248</v>
      </c>
      <c r="AO85" s="2">
        <f t="shared" si="11"/>
        <v>193</v>
      </c>
      <c r="AP85" s="2">
        <f t="shared" si="11"/>
        <v>150</v>
      </c>
      <c r="AQ85" s="2">
        <f t="shared" si="11"/>
        <v>165</v>
      </c>
      <c r="AR85" s="2">
        <f t="shared" si="11"/>
        <v>158</v>
      </c>
      <c r="AS85" s="2">
        <f t="shared" si="11"/>
        <v>165</v>
      </c>
      <c r="AT85" s="2">
        <f t="shared" si="11"/>
        <v>158</v>
      </c>
      <c r="AU85" s="2">
        <f t="shared" si="11"/>
        <v>157</v>
      </c>
      <c r="AV85" s="2">
        <f t="shared" si="11"/>
        <v>150</v>
      </c>
      <c r="AW85" s="2">
        <f t="shared" si="11"/>
        <v>127</v>
      </c>
      <c r="AX85" s="2">
        <f t="shared" si="11"/>
        <v>153</v>
      </c>
      <c r="AY85" s="2">
        <f t="shared" si="11"/>
        <v>4</v>
      </c>
      <c r="AZ85" s="2">
        <f t="shared" si="11"/>
        <v>0</v>
      </c>
      <c r="BA85" s="2">
        <f t="shared" si="11"/>
        <v>0</v>
      </c>
      <c r="BB85" s="2">
        <f t="shared" si="11"/>
        <v>0</v>
      </c>
      <c r="BC85" s="2">
        <f t="shared" si="11"/>
        <v>0</v>
      </c>
      <c r="BD85" s="2">
        <f t="shared" si="11"/>
        <v>0</v>
      </c>
      <c r="BE85" s="2">
        <f t="shared" si="11"/>
        <v>0</v>
      </c>
      <c r="BF85" s="2">
        <f t="shared" si="11"/>
        <v>0</v>
      </c>
      <c r="BG85" s="2">
        <f t="shared" si="11"/>
        <v>0</v>
      </c>
      <c r="BH85" s="2">
        <f t="shared" si="11"/>
        <v>0</v>
      </c>
      <c r="BI85" s="2">
        <f t="shared" si="11"/>
        <v>0</v>
      </c>
      <c r="BJ85" s="2">
        <f t="shared" si="11"/>
        <v>0</v>
      </c>
      <c r="BK85" s="2">
        <f t="shared" si="11"/>
        <v>0</v>
      </c>
      <c r="BL85" s="2">
        <f t="shared" si="11"/>
        <v>0</v>
      </c>
    </row>
    <row r="86" spans="1:64" ht="11.25">
      <c r="A86" s="17">
        <f>SUM(C86:D86)</f>
        <v>5081.65</v>
      </c>
      <c r="B86" s="14" t="s">
        <v>92</v>
      </c>
      <c r="C86" s="2">
        <f>SUM('Baseline Reconciliation'!F142)</f>
        <v>752.65</v>
      </c>
      <c r="D86" s="2">
        <f>SUM(D74)</f>
        <v>4329</v>
      </c>
      <c r="E86" s="2">
        <f aca="true" t="shared" si="12" ref="E86:BL86">SUM(E74)</f>
        <v>-99</v>
      </c>
      <c r="F86" s="2">
        <f t="shared" si="12"/>
        <v>-103</v>
      </c>
      <c r="G86" s="2">
        <f t="shared" si="12"/>
        <v>1</v>
      </c>
      <c r="H86" s="2">
        <f t="shared" si="12"/>
        <v>1</v>
      </c>
      <c r="I86" s="2">
        <f t="shared" si="12"/>
        <v>2</v>
      </c>
      <c r="J86" s="2">
        <f t="shared" si="12"/>
        <v>1</v>
      </c>
      <c r="K86" s="2">
        <f t="shared" si="12"/>
        <v>3</v>
      </c>
      <c r="L86" s="2">
        <f t="shared" si="12"/>
        <v>3</v>
      </c>
      <c r="M86" s="2">
        <f t="shared" si="12"/>
        <v>2</v>
      </c>
      <c r="N86" s="2">
        <f t="shared" si="12"/>
        <v>3</v>
      </c>
      <c r="O86" s="2">
        <f t="shared" si="12"/>
        <v>3</v>
      </c>
      <c r="P86" s="2">
        <f t="shared" si="12"/>
        <v>3</v>
      </c>
      <c r="Q86" s="2">
        <f t="shared" si="12"/>
        <v>3</v>
      </c>
      <c r="R86" s="2">
        <f t="shared" si="12"/>
        <v>3</v>
      </c>
      <c r="S86" s="2">
        <f t="shared" si="12"/>
        <v>3</v>
      </c>
      <c r="T86" s="2">
        <f t="shared" si="12"/>
        <v>3</v>
      </c>
      <c r="U86" s="2">
        <f t="shared" si="12"/>
        <v>3</v>
      </c>
      <c r="V86" s="2">
        <f t="shared" si="12"/>
        <v>3</v>
      </c>
      <c r="W86" s="2">
        <f t="shared" si="12"/>
        <v>61</v>
      </c>
      <c r="X86" s="2">
        <f t="shared" si="12"/>
        <v>77</v>
      </c>
      <c r="Y86" s="2">
        <f t="shared" si="12"/>
        <v>94</v>
      </c>
      <c r="Z86" s="2">
        <f t="shared" si="12"/>
        <v>114</v>
      </c>
      <c r="AA86" s="2">
        <f t="shared" si="12"/>
        <v>82</v>
      </c>
      <c r="AB86" s="2">
        <f t="shared" si="12"/>
        <v>106</v>
      </c>
      <c r="AC86" s="2">
        <f t="shared" si="12"/>
        <v>104</v>
      </c>
      <c r="AD86" s="2">
        <f t="shared" si="12"/>
        <v>96</v>
      </c>
      <c r="AE86" s="2">
        <f t="shared" si="12"/>
        <v>120</v>
      </c>
      <c r="AF86" s="2">
        <f t="shared" si="12"/>
        <v>173</v>
      </c>
      <c r="AG86" s="2">
        <f t="shared" si="12"/>
        <v>263</v>
      </c>
      <c r="AH86" s="2">
        <f t="shared" si="12"/>
        <v>187</v>
      </c>
      <c r="AI86" s="2">
        <f t="shared" si="12"/>
        <v>242</v>
      </c>
      <c r="AJ86" s="2">
        <f t="shared" si="12"/>
        <v>261</v>
      </c>
      <c r="AK86" s="2">
        <f t="shared" si="12"/>
        <v>226</v>
      </c>
      <c r="AL86" s="2">
        <f t="shared" si="12"/>
        <v>250</v>
      </c>
      <c r="AM86" s="2">
        <f t="shared" si="12"/>
        <v>272</v>
      </c>
      <c r="AN86" s="2">
        <f t="shared" si="12"/>
        <v>348</v>
      </c>
      <c r="AO86" s="2">
        <f t="shared" si="12"/>
        <v>253</v>
      </c>
      <c r="AP86" s="2">
        <f t="shared" si="12"/>
        <v>197</v>
      </c>
      <c r="AQ86" s="2">
        <f t="shared" si="12"/>
        <v>168</v>
      </c>
      <c r="AR86" s="2">
        <f t="shared" si="12"/>
        <v>112</v>
      </c>
      <c r="AS86" s="2">
        <f t="shared" si="12"/>
        <v>55</v>
      </c>
      <c r="AT86" s="2">
        <f t="shared" si="12"/>
        <v>59</v>
      </c>
      <c r="AU86" s="2">
        <f t="shared" si="12"/>
        <v>169</v>
      </c>
      <c r="AV86" s="2">
        <f t="shared" si="12"/>
        <v>110</v>
      </c>
      <c r="AW86" s="2">
        <f t="shared" si="12"/>
        <v>94</v>
      </c>
      <c r="AX86" s="2">
        <f t="shared" si="12"/>
        <v>99</v>
      </c>
      <c r="AY86" s="2">
        <f t="shared" si="12"/>
        <v>0</v>
      </c>
      <c r="AZ86" s="2">
        <f t="shared" si="12"/>
        <v>0</v>
      </c>
      <c r="BA86" s="2">
        <f t="shared" si="12"/>
        <v>0</v>
      </c>
      <c r="BB86" s="2">
        <f t="shared" si="12"/>
        <v>0</v>
      </c>
      <c r="BC86" s="2">
        <f t="shared" si="12"/>
        <v>0</v>
      </c>
      <c r="BD86" s="2">
        <f t="shared" si="12"/>
        <v>0</v>
      </c>
      <c r="BE86" s="2">
        <f t="shared" si="12"/>
        <v>0</v>
      </c>
      <c r="BF86" s="2">
        <f t="shared" si="12"/>
        <v>0</v>
      </c>
      <c r="BG86" s="2">
        <f t="shared" si="12"/>
        <v>0</v>
      </c>
      <c r="BH86" s="2">
        <f t="shared" si="12"/>
        <v>0</v>
      </c>
      <c r="BI86" s="2">
        <f t="shared" si="12"/>
        <v>0</v>
      </c>
      <c r="BJ86" s="2">
        <f t="shared" si="12"/>
        <v>0</v>
      </c>
      <c r="BK86" s="2">
        <f t="shared" si="12"/>
        <v>0</v>
      </c>
      <c r="BL86" s="2">
        <f t="shared" si="12"/>
        <v>0</v>
      </c>
    </row>
    <row r="87" ht="12.75">
      <c r="B87" s="38"/>
    </row>
    <row r="88" spans="2:9" ht="12.75">
      <c r="B88" s="38"/>
      <c r="C88" s="17">
        <f>SUM(C83:C87)</f>
        <v>67103.138</v>
      </c>
      <c r="D88" s="17">
        <f>SUM(D83:D87)</f>
        <v>50630</v>
      </c>
      <c r="E88" s="17">
        <f>SUM(E83:E86)</f>
        <v>4745</v>
      </c>
      <c r="F88" s="17">
        <f>SUM(F83:F86)</f>
        <v>621</v>
      </c>
      <c r="G88" s="17">
        <f>SUM(G83:G86)</f>
        <v>1208</v>
      </c>
      <c r="H88" s="17">
        <f>SUM(H83:H86)</f>
        <v>1552</v>
      </c>
      <c r="I88" s="17">
        <f>SUM(I83:I86)</f>
        <v>1364</v>
      </c>
    </row>
    <row r="89" spans="2:5" ht="12.75">
      <c r="B89" s="38"/>
      <c r="E89" s="17">
        <f>SUM(F88:Q88)</f>
        <v>4745</v>
      </c>
    </row>
    <row r="90" spans="2:4" ht="12.75">
      <c r="B90" s="38"/>
      <c r="D90" s="17">
        <f>SUM(C88:D88)</f>
        <v>117733.138</v>
      </c>
    </row>
    <row r="91" spans="2:52" ht="12.75">
      <c r="B91" s="38"/>
      <c r="F91" s="24" t="s">
        <v>334</v>
      </c>
      <c r="G91" s="24" t="s">
        <v>335</v>
      </c>
      <c r="H91" s="24" t="s">
        <v>336</v>
      </c>
      <c r="I91" s="24" t="s">
        <v>337</v>
      </c>
      <c r="J91" s="24" t="s">
        <v>338</v>
      </c>
      <c r="K91" s="24" t="s">
        <v>339</v>
      </c>
      <c r="L91" s="24" t="s">
        <v>340</v>
      </c>
      <c r="M91" s="24" t="s">
        <v>341</v>
      </c>
      <c r="N91" s="24" t="s">
        <v>342</v>
      </c>
      <c r="O91" s="24" t="s">
        <v>343</v>
      </c>
      <c r="P91" s="24" t="s">
        <v>344</v>
      </c>
      <c r="Q91" s="24" t="s">
        <v>345</v>
      </c>
      <c r="R91" s="24" t="s">
        <v>346</v>
      </c>
      <c r="S91" s="24" t="s">
        <v>347</v>
      </c>
      <c r="T91" s="24" t="s">
        <v>348</v>
      </c>
      <c r="U91" s="24" t="s">
        <v>349</v>
      </c>
      <c r="V91" s="24" t="s">
        <v>350</v>
      </c>
      <c r="W91" s="24" t="s">
        <v>351</v>
      </c>
      <c r="X91" s="24" t="s">
        <v>352</v>
      </c>
      <c r="Y91" s="24" t="s">
        <v>353</v>
      </c>
      <c r="Z91" s="24" t="s">
        <v>354</v>
      </c>
      <c r="AA91" s="24" t="s">
        <v>355</v>
      </c>
      <c r="AB91" s="24" t="s">
        <v>356</v>
      </c>
      <c r="AC91" s="24" t="s">
        <v>357</v>
      </c>
      <c r="AD91" s="24" t="s">
        <v>358</v>
      </c>
      <c r="AE91" s="24" t="s">
        <v>359</v>
      </c>
      <c r="AF91" s="24" t="s">
        <v>360</v>
      </c>
      <c r="AG91" s="24" t="s">
        <v>361</v>
      </c>
      <c r="AH91" s="24" t="s">
        <v>362</v>
      </c>
      <c r="AI91" s="24" t="s">
        <v>238</v>
      </c>
      <c r="AJ91" s="24" t="s">
        <v>239</v>
      </c>
      <c r="AK91" s="24" t="s">
        <v>240</v>
      </c>
      <c r="AL91" s="24" t="s">
        <v>241</v>
      </c>
      <c r="AM91" s="24" t="s">
        <v>242</v>
      </c>
      <c r="AN91" s="24" t="s">
        <v>243</v>
      </c>
      <c r="AO91" s="24" t="s">
        <v>244</v>
      </c>
      <c r="AP91" s="24" t="s">
        <v>245</v>
      </c>
      <c r="AQ91" s="24" t="s">
        <v>246</v>
      </c>
      <c r="AR91" s="24" t="s">
        <v>247</v>
      </c>
      <c r="AS91" s="24" t="s">
        <v>232</v>
      </c>
      <c r="AT91" s="24" t="s">
        <v>233</v>
      </c>
      <c r="AU91" s="24" t="s">
        <v>248</v>
      </c>
      <c r="AV91" s="24" t="s">
        <v>249</v>
      </c>
      <c r="AW91" s="24" t="s">
        <v>250</v>
      </c>
      <c r="AX91" s="24" t="s">
        <v>251</v>
      </c>
      <c r="AY91" s="24" t="s">
        <v>252</v>
      </c>
      <c r="AZ91" s="24" t="s">
        <v>253</v>
      </c>
    </row>
    <row r="92" spans="2:52" ht="12.75">
      <c r="B92" s="38"/>
      <c r="D92" s="14" t="s">
        <v>89</v>
      </c>
      <c r="E92" s="1" t="s">
        <v>420</v>
      </c>
      <c r="F92" s="17">
        <f>+F83</f>
        <v>104</v>
      </c>
      <c r="G92" s="2">
        <f>+F92+G83</f>
        <v>199</v>
      </c>
      <c r="H92" s="2">
        <f aca="true" t="shared" si="13" ref="H92:AZ92">+G92+H83</f>
        <v>294</v>
      </c>
      <c r="I92" s="2">
        <f t="shared" si="13"/>
        <v>397</v>
      </c>
      <c r="J92" s="2">
        <f t="shared" si="13"/>
        <v>483</v>
      </c>
      <c r="K92" s="2">
        <f t="shared" si="13"/>
        <v>628</v>
      </c>
      <c r="L92" s="2">
        <f t="shared" si="13"/>
        <v>755</v>
      </c>
      <c r="M92" s="2">
        <f t="shared" si="13"/>
        <v>850</v>
      </c>
      <c r="N92" s="2">
        <f t="shared" si="13"/>
        <v>989</v>
      </c>
      <c r="O92" s="2">
        <f t="shared" si="13"/>
        <v>1121</v>
      </c>
      <c r="P92" s="2">
        <f t="shared" si="13"/>
        <v>1253</v>
      </c>
      <c r="Q92" s="2">
        <f t="shared" si="13"/>
        <v>1392</v>
      </c>
      <c r="R92" s="2">
        <f t="shared" si="13"/>
        <v>1524</v>
      </c>
      <c r="S92" s="2">
        <f t="shared" si="13"/>
        <v>1656</v>
      </c>
      <c r="T92" s="2">
        <f t="shared" si="13"/>
        <v>1795</v>
      </c>
      <c r="U92" s="2">
        <f t="shared" si="13"/>
        <v>1927</v>
      </c>
      <c r="V92" s="2">
        <f t="shared" si="13"/>
        <v>2058</v>
      </c>
      <c r="W92" s="2">
        <f t="shared" si="13"/>
        <v>2217</v>
      </c>
      <c r="X92" s="2">
        <f t="shared" si="13"/>
        <v>2343</v>
      </c>
      <c r="Y92" s="2">
        <f t="shared" si="13"/>
        <v>2461</v>
      </c>
      <c r="Z92" s="2">
        <f t="shared" si="13"/>
        <v>2607</v>
      </c>
      <c r="AA92" s="2">
        <f t="shared" si="13"/>
        <v>2746</v>
      </c>
      <c r="AB92" s="2">
        <f t="shared" si="13"/>
        <v>2898</v>
      </c>
      <c r="AC92" s="2">
        <f t="shared" si="13"/>
        <v>3050</v>
      </c>
      <c r="AD92" s="2">
        <f t="shared" si="13"/>
        <v>3189</v>
      </c>
      <c r="AE92" s="2">
        <f t="shared" si="13"/>
        <v>3341</v>
      </c>
      <c r="AF92" s="2">
        <f t="shared" si="13"/>
        <v>3493</v>
      </c>
      <c r="AG92" s="2">
        <f t="shared" si="13"/>
        <v>3639</v>
      </c>
      <c r="AH92" s="2">
        <f t="shared" si="13"/>
        <v>3781</v>
      </c>
      <c r="AI92" s="2">
        <f t="shared" si="13"/>
        <v>3923</v>
      </c>
      <c r="AJ92" s="2">
        <f t="shared" si="13"/>
        <v>4046</v>
      </c>
      <c r="AK92" s="2">
        <f t="shared" si="13"/>
        <v>4150</v>
      </c>
      <c r="AL92" s="2">
        <f t="shared" si="13"/>
        <v>4280</v>
      </c>
      <c r="AM92" s="2">
        <f t="shared" si="13"/>
        <v>4410</v>
      </c>
      <c r="AN92" s="2">
        <f t="shared" si="13"/>
        <v>4559</v>
      </c>
      <c r="AO92" s="2">
        <f t="shared" si="13"/>
        <v>4701</v>
      </c>
      <c r="AP92" s="2">
        <f t="shared" si="13"/>
        <v>4831</v>
      </c>
      <c r="AQ92" s="2">
        <f t="shared" si="13"/>
        <v>4973</v>
      </c>
      <c r="AR92" s="2">
        <f t="shared" si="13"/>
        <v>5109</v>
      </c>
      <c r="AS92" s="2">
        <f t="shared" si="13"/>
        <v>5251</v>
      </c>
      <c r="AT92" s="2">
        <f t="shared" si="13"/>
        <v>5387</v>
      </c>
      <c r="AU92" s="2">
        <f t="shared" si="13"/>
        <v>5495</v>
      </c>
      <c r="AV92" s="2">
        <f t="shared" si="13"/>
        <v>5598</v>
      </c>
      <c r="AW92" s="2">
        <f t="shared" si="13"/>
        <v>5685</v>
      </c>
      <c r="AX92" s="2">
        <f t="shared" si="13"/>
        <v>5793</v>
      </c>
      <c r="AY92" s="2">
        <f t="shared" si="13"/>
        <v>5794</v>
      </c>
      <c r="AZ92" s="2">
        <f t="shared" si="13"/>
        <v>5794</v>
      </c>
    </row>
    <row r="93" spans="2:9" ht="12.75">
      <c r="B93" s="38"/>
      <c r="E93" s="1" t="s">
        <v>421</v>
      </c>
      <c r="F93" s="15">
        <f>SUM('BCWP by JOB'!F5)</f>
        <v>102</v>
      </c>
      <c r="G93" s="2">
        <f>+F93+'BCWP by JOB'!G5</f>
        <v>199</v>
      </c>
      <c r="H93" s="2">
        <f>+G93+'BCWP by JOB'!H5</f>
        <v>294</v>
      </c>
      <c r="I93" s="15">
        <f>SUM('BCWP by JOB'!D5)</f>
        <v>396.97890671</v>
      </c>
    </row>
    <row r="94" spans="2:9" ht="12.75">
      <c r="B94" s="38"/>
      <c r="E94" s="1" t="s">
        <v>422</v>
      </c>
      <c r="F94" s="271">
        <f>+'ACWP by JOB'!F5</f>
        <v>111.7184</v>
      </c>
      <c r="G94" s="272">
        <f>+F94+'ACWP by JOB'!G5</f>
        <v>218.64453</v>
      </c>
      <c r="H94" s="272">
        <f>+G94+'ACWP by JOB'!H5</f>
        <v>309.59758886854763</v>
      </c>
      <c r="I94" s="272">
        <f>+H94+'ACWP by JOB'!I5</f>
        <v>416.8915888685476</v>
      </c>
    </row>
    <row r="95" spans="2:52" ht="12.75">
      <c r="B95" s="38"/>
      <c r="F95" s="24" t="s">
        <v>334</v>
      </c>
      <c r="G95" s="24" t="s">
        <v>335</v>
      </c>
      <c r="H95" s="24" t="s">
        <v>336</v>
      </c>
      <c r="I95" s="24" t="s">
        <v>337</v>
      </c>
      <c r="J95" s="24" t="s">
        <v>338</v>
      </c>
      <c r="K95" s="24" t="s">
        <v>339</v>
      </c>
      <c r="L95" s="24" t="s">
        <v>340</v>
      </c>
      <c r="M95" s="24" t="s">
        <v>341</v>
      </c>
      <c r="N95" s="24" t="s">
        <v>342</v>
      </c>
      <c r="O95" s="24" t="s">
        <v>343</v>
      </c>
      <c r="P95" s="24" t="s">
        <v>344</v>
      </c>
      <c r="Q95" s="24" t="s">
        <v>345</v>
      </c>
      <c r="R95" s="24" t="s">
        <v>346</v>
      </c>
      <c r="S95" s="24" t="s">
        <v>347</v>
      </c>
      <c r="T95" s="24" t="s">
        <v>348</v>
      </c>
      <c r="U95" s="24" t="s">
        <v>349</v>
      </c>
      <c r="V95" s="24" t="s">
        <v>350</v>
      </c>
      <c r="W95" s="24" t="s">
        <v>351</v>
      </c>
      <c r="X95" s="24" t="s">
        <v>352</v>
      </c>
      <c r="Y95" s="24" t="s">
        <v>353</v>
      </c>
      <c r="Z95" s="24" t="s">
        <v>354</v>
      </c>
      <c r="AA95" s="24" t="s">
        <v>355</v>
      </c>
      <c r="AB95" s="24" t="s">
        <v>356</v>
      </c>
      <c r="AC95" s="24" t="s">
        <v>357</v>
      </c>
      <c r="AD95" s="24" t="s">
        <v>358</v>
      </c>
      <c r="AE95" s="24" t="s">
        <v>359</v>
      </c>
      <c r="AF95" s="24" t="s">
        <v>360</v>
      </c>
      <c r="AG95" s="24" t="s">
        <v>361</v>
      </c>
      <c r="AH95" s="24" t="s">
        <v>362</v>
      </c>
      <c r="AI95" s="24" t="s">
        <v>238</v>
      </c>
      <c r="AJ95" s="24" t="s">
        <v>239</v>
      </c>
      <c r="AK95" s="24" t="s">
        <v>240</v>
      </c>
      <c r="AL95" s="24" t="s">
        <v>241</v>
      </c>
      <c r="AM95" s="24" t="s">
        <v>242</v>
      </c>
      <c r="AN95" s="24" t="s">
        <v>243</v>
      </c>
      <c r="AO95" s="24" t="s">
        <v>244</v>
      </c>
      <c r="AP95" s="24" t="s">
        <v>245</v>
      </c>
      <c r="AQ95" s="24" t="s">
        <v>246</v>
      </c>
      <c r="AR95" s="24" t="s">
        <v>247</v>
      </c>
      <c r="AS95" s="24" t="s">
        <v>232</v>
      </c>
      <c r="AT95" s="24" t="s">
        <v>233</v>
      </c>
      <c r="AU95" s="24" t="s">
        <v>248</v>
      </c>
      <c r="AV95" s="24" t="s">
        <v>249</v>
      </c>
      <c r="AW95" s="24" t="s">
        <v>250</v>
      </c>
      <c r="AX95" s="24" t="s">
        <v>251</v>
      </c>
      <c r="AY95" s="24" t="s">
        <v>252</v>
      </c>
      <c r="AZ95" s="24" t="s">
        <v>253</v>
      </c>
    </row>
    <row r="96" spans="2:52" ht="12.75">
      <c r="B96" s="38"/>
      <c r="D96" s="14" t="s">
        <v>90</v>
      </c>
      <c r="E96" s="1" t="s">
        <v>420</v>
      </c>
      <c r="F96" s="17">
        <f>+F84</f>
        <v>196</v>
      </c>
      <c r="G96" s="2">
        <f>+F96+G84</f>
        <v>690</v>
      </c>
      <c r="H96" s="2">
        <f aca="true" t="shared" si="14" ref="H96:AZ96">+G96+H84</f>
        <v>1538</v>
      </c>
      <c r="I96" s="2">
        <f t="shared" si="14"/>
        <v>2300</v>
      </c>
      <c r="J96" s="2">
        <f t="shared" si="14"/>
        <v>2913</v>
      </c>
      <c r="K96" s="2">
        <f t="shared" si="14"/>
        <v>4120</v>
      </c>
      <c r="L96" s="2">
        <f t="shared" si="14"/>
        <v>4755</v>
      </c>
      <c r="M96" s="2">
        <f t="shared" si="14"/>
        <v>5241</v>
      </c>
      <c r="N96" s="2">
        <f t="shared" si="14"/>
        <v>5967</v>
      </c>
      <c r="O96" s="2">
        <f t="shared" si="14"/>
        <v>6575</v>
      </c>
      <c r="P96" s="2">
        <f t="shared" si="14"/>
        <v>7168</v>
      </c>
      <c r="Q96" s="2">
        <f t="shared" si="14"/>
        <v>7727</v>
      </c>
      <c r="R96" s="2">
        <f t="shared" si="14"/>
        <v>8241</v>
      </c>
      <c r="S96" s="2">
        <f t="shared" si="14"/>
        <v>8676</v>
      </c>
      <c r="T96" s="2">
        <f t="shared" si="14"/>
        <v>9236</v>
      </c>
      <c r="U96" s="2">
        <f t="shared" si="14"/>
        <v>9612</v>
      </c>
      <c r="V96" s="2">
        <f t="shared" si="14"/>
        <v>9974</v>
      </c>
      <c r="W96" s="2">
        <f t="shared" si="14"/>
        <v>10434</v>
      </c>
      <c r="X96" s="2">
        <f t="shared" si="14"/>
        <v>10927</v>
      </c>
      <c r="Y96" s="2">
        <f t="shared" si="14"/>
        <v>11622</v>
      </c>
      <c r="Z96" s="2">
        <f t="shared" si="14"/>
        <v>12485</v>
      </c>
      <c r="AA96" s="2">
        <f t="shared" si="14"/>
        <v>13188</v>
      </c>
      <c r="AB96" s="2">
        <f t="shared" si="14"/>
        <v>13923</v>
      </c>
      <c r="AC96" s="2">
        <f t="shared" si="14"/>
        <v>14576</v>
      </c>
      <c r="AD96" s="2">
        <f t="shared" si="14"/>
        <v>15234</v>
      </c>
      <c r="AE96" s="2">
        <f t="shared" si="14"/>
        <v>15903</v>
      </c>
      <c r="AF96" s="2">
        <f t="shared" si="14"/>
        <v>16492</v>
      </c>
      <c r="AG96" s="2">
        <f t="shared" si="14"/>
        <v>17037</v>
      </c>
      <c r="AH96" s="2">
        <f t="shared" si="14"/>
        <v>17647</v>
      </c>
      <c r="AI96" s="2">
        <f t="shared" si="14"/>
        <v>18477</v>
      </c>
      <c r="AJ96" s="2">
        <f t="shared" si="14"/>
        <v>19051</v>
      </c>
      <c r="AK96" s="2">
        <f t="shared" si="14"/>
        <v>19468</v>
      </c>
      <c r="AL96" s="2">
        <f t="shared" si="14"/>
        <v>20012</v>
      </c>
      <c r="AM96" s="2">
        <f t="shared" si="14"/>
        <v>20401</v>
      </c>
      <c r="AN96" s="2">
        <f t="shared" si="14"/>
        <v>20963</v>
      </c>
      <c r="AO96" s="2">
        <f t="shared" si="14"/>
        <v>21582</v>
      </c>
      <c r="AP96" s="2">
        <f t="shared" si="14"/>
        <v>22064</v>
      </c>
      <c r="AQ96" s="2">
        <f t="shared" si="14"/>
        <v>22492</v>
      </c>
      <c r="AR96" s="2">
        <f t="shared" si="14"/>
        <v>22850</v>
      </c>
      <c r="AS96" s="2">
        <f t="shared" si="14"/>
        <v>23225</v>
      </c>
      <c r="AT96" s="2">
        <f t="shared" si="14"/>
        <v>23549</v>
      </c>
      <c r="AU96" s="2">
        <f t="shared" si="14"/>
        <v>23959</v>
      </c>
      <c r="AV96" s="2">
        <f t="shared" si="14"/>
        <v>24334</v>
      </c>
      <c r="AW96" s="2">
        <f t="shared" si="14"/>
        <v>24652</v>
      </c>
      <c r="AX96" s="2">
        <f t="shared" si="14"/>
        <v>24683</v>
      </c>
      <c r="AY96" s="2">
        <f t="shared" si="14"/>
        <v>24683</v>
      </c>
      <c r="AZ96" s="2">
        <f t="shared" si="14"/>
        <v>24683</v>
      </c>
    </row>
    <row r="97" spans="2:9" ht="12.75">
      <c r="B97" s="38"/>
      <c r="E97" s="1" t="s">
        <v>421</v>
      </c>
      <c r="F97" s="15">
        <f>SUM('BCWP by JOB'!F32)</f>
        <v>122</v>
      </c>
      <c r="G97" s="2">
        <f>+F97+'BCWP by JOB'!G32</f>
        <v>778</v>
      </c>
      <c r="H97" s="2">
        <f>+G97+'BCWP by JOB'!H32</f>
        <v>1447</v>
      </c>
      <c r="I97" s="15">
        <f>SUM('BCWP by JOB'!D32)</f>
        <v>2191.76516807</v>
      </c>
    </row>
    <row r="98" spans="2:9" ht="12.75">
      <c r="B98" s="38"/>
      <c r="E98" s="1" t="s">
        <v>422</v>
      </c>
      <c r="F98" s="271">
        <f>+'ACWP by JOB'!F32</f>
        <v>305.79298</v>
      </c>
      <c r="G98" s="272">
        <f>+'ACWP by JOB'!G32+'ACWP by JOB'!F32</f>
        <v>823.5042599999999</v>
      </c>
      <c r="H98" s="272">
        <f>+G98+'ACWP by JOB'!H32</f>
        <v>1302.9008192343415</v>
      </c>
      <c r="I98" s="272">
        <f>+H98+'ACWP by JOB'!I32</f>
        <v>2004.9938192343416</v>
      </c>
    </row>
    <row r="99" spans="2:52" ht="12.75">
      <c r="B99" s="38"/>
      <c r="F99" s="24" t="s">
        <v>334</v>
      </c>
      <c r="G99" s="24" t="s">
        <v>335</v>
      </c>
      <c r="H99" s="24" t="s">
        <v>336</v>
      </c>
      <c r="I99" s="24" t="s">
        <v>337</v>
      </c>
      <c r="J99" s="24" t="s">
        <v>338</v>
      </c>
      <c r="K99" s="24" t="s">
        <v>339</v>
      </c>
      <c r="L99" s="24" t="s">
        <v>340</v>
      </c>
      <c r="M99" s="24" t="s">
        <v>341</v>
      </c>
      <c r="N99" s="24" t="s">
        <v>342</v>
      </c>
      <c r="O99" s="24" t="s">
        <v>343</v>
      </c>
      <c r="P99" s="24" t="s">
        <v>344</v>
      </c>
      <c r="Q99" s="24" t="s">
        <v>345</v>
      </c>
      <c r="R99" s="24" t="s">
        <v>346</v>
      </c>
      <c r="S99" s="24" t="s">
        <v>347</v>
      </c>
      <c r="T99" s="24" t="s">
        <v>348</v>
      </c>
      <c r="U99" s="24" t="s">
        <v>349</v>
      </c>
      <c r="V99" s="24" t="s">
        <v>350</v>
      </c>
      <c r="W99" s="24" t="s">
        <v>351</v>
      </c>
      <c r="X99" s="24" t="s">
        <v>352</v>
      </c>
      <c r="Y99" s="24" t="s">
        <v>353</v>
      </c>
      <c r="Z99" s="24" t="s">
        <v>354</v>
      </c>
      <c r="AA99" s="24" t="s">
        <v>355</v>
      </c>
      <c r="AB99" s="24" t="s">
        <v>356</v>
      </c>
      <c r="AC99" s="24" t="s">
        <v>357</v>
      </c>
      <c r="AD99" s="24" t="s">
        <v>358</v>
      </c>
      <c r="AE99" s="24" t="s">
        <v>359</v>
      </c>
      <c r="AF99" s="24" t="s">
        <v>360</v>
      </c>
      <c r="AG99" s="24" t="s">
        <v>361</v>
      </c>
      <c r="AH99" s="24" t="s">
        <v>362</v>
      </c>
      <c r="AI99" s="24" t="s">
        <v>238</v>
      </c>
      <c r="AJ99" s="24" t="s">
        <v>239</v>
      </c>
      <c r="AK99" s="24" t="s">
        <v>240</v>
      </c>
      <c r="AL99" s="24" t="s">
        <v>241</v>
      </c>
      <c r="AM99" s="24" t="s">
        <v>242</v>
      </c>
      <c r="AN99" s="24" t="s">
        <v>243</v>
      </c>
      <c r="AO99" s="24" t="s">
        <v>244</v>
      </c>
      <c r="AP99" s="24" t="s">
        <v>245</v>
      </c>
      <c r="AQ99" s="24" t="s">
        <v>246</v>
      </c>
      <c r="AR99" s="24" t="s">
        <v>247</v>
      </c>
      <c r="AS99" s="24" t="s">
        <v>232</v>
      </c>
      <c r="AT99" s="24" t="s">
        <v>233</v>
      </c>
      <c r="AU99" s="24" t="s">
        <v>248</v>
      </c>
      <c r="AV99" s="24" t="s">
        <v>249</v>
      </c>
      <c r="AW99" s="24" t="s">
        <v>250</v>
      </c>
      <c r="AX99" s="24" t="s">
        <v>251</v>
      </c>
      <c r="AY99" s="24" t="s">
        <v>252</v>
      </c>
      <c r="AZ99" s="24" t="s">
        <v>253</v>
      </c>
    </row>
    <row r="100" spans="2:52" ht="12.75">
      <c r="B100" s="38"/>
      <c r="D100" s="14" t="s">
        <v>91</v>
      </c>
      <c r="E100" s="1" t="s">
        <v>420</v>
      </c>
      <c r="F100" s="17">
        <f>+F85</f>
        <v>424</v>
      </c>
      <c r="G100" s="2">
        <f>+F100+G85</f>
        <v>1042</v>
      </c>
      <c r="H100" s="2">
        <f aca="true" t="shared" si="15" ref="H100:AZ100">+G100+H85</f>
        <v>1650</v>
      </c>
      <c r="I100" s="2">
        <f t="shared" si="15"/>
        <v>2147</v>
      </c>
      <c r="J100" s="2">
        <f t="shared" si="15"/>
        <v>2580</v>
      </c>
      <c r="K100" s="2">
        <f t="shared" si="15"/>
        <v>3188</v>
      </c>
      <c r="L100" s="2">
        <f t="shared" si="15"/>
        <v>3572</v>
      </c>
      <c r="M100" s="2">
        <f t="shared" si="15"/>
        <v>3872</v>
      </c>
      <c r="N100" s="2">
        <f t="shared" si="15"/>
        <v>4306</v>
      </c>
      <c r="O100" s="2">
        <f t="shared" si="15"/>
        <v>4678</v>
      </c>
      <c r="P100" s="2">
        <f t="shared" si="15"/>
        <v>5072</v>
      </c>
      <c r="Q100" s="2">
        <f t="shared" si="15"/>
        <v>5423</v>
      </c>
      <c r="R100" s="2">
        <f t="shared" si="15"/>
        <v>5770</v>
      </c>
      <c r="S100" s="2">
        <f t="shared" si="15"/>
        <v>6251</v>
      </c>
      <c r="T100" s="2">
        <f t="shared" si="15"/>
        <v>6894</v>
      </c>
      <c r="U100" s="2">
        <f t="shared" si="15"/>
        <v>7668</v>
      </c>
      <c r="V100" s="2">
        <f t="shared" si="15"/>
        <v>8397</v>
      </c>
      <c r="W100" s="2">
        <f t="shared" si="15"/>
        <v>9054</v>
      </c>
      <c r="X100" s="2">
        <f t="shared" si="15"/>
        <v>9496</v>
      </c>
      <c r="Y100" s="2">
        <f t="shared" si="15"/>
        <v>9827</v>
      </c>
      <c r="Z100" s="2">
        <f t="shared" si="15"/>
        <v>10194</v>
      </c>
      <c r="AA100" s="2">
        <f t="shared" si="15"/>
        <v>10536</v>
      </c>
      <c r="AB100" s="2">
        <f t="shared" si="15"/>
        <v>10913</v>
      </c>
      <c r="AC100" s="2">
        <f t="shared" si="15"/>
        <v>11312</v>
      </c>
      <c r="AD100" s="2">
        <f t="shared" si="15"/>
        <v>11628</v>
      </c>
      <c r="AE100" s="2">
        <f t="shared" si="15"/>
        <v>11944</v>
      </c>
      <c r="AF100" s="2">
        <f t="shared" si="15"/>
        <v>12181</v>
      </c>
      <c r="AG100" s="2">
        <f t="shared" si="15"/>
        <v>12382</v>
      </c>
      <c r="AH100" s="2">
        <f t="shared" si="15"/>
        <v>12591</v>
      </c>
      <c r="AI100" s="2">
        <f t="shared" si="15"/>
        <v>12929</v>
      </c>
      <c r="AJ100" s="2">
        <f t="shared" si="15"/>
        <v>13224</v>
      </c>
      <c r="AK100" s="2">
        <f t="shared" si="15"/>
        <v>13475</v>
      </c>
      <c r="AL100" s="2">
        <f t="shared" si="15"/>
        <v>13758</v>
      </c>
      <c r="AM100" s="2">
        <f t="shared" si="15"/>
        <v>13996</v>
      </c>
      <c r="AN100" s="2">
        <f t="shared" si="15"/>
        <v>14244</v>
      </c>
      <c r="AO100" s="2">
        <f t="shared" si="15"/>
        <v>14437</v>
      </c>
      <c r="AP100" s="2">
        <f t="shared" si="15"/>
        <v>14587</v>
      </c>
      <c r="AQ100" s="2">
        <f t="shared" si="15"/>
        <v>14752</v>
      </c>
      <c r="AR100" s="2">
        <f t="shared" si="15"/>
        <v>14910</v>
      </c>
      <c r="AS100" s="2">
        <f t="shared" si="15"/>
        <v>15075</v>
      </c>
      <c r="AT100" s="2">
        <f t="shared" si="15"/>
        <v>15233</v>
      </c>
      <c r="AU100" s="2">
        <f t="shared" si="15"/>
        <v>15390</v>
      </c>
      <c r="AV100" s="2">
        <f t="shared" si="15"/>
        <v>15540</v>
      </c>
      <c r="AW100" s="2">
        <f t="shared" si="15"/>
        <v>15667</v>
      </c>
      <c r="AX100" s="2">
        <f t="shared" si="15"/>
        <v>15820</v>
      </c>
      <c r="AY100" s="2">
        <f t="shared" si="15"/>
        <v>15824</v>
      </c>
      <c r="AZ100" s="2">
        <f t="shared" si="15"/>
        <v>15824</v>
      </c>
    </row>
    <row r="101" spans="2:9" ht="12.75">
      <c r="B101" s="38"/>
      <c r="E101" s="1" t="s">
        <v>421</v>
      </c>
      <c r="F101" s="15">
        <f>SUM('BCWP by JOB'!F60)</f>
        <v>300</v>
      </c>
      <c r="G101" s="2">
        <f>+F101+'BCWP by JOB'!G60</f>
        <v>817</v>
      </c>
      <c r="H101" s="2">
        <f>+G101+'BCWP by JOB'!H60</f>
        <v>1546</v>
      </c>
      <c r="I101" s="15">
        <f>SUM('BCWP by JOB'!D60)</f>
        <v>1938.64609184</v>
      </c>
    </row>
    <row r="102" spans="2:9" ht="12.75">
      <c r="B102" s="38"/>
      <c r="E102" s="1" t="s">
        <v>422</v>
      </c>
      <c r="F102" s="271">
        <f>+'ACWP by JOB'!F60</f>
        <v>317.20299</v>
      </c>
      <c r="G102" s="272">
        <f>+F102+'ACWP by JOB'!G60</f>
        <v>705.0554099999999</v>
      </c>
      <c r="H102" s="272">
        <f>+G102+'ACWP by JOB'!H60</f>
        <v>1005.8606533122736</v>
      </c>
      <c r="I102" s="272">
        <f>+H102+'ACWP by JOB'!I60</f>
        <v>1659.2606533122737</v>
      </c>
    </row>
    <row r="103" spans="2:52" ht="12.75">
      <c r="B103" s="38"/>
      <c r="F103" s="24" t="s">
        <v>334</v>
      </c>
      <c r="G103" s="24" t="s">
        <v>335</v>
      </c>
      <c r="H103" s="24" t="s">
        <v>336</v>
      </c>
      <c r="I103" s="24" t="s">
        <v>337</v>
      </c>
      <c r="J103" s="24" t="s">
        <v>338</v>
      </c>
      <c r="K103" s="24" t="s">
        <v>339</v>
      </c>
      <c r="L103" s="24" t="s">
        <v>340</v>
      </c>
      <c r="M103" s="24" t="s">
        <v>341</v>
      </c>
      <c r="N103" s="24" t="s">
        <v>342</v>
      </c>
      <c r="O103" s="24" t="s">
        <v>343</v>
      </c>
      <c r="P103" s="24" t="s">
        <v>344</v>
      </c>
      <c r="Q103" s="24" t="s">
        <v>345</v>
      </c>
      <c r="R103" s="24" t="s">
        <v>346</v>
      </c>
      <c r="S103" s="24" t="s">
        <v>347</v>
      </c>
      <c r="T103" s="24" t="s">
        <v>348</v>
      </c>
      <c r="U103" s="24" t="s">
        <v>349</v>
      </c>
      <c r="V103" s="24" t="s">
        <v>350</v>
      </c>
      <c r="W103" s="24" t="s">
        <v>351</v>
      </c>
      <c r="X103" s="24" t="s">
        <v>352</v>
      </c>
      <c r="Y103" s="24" t="s">
        <v>353</v>
      </c>
      <c r="Z103" s="24" t="s">
        <v>354</v>
      </c>
      <c r="AA103" s="24" t="s">
        <v>355</v>
      </c>
      <c r="AB103" s="24" t="s">
        <v>356</v>
      </c>
      <c r="AC103" s="24" t="s">
        <v>357</v>
      </c>
      <c r="AD103" s="24" t="s">
        <v>358</v>
      </c>
      <c r="AE103" s="24" t="s">
        <v>359</v>
      </c>
      <c r="AF103" s="24" t="s">
        <v>360</v>
      </c>
      <c r="AG103" s="24" t="s">
        <v>361</v>
      </c>
      <c r="AH103" s="24" t="s">
        <v>362</v>
      </c>
      <c r="AI103" s="24" t="s">
        <v>238</v>
      </c>
      <c r="AJ103" s="24" t="s">
        <v>239</v>
      </c>
      <c r="AK103" s="24" t="s">
        <v>240</v>
      </c>
      <c r="AL103" s="24" t="s">
        <v>241</v>
      </c>
      <c r="AM103" s="24" t="s">
        <v>242</v>
      </c>
      <c r="AN103" s="24" t="s">
        <v>243</v>
      </c>
      <c r="AO103" s="24" t="s">
        <v>244</v>
      </c>
      <c r="AP103" s="24" t="s">
        <v>245</v>
      </c>
      <c r="AQ103" s="24" t="s">
        <v>246</v>
      </c>
      <c r="AR103" s="24" t="s">
        <v>247</v>
      </c>
      <c r="AS103" s="24" t="s">
        <v>232</v>
      </c>
      <c r="AT103" s="24" t="s">
        <v>233</v>
      </c>
      <c r="AU103" s="24" t="s">
        <v>248</v>
      </c>
      <c r="AV103" s="24" t="s">
        <v>249</v>
      </c>
      <c r="AW103" s="24" t="s">
        <v>250</v>
      </c>
      <c r="AX103" s="24" t="s">
        <v>251</v>
      </c>
      <c r="AY103" s="24" t="s">
        <v>252</v>
      </c>
      <c r="AZ103" s="24" t="s">
        <v>253</v>
      </c>
    </row>
    <row r="104" spans="2:52" ht="12.75">
      <c r="B104" s="38"/>
      <c r="D104" s="14" t="s">
        <v>92</v>
      </c>
      <c r="E104" s="1" t="s">
        <v>420</v>
      </c>
      <c r="F104" s="17">
        <f>+F86</f>
        <v>-103</v>
      </c>
      <c r="G104" s="2">
        <f>+F104+G86</f>
        <v>-102</v>
      </c>
      <c r="H104" s="2">
        <f aca="true" t="shared" si="16" ref="H104:AZ104">+G104+H86</f>
        <v>-101</v>
      </c>
      <c r="I104" s="2">
        <f t="shared" si="16"/>
        <v>-99</v>
      </c>
      <c r="J104" s="2">
        <f t="shared" si="16"/>
        <v>-98</v>
      </c>
      <c r="K104" s="2">
        <f t="shared" si="16"/>
        <v>-95</v>
      </c>
      <c r="L104" s="2">
        <f t="shared" si="16"/>
        <v>-92</v>
      </c>
      <c r="M104" s="2">
        <f t="shared" si="16"/>
        <v>-90</v>
      </c>
      <c r="N104" s="2">
        <f t="shared" si="16"/>
        <v>-87</v>
      </c>
      <c r="O104" s="2">
        <f t="shared" si="16"/>
        <v>-84</v>
      </c>
      <c r="P104" s="2">
        <f t="shared" si="16"/>
        <v>-81</v>
      </c>
      <c r="Q104" s="2">
        <f t="shared" si="16"/>
        <v>-78</v>
      </c>
      <c r="R104" s="2">
        <f t="shared" si="16"/>
        <v>-75</v>
      </c>
      <c r="S104" s="2">
        <f t="shared" si="16"/>
        <v>-72</v>
      </c>
      <c r="T104" s="2">
        <f t="shared" si="16"/>
        <v>-69</v>
      </c>
      <c r="U104" s="2">
        <f t="shared" si="16"/>
        <v>-66</v>
      </c>
      <c r="V104" s="2">
        <f t="shared" si="16"/>
        <v>-63</v>
      </c>
      <c r="W104" s="2">
        <f t="shared" si="16"/>
        <v>-2</v>
      </c>
      <c r="X104" s="2">
        <f t="shared" si="16"/>
        <v>75</v>
      </c>
      <c r="Y104" s="2">
        <f t="shared" si="16"/>
        <v>169</v>
      </c>
      <c r="Z104" s="2">
        <f t="shared" si="16"/>
        <v>283</v>
      </c>
      <c r="AA104" s="2">
        <f t="shared" si="16"/>
        <v>365</v>
      </c>
      <c r="AB104" s="2">
        <f t="shared" si="16"/>
        <v>471</v>
      </c>
      <c r="AC104" s="2">
        <f t="shared" si="16"/>
        <v>575</v>
      </c>
      <c r="AD104" s="2">
        <f t="shared" si="16"/>
        <v>671</v>
      </c>
      <c r="AE104" s="2">
        <f t="shared" si="16"/>
        <v>791</v>
      </c>
      <c r="AF104" s="2">
        <f t="shared" si="16"/>
        <v>964</v>
      </c>
      <c r="AG104" s="2">
        <f t="shared" si="16"/>
        <v>1227</v>
      </c>
      <c r="AH104" s="2">
        <f t="shared" si="16"/>
        <v>1414</v>
      </c>
      <c r="AI104" s="2">
        <f t="shared" si="16"/>
        <v>1656</v>
      </c>
      <c r="AJ104" s="2">
        <f t="shared" si="16"/>
        <v>1917</v>
      </c>
      <c r="AK104" s="2">
        <f t="shared" si="16"/>
        <v>2143</v>
      </c>
      <c r="AL104" s="2">
        <f t="shared" si="16"/>
        <v>2393</v>
      </c>
      <c r="AM104" s="2">
        <f t="shared" si="16"/>
        <v>2665</v>
      </c>
      <c r="AN104" s="2">
        <f t="shared" si="16"/>
        <v>3013</v>
      </c>
      <c r="AO104" s="2">
        <f t="shared" si="16"/>
        <v>3266</v>
      </c>
      <c r="AP104" s="2">
        <f t="shared" si="16"/>
        <v>3463</v>
      </c>
      <c r="AQ104" s="2">
        <f t="shared" si="16"/>
        <v>3631</v>
      </c>
      <c r="AR104" s="2">
        <f t="shared" si="16"/>
        <v>3743</v>
      </c>
      <c r="AS104" s="2">
        <f t="shared" si="16"/>
        <v>3798</v>
      </c>
      <c r="AT104" s="2">
        <f t="shared" si="16"/>
        <v>3857</v>
      </c>
      <c r="AU104" s="2">
        <f t="shared" si="16"/>
        <v>4026</v>
      </c>
      <c r="AV104" s="2">
        <f t="shared" si="16"/>
        <v>4136</v>
      </c>
      <c r="AW104" s="2">
        <f t="shared" si="16"/>
        <v>4230</v>
      </c>
      <c r="AX104" s="2">
        <f t="shared" si="16"/>
        <v>4329</v>
      </c>
      <c r="AY104" s="2">
        <f t="shared" si="16"/>
        <v>4329</v>
      </c>
      <c r="AZ104" s="2">
        <f t="shared" si="16"/>
        <v>4329</v>
      </c>
    </row>
    <row r="105" spans="2:9" ht="12.75">
      <c r="B105" s="38"/>
      <c r="E105" s="1" t="s">
        <v>421</v>
      </c>
      <c r="F105" s="15">
        <f>+'BCWP by JOB'!F74</f>
        <v>-103</v>
      </c>
      <c r="G105" s="2">
        <f>+F105+'BCWP by JOB'!G74</f>
        <v>-102</v>
      </c>
      <c r="H105" s="2">
        <f>+G105+'BCWP by JOB'!H74</f>
        <v>-101</v>
      </c>
      <c r="I105" s="15">
        <f>+'BCWP by JOB'!D74</f>
        <v>-98.37675641999999</v>
      </c>
    </row>
    <row r="106" spans="2:9" ht="12.75">
      <c r="B106" s="38"/>
      <c r="E106" s="1" t="s">
        <v>422</v>
      </c>
      <c r="F106" s="271">
        <f>+'ACWP by JOB'!F74</f>
        <v>-104.25965</v>
      </c>
      <c r="G106" s="272">
        <f>+F106+'ACWP by JOB'!G74</f>
        <v>-104.25965</v>
      </c>
      <c r="H106" s="272">
        <f>+G106+'ACWP by JOB'!H74</f>
        <v>-104.3014988800466</v>
      </c>
      <c r="I106" s="272">
        <f>+H106+'ACWP by JOB'!I74</f>
        <v>-104.3014988800466</v>
      </c>
    </row>
    <row r="107" spans="2:6" ht="12.75">
      <c r="B107" s="38"/>
      <c r="F107" s="15"/>
    </row>
    <row r="108" spans="2:52" ht="12.75">
      <c r="B108" s="38"/>
      <c r="D108" s="14" t="s">
        <v>138</v>
      </c>
      <c r="E108" s="1" t="s">
        <v>420</v>
      </c>
      <c r="F108" s="15">
        <f>SUM(F104,F100,F96,F92)</f>
        <v>621</v>
      </c>
      <c r="G108" s="15">
        <f aca="true" t="shared" si="17" ref="G108:AZ108">SUM(G104,G100,G96,G92)</f>
        <v>1829</v>
      </c>
      <c r="H108" s="15">
        <f t="shared" si="17"/>
        <v>3381</v>
      </c>
      <c r="I108" s="15">
        <f t="shared" si="17"/>
        <v>4745</v>
      </c>
      <c r="J108" s="15">
        <f t="shared" si="17"/>
        <v>5878</v>
      </c>
      <c r="K108" s="15">
        <f t="shared" si="17"/>
        <v>7841</v>
      </c>
      <c r="L108" s="15">
        <f t="shared" si="17"/>
        <v>8990</v>
      </c>
      <c r="M108" s="15">
        <f t="shared" si="17"/>
        <v>9873</v>
      </c>
      <c r="N108" s="15">
        <f t="shared" si="17"/>
        <v>11175</v>
      </c>
      <c r="O108" s="15">
        <f t="shared" si="17"/>
        <v>12290</v>
      </c>
      <c r="P108" s="15">
        <f t="shared" si="17"/>
        <v>13412</v>
      </c>
      <c r="Q108" s="15">
        <f t="shared" si="17"/>
        <v>14464</v>
      </c>
      <c r="R108" s="15">
        <f t="shared" si="17"/>
        <v>15460</v>
      </c>
      <c r="S108" s="15">
        <f t="shared" si="17"/>
        <v>16511</v>
      </c>
      <c r="T108" s="15">
        <f t="shared" si="17"/>
        <v>17856</v>
      </c>
      <c r="U108" s="15">
        <f t="shared" si="17"/>
        <v>19141</v>
      </c>
      <c r="V108" s="15">
        <f t="shared" si="17"/>
        <v>20366</v>
      </c>
      <c r="W108" s="15">
        <f t="shared" si="17"/>
        <v>21703</v>
      </c>
      <c r="X108" s="15">
        <f t="shared" si="17"/>
        <v>22841</v>
      </c>
      <c r="Y108" s="271">
        <f t="shared" si="17"/>
        <v>24079</v>
      </c>
      <c r="Z108" s="271">
        <f t="shared" si="17"/>
        <v>25569</v>
      </c>
      <c r="AA108" s="271">
        <f t="shared" si="17"/>
        <v>26835</v>
      </c>
      <c r="AB108" s="271">
        <f t="shared" si="17"/>
        <v>28205</v>
      </c>
      <c r="AC108" s="271">
        <f t="shared" si="17"/>
        <v>29513</v>
      </c>
      <c r="AD108" s="271">
        <f t="shared" si="17"/>
        <v>30722</v>
      </c>
      <c r="AE108" s="271">
        <f t="shared" si="17"/>
        <v>31979</v>
      </c>
      <c r="AF108" s="271">
        <f t="shared" si="17"/>
        <v>33130</v>
      </c>
      <c r="AG108" s="271">
        <f t="shared" si="17"/>
        <v>34285</v>
      </c>
      <c r="AH108" s="271">
        <f t="shared" si="17"/>
        <v>35433</v>
      </c>
      <c r="AI108" s="271">
        <f t="shared" si="17"/>
        <v>36985</v>
      </c>
      <c r="AJ108" s="271">
        <f t="shared" si="17"/>
        <v>38238</v>
      </c>
      <c r="AK108" s="271">
        <f t="shared" si="17"/>
        <v>39236</v>
      </c>
      <c r="AL108" s="271">
        <f t="shared" si="17"/>
        <v>40443</v>
      </c>
      <c r="AM108" s="271">
        <f t="shared" si="17"/>
        <v>41472</v>
      </c>
      <c r="AN108" s="271">
        <f t="shared" si="17"/>
        <v>42779</v>
      </c>
      <c r="AO108" s="271">
        <f t="shared" si="17"/>
        <v>43986</v>
      </c>
      <c r="AP108" s="271">
        <f t="shared" si="17"/>
        <v>44945</v>
      </c>
      <c r="AQ108" s="271">
        <f t="shared" si="17"/>
        <v>45848</v>
      </c>
      <c r="AR108" s="271">
        <f t="shared" si="17"/>
        <v>46612</v>
      </c>
      <c r="AS108" s="271">
        <f t="shared" si="17"/>
        <v>47349</v>
      </c>
      <c r="AT108" s="271">
        <f t="shared" si="17"/>
        <v>48026</v>
      </c>
      <c r="AU108" s="271">
        <f t="shared" si="17"/>
        <v>48870</v>
      </c>
      <c r="AV108" s="271">
        <f t="shared" si="17"/>
        <v>49608</v>
      </c>
      <c r="AW108" s="271">
        <f t="shared" si="17"/>
        <v>50234</v>
      </c>
      <c r="AX108" s="271">
        <f t="shared" si="17"/>
        <v>50625</v>
      </c>
      <c r="AY108" s="271">
        <f t="shared" si="17"/>
        <v>50630</v>
      </c>
      <c r="AZ108" s="271">
        <f t="shared" si="17"/>
        <v>50630</v>
      </c>
    </row>
    <row r="109" spans="2:9" ht="12.75">
      <c r="B109" s="38"/>
      <c r="E109" s="1" t="s">
        <v>421</v>
      </c>
      <c r="F109" s="15">
        <f aca="true" t="shared" si="18" ref="F109:I110">SUM(F105,F101,F97,F93)</f>
        <v>421</v>
      </c>
      <c r="G109" s="15">
        <f t="shared" si="18"/>
        <v>1692</v>
      </c>
      <c r="H109" s="15">
        <f t="shared" si="18"/>
        <v>3186</v>
      </c>
      <c r="I109" s="15">
        <f t="shared" si="18"/>
        <v>4429.0134102</v>
      </c>
    </row>
    <row r="110" spans="2:9" ht="12.75">
      <c r="B110" s="38"/>
      <c r="E110" s="1" t="s">
        <v>422</v>
      </c>
      <c r="F110" s="15">
        <f t="shared" si="18"/>
        <v>630.45472</v>
      </c>
      <c r="G110" s="15">
        <f t="shared" si="18"/>
        <v>1642.94455</v>
      </c>
      <c r="H110" s="15">
        <f t="shared" si="18"/>
        <v>2514.057562535116</v>
      </c>
      <c r="I110" s="15">
        <f t="shared" si="18"/>
        <v>3976.844562535116</v>
      </c>
    </row>
    <row r="111" spans="2:8" ht="12.75">
      <c r="B111" s="38"/>
      <c r="F111" s="15"/>
      <c r="H111" s="2">
        <f>+H109-H110</f>
        <v>671.9424374648838</v>
      </c>
    </row>
    <row r="112" spans="2:6" ht="12.75">
      <c r="B112" s="38"/>
      <c r="F112" s="15"/>
    </row>
    <row r="113" spans="2:6" ht="12.75">
      <c r="B113" s="38"/>
      <c r="F113" s="15"/>
    </row>
    <row r="114" spans="2:6" ht="12.75">
      <c r="B114" s="38"/>
      <c r="F114" s="15"/>
    </row>
  </sheetData>
  <printOptions gridLines="1"/>
  <pageMargins left="1.46" right="0.17" top="0.17" bottom="0.17" header="0.17" footer="0.18"/>
  <pageSetup fitToHeight="1" fitToWidth="1" horizontalDpi="600" verticalDpi="600" orientation="portrait" paperSize="218" scale="76"/>
  <headerFooter alignWithMargins="0">
    <oddFooter>&amp;R&amp;F    &amp;A    &amp;D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3"/>
  <sheetViews>
    <sheetView zoomScale="85" zoomScaleNormal="85" workbookViewId="0" topLeftCell="A43">
      <selection activeCell="I13" sqref="I13"/>
    </sheetView>
  </sheetViews>
  <sheetFormatPr defaultColWidth="9.140625" defaultRowHeight="12.75"/>
  <cols>
    <col min="1" max="1" width="19.421875" style="0" bestFit="1" customWidth="1"/>
    <col min="2" max="2" width="48.8515625" style="0" bestFit="1" customWidth="1"/>
    <col min="3" max="3" width="13.140625" style="0" customWidth="1"/>
    <col min="4" max="4" width="15.28125" style="0" customWidth="1"/>
    <col min="5" max="5" width="2.8515625" style="0" customWidth="1"/>
    <col min="6" max="8" width="11.421875" style="0" customWidth="1"/>
    <col min="9" max="16384" width="8.8515625" style="0" customWidth="1"/>
  </cols>
  <sheetData>
    <row r="1" spans="1:70" s="25" customFormat="1" ht="32.25" customHeight="1">
      <c r="A1" s="24" t="s">
        <v>88</v>
      </c>
      <c r="B1" s="24" t="s">
        <v>322</v>
      </c>
      <c r="C1" s="24"/>
      <c r="D1" s="20" t="s">
        <v>139</v>
      </c>
      <c r="E1" s="20"/>
      <c r="F1" s="24" t="s">
        <v>334</v>
      </c>
      <c r="G1" s="24" t="s">
        <v>335</v>
      </c>
      <c r="H1" s="24" t="s">
        <v>336</v>
      </c>
      <c r="I1" s="24" t="s">
        <v>337</v>
      </c>
      <c r="J1" s="24" t="s">
        <v>338</v>
      </c>
      <c r="K1" s="24" t="s">
        <v>339</v>
      </c>
      <c r="L1" s="24" t="s">
        <v>340</v>
      </c>
      <c r="M1" s="24" t="s">
        <v>341</v>
      </c>
      <c r="N1" s="24" t="s">
        <v>342</v>
      </c>
      <c r="O1" s="24" t="s">
        <v>343</v>
      </c>
      <c r="P1" s="24" t="s">
        <v>344</v>
      </c>
      <c r="Q1" s="24" t="s">
        <v>345</v>
      </c>
      <c r="R1" s="24" t="s">
        <v>346</v>
      </c>
      <c r="S1" s="24" t="s">
        <v>347</v>
      </c>
      <c r="T1" s="24" t="s">
        <v>348</v>
      </c>
      <c r="U1" s="24" t="s">
        <v>349</v>
      </c>
      <c r="V1" s="24" t="s">
        <v>350</v>
      </c>
      <c r="W1" s="24" t="s">
        <v>351</v>
      </c>
      <c r="X1" s="24" t="s">
        <v>352</v>
      </c>
      <c r="Y1" s="24" t="s">
        <v>353</v>
      </c>
      <c r="Z1" s="24" t="s">
        <v>354</v>
      </c>
      <c r="AA1" s="24" t="s">
        <v>355</v>
      </c>
      <c r="AB1" s="24" t="s">
        <v>356</v>
      </c>
      <c r="AC1" s="24" t="s">
        <v>357</v>
      </c>
      <c r="AD1" s="24" t="s">
        <v>358</v>
      </c>
      <c r="AE1" s="24" t="s">
        <v>359</v>
      </c>
      <c r="AF1" s="24" t="s">
        <v>360</v>
      </c>
      <c r="AG1" s="24" t="s">
        <v>361</v>
      </c>
      <c r="AH1" s="24" t="s">
        <v>362</v>
      </c>
      <c r="AI1" s="24" t="s">
        <v>238</v>
      </c>
      <c r="AJ1" s="24" t="s">
        <v>239</v>
      </c>
      <c r="AK1" s="24" t="s">
        <v>240</v>
      </c>
      <c r="AL1" s="24" t="s">
        <v>241</v>
      </c>
      <c r="AM1" s="24" t="s">
        <v>242</v>
      </c>
      <c r="AN1" s="24" t="s">
        <v>243</v>
      </c>
      <c r="AO1" s="24" t="s">
        <v>244</v>
      </c>
      <c r="AP1" s="24" t="s">
        <v>245</v>
      </c>
      <c r="AQ1" s="24" t="s">
        <v>246</v>
      </c>
      <c r="AR1" s="24" t="s">
        <v>247</v>
      </c>
      <c r="AS1" s="24" t="s">
        <v>232</v>
      </c>
      <c r="AT1" s="24" t="s">
        <v>233</v>
      </c>
      <c r="AU1" s="24" t="s">
        <v>248</v>
      </c>
      <c r="AV1" s="24" t="s">
        <v>249</v>
      </c>
      <c r="AW1" s="24" t="s">
        <v>250</v>
      </c>
      <c r="AX1" s="24" t="s">
        <v>251</v>
      </c>
      <c r="AY1" s="24" t="s">
        <v>252</v>
      </c>
      <c r="AZ1" s="24" t="s">
        <v>253</v>
      </c>
      <c r="BA1" s="24" t="s">
        <v>254</v>
      </c>
      <c r="BB1" s="24" t="s">
        <v>255</v>
      </c>
      <c r="BC1" s="24" t="s">
        <v>256</v>
      </c>
      <c r="BD1" s="24" t="s">
        <v>257</v>
      </c>
      <c r="BE1" s="24" t="s">
        <v>234</v>
      </c>
      <c r="BF1" s="24" t="s">
        <v>235</v>
      </c>
      <c r="BG1" s="24" t="s">
        <v>258</v>
      </c>
      <c r="BH1" s="24" t="s">
        <v>259</v>
      </c>
      <c r="BI1" s="24" t="s">
        <v>260</v>
      </c>
      <c r="BJ1" s="24" t="s">
        <v>261</v>
      </c>
      <c r="BK1" s="24" t="s">
        <v>262</v>
      </c>
      <c r="BL1" s="24" t="s">
        <v>263</v>
      </c>
      <c r="BM1" s="24" t="s">
        <v>264</v>
      </c>
      <c r="BN1" s="24" t="s">
        <v>265</v>
      </c>
      <c r="BO1" s="24" t="s">
        <v>266</v>
      </c>
      <c r="BP1" s="24" t="s">
        <v>267</v>
      </c>
      <c r="BQ1" s="24" t="s">
        <v>236</v>
      </c>
      <c r="BR1" s="24" t="s">
        <v>237</v>
      </c>
    </row>
    <row r="2" spans="1:64" s="1" customFormat="1" ht="12.75">
      <c r="A2" s="4" t="s">
        <v>268</v>
      </c>
      <c r="B2" s="4" t="s">
        <v>225</v>
      </c>
      <c r="C2" s="18"/>
      <c r="D2" s="21">
        <f>SUM(F2:I2)</f>
        <v>212.27881020884152</v>
      </c>
      <c r="E2" s="6">
        <v>8101</v>
      </c>
      <c r="F2" s="256">
        <v>55.877660000000006</v>
      </c>
      <c r="G2" s="13">
        <v>58.94187</v>
      </c>
      <c r="H2" s="13">
        <v>48.73328020884151</v>
      </c>
      <c r="I2" s="257">
        <v>48.726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26" customFormat="1" ht="12.75">
      <c r="A3" s="4" t="s">
        <v>268</v>
      </c>
      <c r="B3" s="4" t="s">
        <v>226</v>
      </c>
      <c r="C3" s="18"/>
      <c r="D3" s="21">
        <f>SUM(F3:I3)</f>
        <v>91.512</v>
      </c>
      <c r="F3" s="26">
        <v>30.964</v>
      </c>
      <c r="G3" s="26">
        <v>22.991</v>
      </c>
      <c r="H3" s="26">
        <v>13.862</v>
      </c>
      <c r="I3" s="26">
        <v>23.695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8" customFormat="1" ht="12.75">
      <c r="A4" s="27" t="s">
        <v>268</v>
      </c>
      <c r="B4" s="27" t="s">
        <v>227</v>
      </c>
      <c r="C4" s="18"/>
      <c r="D4" s="30">
        <f>SUM(F4:I4)</f>
        <v>113.1007786597061</v>
      </c>
      <c r="E4" s="6">
        <v>8998</v>
      </c>
      <c r="F4" s="256">
        <v>24.87674</v>
      </c>
      <c r="G4" s="13">
        <v>24.99326</v>
      </c>
      <c r="H4" s="13">
        <v>28.357778659706103</v>
      </c>
      <c r="I4" s="27">
        <f>30.229+4.644</f>
        <v>34.873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70" s="1" customFormat="1" ht="12.75">
      <c r="A5" s="4"/>
      <c r="B5" s="4"/>
      <c r="C5" s="18"/>
      <c r="D5" s="31">
        <f aca="true" t="shared" si="0" ref="D5:BP5">SUM(D2:D4)</f>
        <v>416.8915888685476</v>
      </c>
      <c r="E5" s="31"/>
      <c r="F5" s="31">
        <f>SUM(F2:F4)</f>
        <v>111.7184</v>
      </c>
      <c r="G5" s="31">
        <f>SUM(G2:G4)</f>
        <v>106.92613</v>
      </c>
      <c r="H5" s="31">
        <f>SUM(H2:H4)</f>
        <v>90.95305886854761</v>
      </c>
      <c r="I5" s="31">
        <f t="shared" si="0"/>
        <v>107.29399999999998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31">
        <f t="shared" si="0"/>
        <v>0</v>
      </c>
      <c r="U5" s="31">
        <f t="shared" si="0"/>
        <v>0</v>
      </c>
      <c r="V5" s="31">
        <f t="shared" si="0"/>
        <v>0</v>
      </c>
      <c r="W5" s="31">
        <f t="shared" si="0"/>
        <v>0</v>
      </c>
      <c r="X5" s="31">
        <f t="shared" si="0"/>
        <v>0</v>
      </c>
      <c r="Y5" s="31">
        <f t="shared" si="0"/>
        <v>0</v>
      </c>
      <c r="Z5" s="31">
        <f t="shared" si="0"/>
        <v>0</v>
      </c>
      <c r="AA5" s="31">
        <f t="shared" si="0"/>
        <v>0</v>
      </c>
      <c r="AB5" s="31">
        <f t="shared" si="0"/>
        <v>0</v>
      </c>
      <c r="AC5" s="31">
        <f t="shared" si="0"/>
        <v>0</v>
      </c>
      <c r="AD5" s="31">
        <f t="shared" si="0"/>
        <v>0</v>
      </c>
      <c r="AE5" s="31">
        <f t="shared" si="0"/>
        <v>0</v>
      </c>
      <c r="AF5" s="31">
        <f t="shared" si="0"/>
        <v>0</v>
      </c>
      <c r="AG5" s="31">
        <f t="shared" si="0"/>
        <v>0</v>
      </c>
      <c r="AH5" s="31">
        <f t="shared" si="0"/>
        <v>0</v>
      </c>
      <c r="AI5" s="31">
        <f t="shared" si="0"/>
        <v>0</v>
      </c>
      <c r="AJ5" s="31">
        <f t="shared" si="0"/>
        <v>0</v>
      </c>
      <c r="AK5" s="31">
        <f t="shared" si="0"/>
        <v>0</v>
      </c>
      <c r="AL5" s="31">
        <f t="shared" si="0"/>
        <v>0</v>
      </c>
      <c r="AM5" s="31">
        <f t="shared" si="0"/>
        <v>0</v>
      </c>
      <c r="AN5" s="31">
        <f t="shared" si="0"/>
        <v>0</v>
      </c>
      <c r="AO5" s="31">
        <f t="shared" si="0"/>
        <v>0</v>
      </c>
      <c r="AP5" s="31">
        <f t="shared" si="0"/>
        <v>0</v>
      </c>
      <c r="AQ5" s="31">
        <f t="shared" si="0"/>
        <v>0</v>
      </c>
      <c r="AR5" s="31">
        <f t="shared" si="0"/>
        <v>0</v>
      </c>
      <c r="AS5" s="31">
        <f t="shared" si="0"/>
        <v>0</v>
      </c>
      <c r="AT5" s="31">
        <f t="shared" si="0"/>
        <v>0</v>
      </c>
      <c r="AU5" s="31">
        <f t="shared" si="0"/>
        <v>0</v>
      </c>
      <c r="AV5" s="31">
        <f t="shared" si="0"/>
        <v>0</v>
      </c>
      <c r="AW5" s="31">
        <f t="shared" si="0"/>
        <v>0</v>
      </c>
      <c r="AX5" s="31">
        <f t="shared" si="0"/>
        <v>0</v>
      </c>
      <c r="AY5" s="31">
        <f t="shared" si="0"/>
        <v>0</v>
      </c>
      <c r="AZ5" s="31">
        <f t="shared" si="0"/>
        <v>0</v>
      </c>
      <c r="BA5" s="31">
        <f t="shared" si="0"/>
        <v>0</v>
      </c>
      <c r="BB5" s="31">
        <f t="shared" si="0"/>
        <v>0</v>
      </c>
      <c r="BC5" s="31">
        <f t="shared" si="0"/>
        <v>0</v>
      </c>
      <c r="BD5" s="31">
        <f t="shared" si="0"/>
        <v>0</v>
      </c>
      <c r="BE5" s="31">
        <f t="shared" si="0"/>
        <v>0</v>
      </c>
      <c r="BF5" s="31">
        <f t="shared" si="0"/>
        <v>0</v>
      </c>
      <c r="BG5" s="31">
        <f t="shared" si="0"/>
        <v>0</v>
      </c>
      <c r="BH5" s="31">
        <f t="shared" si="0"/>
        <v>0</v>
      </c>
      <c r="BI5" s="31">
        <f t="shared" si="0"/>
        <v>0</v>
      </c>
      <c r="BJ5" s="31">
        <f t="shared" si="0"/>
        <v>0</v>
      </c>
      <c r="BK5" s="31">
        <f t="shared" si="0"/>
        <v>0</v>
      </c>
      <c r="BL5" s="31">
        <f t="shared" si="0"/>
        <v>0</v>
      </c>
      <c r="BM5" s="31">
        <f t="shared" si="0"/>
        <v>0</v>
      </c>
      <c r="BN5" s="31">
        <f t="shared" si="0"/>
        <v>0</v>
      </c>
      <c r="BO5" s="31">
        <f t="shared" si="0"/>
        <v>0</v>
      </c>
      <c r="BP5" s="31">
        <f t="shared" si="0"/>
        <v>0</v>
      </c>
      <c r="BQ5" s="31">
        <f>SUM(BQ2:BQ4)</f>
        <v>0</v>
      </c>
      <c r="BR5" s="31">
        <f>SUM(BR2:BR4)</f>
        <v>0</v>
      </c>
    </row>
    <row r="6" spans="1:64" s="1" customFormat="1" ht="12.75">
      <c r="A6" s="4"/>
      <c r="B6" s="4"/>
      <c r="C6" s="18"/>
      <c r="D6" s="21"/>
      <c r="E6" s="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1" customFormat="1" ht="12.75">
      <c r="A7" s="4" t="s">
        <v>269</v>
      </c>
      <c r="B7" s="4" t="s">
        <v>298</v>
      </c>
      <c r="C7" s="18"/>
      <c r="D7" s="21">
        <f aca="true" t="shared" si="1" ref="D7:D31">SUM(F7:I7)</f>
        <v>39.62390615972352</v>
      </c>
      <c r="E7" s="5">
        <v>1204</v>
      </c>
      <c r="F7" s="254">
        <f>16.02091</f>
        <v>16.02091</v>
      </c>
      <c r="G7" s="255">
        <f>1.32607</f>
        <v>1.32607</v>
      </c>
      <c r="H7" s="255">
        <f>5.47692615972351</f>
        <v>5.47692615972351</v>
      </c>
      <c r="I7" s="4">
        <f>16.8</f>
        <v>16.8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1" customFormat="1" ht="12.75">
      <c r="A8" s="4" t="s">
        <v>269</v>
      </c>
      <c r="B8" s="4" t="s">
        <v>189</v>
      </c>
      <c r="C8" s="18"/>
      <c r="D8" s="21">
        <f t="shared" si="1"/>
        <v>-254.43729999848765</v>
      </c>
      <c r="E8" s="6">
        <v>1250</v>
      </c>
      <c r="F8" s="256">
        <v>-161.88002</v>
      </c>
      <c r="G8" s="13">
        <v>0</v>
      </c>
      <c r="H8" s="13">
        <v>-92.55727999848764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1" customFormat="1" ht="12.75">
      <c r="A9" s="4" t="s">
        <v>269</v>
      </c>
      <c r="B9" s="4" t="s">
        <v>190</v>
      </c>
      <c r="C9" s="18"/>
      <c r="D9" s="21">
        <f t="shared" si="1"/>
        <v>88.15339687830605</v>
      </c>
      <c r="E9" s="6">
        <v>1408</v>
      </c>
      <c r="F9" s="256">
        <v>23.86787</v>
      </c>
      <c r="G9" s="13">
        <v>11.697629999999998</v>
      </c>
      <c r="H9" s="13">
        <v>31.198896878306066</v>
      </c>
      <c r="I9" s="257">
        <v>21.389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" customFormat="1" ht="12.75">
      <c r="A10" s="4" t="s">
        <v>269</v>
      </c>
      <c r="B10" s="4" t="s">
        <v>193</v>
      </c>
      <c r="C10" s="18"/>
      <c r="D10" s="21">
        <f t="shared" si="1"/>
        <v>191.32289</v>
      </c>
      <c r="E10" s="6">
        <v>1431</v>
      </c>
      <c r="F10" s="256">
        <v>144.28006</v>
      </c>
      <c r="G10" s="13">
        <v>0</v>
      </c>
      <c r="H10" s="13">
        <v>47.04283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" customFormat="1" ht="12.75">
      <c r="A11" s="4" t="s">
        <v>269</v>
      </c>
      <c r="B11" s="4" t="s">
        <v>191</v>
      </c>
      <c r="C11" s="18"/>
      <c r="D11" s="21">
        <f t="shared" si="1"/>
        <v>900.0866936321461</v>
      </c>
      <c r="E11" s="21"/>
      <c r="F11" s="257">
        <f>282.5735+1.134</f>
        <v>283.70750000000004</v>
      </c>
      <c r="G11" s="257">
        <f>218.61055+0.185</f>
        <v>218.79555</v>
      </c>
      <c r="H11" s="257">
        <f>153.561643632146+3.726</f>
        <v>157.287643632146</v>
      </c>
      <c r="I11" s="4">
        <f>2.339+234.604+3.353</f>
        <v>240.29600000000002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" customFormat="1" ht="12.75">
      <c r="A12" s="4" t="s">
        <v>269</v>
      </c>
      <c r="B12" s="4" t="s">
        <v>192</v>
      </c>
      <c r="C12" s="18"/>
      <c r="D12" s="21">
        <f t="shared" si="1"/>
        <v>213.9909940026223</v>
      </c>
      <c r="E12" s="6">
        <v>1459</v>
      </c>
      <c r="F12" s="256">
        <v>42.20441</v>
      </c>
      <c r="G12" s="13">
        <v>55.27848</v>
      </c>
      <c r="H12" s="13">
        <v>51.7021040026223</v>
      </c>
      <c r="I12" s="257">
        <v>64.806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" customFormat="1" ht="12.75">
      <c r="A13" s="4" t="s">
        <v>269</v>
      </c>
      <c r="B13" s="4" t="s">
        <v>195</v>
      </c>
      <c r="C13" s="18"/>
      <c r="D13" s="21">
        <f t="shared" si="1"/>
        <v>284.5956887352712</v>
      </c>
      <c r="E13" s="6">
        <v>1802</v>
      </c>
      <c r="F13" s="256">
        <f>65.15038+19.228</f>
        <v>84.37837999999999</v>
      </c>
      <c r="G13" s="13">
        <f>43.79761+7.611</f>
        <v>51.408609999999996</v>
      </c>
      <c r="H13" s="13">
        <f>51.3106987352712+15.617</f>
        <v>66.9276987352712</v>
      </c>
      <c r="I13" s="257">
        <f>70.184+11.697</f>
        <v>81.881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" customFormat="1" ht="12.75">
      <c r="A14" s="4" t="s">
        <v>269</v>
      </c>
      <c r="B14" s="4" t="s">
        <v>194</v>
      </c>
      <c r="C14" s="18"/>
      <c r="D14" s="21">
        <f t="shared" si="1"/>
        <v>128.12587303558024</v>
      </c>
      <c r="E14" s="6">
        <v>1803</v>
      </c>
      <c r="F14" s="256">
        <v>34.185010000000005</v>
      </c>
      <c r="G14" s="13">
        <v>34.00746</v>
      </c>
      <c r="H14" s="13">
        <v>22.49940303558024</v>
      </c>
      <c r="I14" s="257">
        <v>37.434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" customFormat="1" ht="12.75">
      <c r="A15" s="4" t="s">
        <v>269</v>
      </c>
      <c r="B15" s="4" t="s">
        <v>196</v>
      </c>
      <c r="C15" s="18"/>
      <c r="D15" s="21">
        <f t="shared" si="1"/>
        <v>566.7310967437824</v>
      </c>
      <c r="E15" s="21"/>
      <c r="F15" s="21">
        <v>106.90256</v>
      </c>
      <c r="G15" s="21">
        <v>120.89053</v>
      </c>
      <c r="H15" s="21">
        <v>140.88900674378235</v>
      </c>
      <c r="I15" s="257">
        <v>198.049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" customFormat="1" ht="12.75">
      <c r="A16" s="4" t="s">
        <v>269</v>
      </c>
      <c r="B16" s="4" t="s">
        <v>197</v>
      </c>
      <c r="C16" s="18"/>
      <c r="D16" s="21">
        <f t="shared" si="1"/>
        <v>0</v>
      </c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1" customFormat="1" ht="12.75">
      <c r="A17" s="4" t="s">
        <v>269</v>
      </c>
      <c r="B17" s="4" t="s">
        <v>198</v>
      </c>
      <c r="C17" s="18"/>
      <c r="D17" s="21">
        <f t="shared" si="1"/>
        <v>0</v>
      </c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" customFormat="1" ht="12.75">
      <c r="A18" s="4" t="s">
        <v>269</v>
      </c>
      <c r="B18" s="4" t="s">
        <v>199</v>
      </c>
      <c r="C18" s="18"/>
      <c r="D18" s="21">
        <f t="shared" si="1"/>
        <v>0</v>
      </c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1" customFormat="1" ht="12.75">
      <c r="A19" s="4" t="s">
        <v>269</v>
      </c>
      <c r="B19" s="4" t="s">
        <v>200</v>
      </c>
      <c r="C19" s="18"/>
      <c r="D19" s="21">
        <f t="shared" si="1"/>
        <v>111.71262038441245</v>
      </c>
      <c r="E19" s="6">
        <v>3101</v>
      </c>
      <c r="F19" s="256">
        <v>27.06652</v>
      </c>
      <c r="G19" s="13">
        <v>15.88457</v>
      </c>
      <c r="H19" s="13">
        <v>38.18953038441244</v>
      </c>
      <c r="I19" s="257">
        <v>30.572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1" customFormat="1" ht="12.75">
      <c r="A20" s="4" t="s">
        <v>269</v>
      </c>
      <c r="B20" s="4" t="s">
        <v>201</v>
      </c>
      <c r="C20" s="18"/>
      <c r="D20" s="21">
        <f t="shared" si="1"/>
        <v>0</v>
      </c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" customFormat="1" ht="12.75">
      <c r="A21" s="4" t="s">
        <v>269</v>
      </c>
      <c r="B21" s="4" t="s">
        <v>202</v>
      </c>
      <c r="C21" s="18"/>
      <c r="D21" s="21">
        <f t="shared" si="1"/>
        <v>0</v>
      </c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1" customFormat="1" ht="12.75">
      <c r="A22" s="4" t="s">
        <v>269</v>
      </c>
      <c r="B22" s="4" t="s">
        <v>203</v>
      </c>
      <c r="C22" s="18"/>
      <c r="D22" s="21">
        <f t="shared" si="1"/>
        <v>17.660213958750642</v>
      </c>
      <c r="E22" s="6">
        <v>3901</v>
      </c>
      <c r="F22" s="256">
        <v>2.62081</v>
      </c>
      <c r="G22" s="13">
        <v>4.20188</v>
      </c>
      <c r="H22" s="13">
        <v>6.720523958750641</v>
      </c>
      <c r="I22" s="257">
        <v>4.117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" customFormat="1" ht="12.75">
      <c r="A23" s="4" t="s">
        <v>269</v>
      </c>
      <c r="B23" s="4" t="s">
        <v>204</v>
      </c>
      <c r="C23" s="18"/>
      <c r="D23" s="21">
        <f t="shared" si="1"/>
        <v>0</v>
      </c>
      <c r="E23" s="2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" customFormat="1" ht="12.75">
      <c r="A24" s="4" t="s">
        <v>269</v>
      </c>
      <c r="B24" s="4" t="s">
        <v>205</v>
      </c>
      <c r="C24" s="18"/>
      <c r="D24" s="21">
        <f t="shared" si="1"/>
        <v>0</v>
      </c>
      <c r="E24" s="2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" customFormat="1" ht="12.75">
      <c r="A25" s="4" t="s">
        <v>269</v>
      </c>
      <c r="B25" s="4" t="s">
        <v>206</v>
      </c>
      <c r="C25" s="18"/>
      <c r="D25" s="21">
        <f t="shared" si="1"/>
        <v>0</v>
      </c>
      <c r="E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" customFormat="1" ht="12.75">
      <c r="A26" s="4" t="s">
        <v>269</v>
      </c>
      <c r="B26" s="4" t="s">
        <v>207</v>
      </c>
      <c r="C26" s="18"/>
      <c r="D26" s="21">
        <f t="shared" si="1"/>
        <v>0</v>
      </c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1" customFormat="1" ht="12.75">
      <c r="A27" s="4" t="s">
        <v>269</v>
      </c>
      <c r="B27" s="4" t="s">
        <v>208</v>
      </c>
      <c r="C27" s="18"/>
      <c r="D27" s="21">
        <f t="shared" si="1"/>
        <v>0</v>
      </c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1" customFormat="1" ht="12.75">
      <c r="A28" s="4" t="s">
        <v>269</v>
      </c>
      <c r="B28" s="4" t="s">
        <v>209</v>
      </c>
      <c r="C28" s="18"/>
      <c r="D28" s="21">
        <f t="shared" si="1"/>
        <v>-282.5722542977656</v>
      </c>
      <c r="E28" s="6">
        <v>7401</v>
      </c>
      <c r="F28" s="256">
        <v>-297.56103</v>
      </c>
      <c r="G28" s="13">
        <v>4.2205</v>
      </c>
      <c r="H28" s="13">
        <v>4.019275702234361</v>
      </c>
      <c r="I28" s="257">
        <v>6.749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" customFormat="1" ht="12.75">
      <c r="A29" s="4" t="s">
        <v>269</v>
      </c>
      <c r="B29" s="4" t="s">
        <v>210</v>
      </c>
      <c r="C29" s="18"/>
      <c r="D29" s="21">
        <f t="shared" si="1"/>
        <v>0</v>
      </c>
      <c r="E29" s="2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1" customFormat="1" ht="12.75">
      <c r="A30" s="4" t="s">
        <v>269</v>
      </c>
      <c r="B30" s="4" t="s">
        <v>211</v>
      </c>
      <c r="C30" s="18"/>
      <c r="D30" s="21">
        <f t="shared" si="1"/>
        <v>0</v>
      </c>
      <c r="E30" s="2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28" customFormat="1" ht="12.75">
      <c r="A31" s="27" t="s">
        <v>269</v>
      </c>
      <c r="B31" s="27" t="s">
        <v>212</v>
      </c>
      <c r="C31" s="18"/>
      <c r="D31" s="30">
        <f t="shared" si="1"/>
        <v>0</v>
      </c>
      <c r="E31" s="30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1" customFormat="1" ht="12.75">
      <c r="A32" s="4"/>
      <c r="B32" s="4"/>
      <c r="C32" s="18"/>
      <c r="D32" s="31">
        <f aca="true" t="shared" si="2" ref="D32:BD32">SUM(D7:D31)</f>
        <v>2004.993819234342</v>
      </c>
      <c r="E32" s="31"/>
      <c r="F32" s="31">
        <f>SUM(F7:F31)</f>
        <v>305.79298</v>
      </c>
      <c r="G32" s="31">
        <f>SUM(G7:G31)</f>
        <v>517.71128</v>
      </c>
      <c r="H32" s="31">
        <f>SUM(H7:H31)</f>
        <v>479.3965592343415</v>
      </c>
      <c r="I32" s="31">
        <f t="shared" si="2"/>
        <v>702.093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>
        <f t="shared" si="2"/>
        <v>0</v>
      </c>
      <c r="P32" s="31">
        <f t="shared" si="2"/>
        <v>0</v>
      </c>
      <c r="Q32" s="31">
        <f t="shared" si="2"/>
        <v>0</v>
      </c>
      <c r="R32" s="31">
        <f t="shared" si="2"/>
        <v>0</v>
      </c>
      <c r="S32" s="31">
        <f t="shared" si="2"/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31">
        <f t="shared" si="2"/>
        <v>0</v>
      </c>
      <c r="AI32" s="31">
        <f t="shared" si="2"/>
        <v>0</v>
      </c>
      <c r="AJ32" s="31">
        <f t="shared" si="2"/>
        <v>0</v>
      </c>
      <c r="AK32" s="31">
        <f t="shared" si="2"/>
        <v>0</v>
      </c>
      <c r="AL32" s="31">
        <f t="shared" si="2"/>
        <v>0</v>
      </c>
      <c r="AM32" s="31">
        <f t="shared" si="2"/>
        <v>0</v>
      </c>
      <c r="AN32" s="31">
        <f t="shared" si="2"/>
        <v>0</v>
      </c>
      <c r="AO32" s="31">
        <f t="shared" si="2"/>
        <v>0</v>
      </c>
      <c r="AP32" s="31">
        <f t="shared" si="2"/>
        <v>0</v>
      </c>
      <c r="AQ32" s="31">
        <f t="shared" si="2"/>
        <v>0</v>
      </c>
      <c r="AR32" s="31">
        <f t="shared" si="2"/>
        <v>0</v>
      </c>
      <c r="AS32" s="31">
        <f t="shared" si="2"/>
        <v>0</v>
      </c>
      <c r="AT32" s="31">
        <f t="shared" si="2"/>
        <v>0</v>
      </c>
      <c r="AU32" s="31">
        <f t="shared" si="2"/>
        <v>0</v>
      </c>
      <c r="AV32" s="31">
        <f t="shared" si="2"/>
        <v>0</v>
      </c>
      <c r="AW32" s="31">
        <f t="shared" si="2"/>
        <v>0</v>
      </c>
      <c r="AX32" s="31">
        <f t="shared" si="2"/>
        <v>0</v>
      </c>
      <c r="AY32" s="31">
        <f t="shared" si="2"/>
        <v>0</v>
      </c>
      <c r="AZ32" s="31">
        <f t="shared" si="2"/>
        <v>0</v>
      </c>
      <c r="BA32" s="31">
        <f t="shared" si="2"/>
        <v>0</v>
      </c>
      <c r="BB32" s="31">
        <f t="shared" si="2"/>
        <v>0</v>
      </c>
      <c r="BC32" s="31">
        <f t="shared" si="2"/>
        <v>0</v>
      </c>
      <c r="BD32" s="31">
        <f t="shared" si="2"/>
        <v>0</v>
      </c>
      <c r="BE32" s="4"/>
      <c r="BF32" s="4"/>
      <c r="BG32" s="4"/>
      <c r="BH32" s="4"/>
      <c r="BI32" s="4"/>
      <c r="BJ32" s="4"/>
      <c r="BK32" s="4"/>
      <c r="BL32" s="4"/>
    </row>
    <row r="33" spans="1:64" s="1" customFormat="1" ht="12.75">
      <c r="A33" s="4"/>
      <c r="B33" s="4"/>
      <c r="C33" s="18"/>
      <c r="D33" s="21"/>
      <c r="E33" s="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" customFormat="1" ht="12.75">
      <c r="A34" s="4" t="s">
        <v>270</v>
      </c>
      <c r="B34" s="4" t="s">
        <v>273</v>
      </c>
      <c r="C34" s="18"/>
      <c r="D34" s="21">
        <f aca="true" t="shared" si="3" ref="D34:D59">SUM(F34:I34)</f>
        <v>13.784003202384923</v>
      </c>
      <c r="E34" s="21"/>
      <c r="F34" s="253">
        <v>4.260039999999999</v>
      </c>
      <c r="G34" s="253">
        <v>1.54064</v>
      </c>
      <c r="H34" s="253">
        <v>1.405323202384924</v>
      </c>
      <c r="I34" s="253">
        <v>6.578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" customFormat="1" ht="12.75">
      <c r="A35" s="4" t="s">
        <v>270</v>
      </c>
      <c r="B35" s="4" t="s">
        <v>274</v>
      </c>
      <c r="C35" s="18"/>
      <c r="D35" s="21">
        <f t="shared" si="3"/>
        <v>0</v>
      </c>
      <c r="E35" s="2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" customFormat="1" ht="12.75">
      <c r="A36" s="4" t="s">
        <v>270</v>
      </c>
      <c r="B36" s="4" t="s">
        <v>275</v>
      </c>
      <c r="C36" s="18"/>
      <c r="D36" s="21">
        <f t="shared" si="3"/>
        <v>0</v>
      </c>
      <c r="E36" s="2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" customFormat="1" ht="12.75">
      <c r="A37" s="4" t="s">
        <v>270</v>
      </c>
      <c r="B37" s="4" t="s">
        <v>276</v>
      </c>
      <c r="C37" s="18"/>
      <c r="D37" s="21">
        <f t="shared" si="3"/>
        <v>0</v>
      </c>
      <c r="E37" s="2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1" customFormat="1" ht="12.75">
      <c r="A38" s="4" t="s">
        <v>270</v>
      </c>
      <c r="B38" s="4" t="s">
        <v>277</v>
      </c>
      <c r="C38" s="18"/>
      <c r="D38" s="21">
        <f t="shared" si="3"/>
        <v>0</v>
      </c>
      <c r="E38" s="2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s="1" customFormat="1" ht="12.75">
      <c r="A39" s="4" t="s">
        <v>270</v>
      </c>
      <c r="B39" s="4" t="s">
        <v>272</v>
      </c>
      <c r="C39" s="18"/>
      <c r="D39" s="21">
        <f t="shared" si="3"/>
        <v>185.35052648279773</v>
      </c>
      <c r="E39" s="21"/>
      <c r="F39" s="253">
        <v>-6.0157300000000085</v>
      </c>
      <c r="G39" s="253">
        <v>40.39497</v>
      </c>
      <c r="H39" s="253">
        <v>54.42828648279772</v>
      </c>
      <c r="I39" s="253">
        <v>96.543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s="1" customFormat="1" ht="12.75">
      <c r="A40" s="4" t="s">
        <v>270</v>
      </c>
      <c r="B40" s="4" t="s">
        <v>278</v>
      </c>
      <c r="C40" s="18"/>
      <c r="D40" s="21">
        <f t="shared" si="3"/>
        <v>-35.103379999999994</v>
      </c>
      <c r="E40" s="6">
        <v>1404</v>
      </c>
      <c r="F40" s="256">
        <v>-35.938379999999995</v>
      </c>
      <c r="G40" s="13">
        <v>0</v>
      </c>
      <c r="H40" s="13">
        <v>0</v>
      </c>
      <c r="I40" s="257">
        <v>0.835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s="32" customFormat="1" ht="12.75">
      <c r="A41" s="4" t="s">
        <v>270</v>
      </c>
      <c r="B41" s="4" t="s">
        <v>280</v>
      </c>
      <c r="C41" s="18"/>
      <c r="D41" s="21">
        <f t="shared" si="3"/>
        <v>-83.21363713691103</v>
      </c>
      <c r="E41" s="6">
        <v>1411</v>
      </c>
      <c r="F41" s="256">
        <v>7.49498</v>
      </c>
      <c r="G41" s="13">
        <v>2.0635</v>
      </c>
      <c r="H41" s="13">
        <v>-92.77211713691104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s="1" customFormat="1" ht="12.75">
      <c r="A42" s="4" t="s">
        <v>270</v>
      </c>
      <c r="B42" s="4" t="s">
        <v>279</v>
      </c>
      <c r="C42" s="18"/>
      <c r="D42" s="21">
        <f t="shared" si="3"/>
        <v>68.07588</v>
      </c>
      <c r="E42" s="6">
        <v>1416</v>
      </c>
      <c r="F42" s="256">
        <f>-0.29512+12.613</f>
        <v>12.317879999999999</v>
      </c>
      <c r="G42" s="13">
        <v>9.522</v>
      </c>
      <c r="H42" s="13">
        <v>18.891</v>
      </c>
      <c r="I42" s="257">
        <v>27.345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s="1" customFormat="1" ht="12.75">
      <c r="A43" s="4" t="s">
        <v>270</v>
      </c>
      <c r="B43" s="4" t="s">
        <v>281</v>
      </c>
      <c r="C43" s="18"/>
      <c r="D43" s="21">
        <f t="shared" si="3"/>
        <v>552.1157076727493</v>
      </c>
      <c r="E43" s="6">
        <v>1421</v>
      </c>
      <c r="F43" s="256">
        <f>13.57593+68.075</f>
        <v>81.65093</v>
      </c>
      <c r="G43" s="13">
        <f>12.58744+94.698</f>
        <v>107.28544</v>
      </c>
      <c r="H43" s="13">
        <f>43.3233376727493+66.033</f>
        <v>109.3563376727493</v>
      </c>
      <c r="I43" s="4">
        <f>114.5+139.323</f>
        <v>253.823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s="1" customFormat="1" ht="12.75">
      <c r="A44" s="4" t="s">
        <v>270</v>
      </c>
      <c r="B44" s="4" t="s">
        <v>282</v>
      </c>
      <c r="C44" s="18"/>
      <c r="D44" s="21">
        <f t="shared" si="3"/>
        <v>80.6372157124458</v>
      </c>
      <c r="E44" s="6">
        <v>1429</v>
      </c>
      <c r="F44" s="256">
        <v>29.97252</v>
      </c>
      <c r="G44" s="13">
        <v>17.18628</v>
      </c>
      <c r="H44" s="13">
        <v>20.567415712445797</v>
      </c>
      <c r="I44" s="257">
        <v>12.911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s="1" customFormat="1" ht="12.75">
      <c r="A45" s="4" t="s">
        <v>270</v>
      </c>
      <c r="B45" s="4" t="s">
        <v>288</v>
      </c>
      <c r="C45" s="18"/>
      <c r="D45" s="21">
        <f t="shared" si="3"/>
        <v>174.65210540588652</v>
      </c>
      <c r="E45" s="6">
        <v>1501</v>
      </c>
      <c r="F45" s="256">
        <v>54.10057</v>
      </c>
      <c r="G45" s="13">
        <v>47.37486</v>
      </c>
      <c r="H45" s="13">
        <v>37.12067540588652</v>
      </c>
      <c r="I45" s="257">
        <v>36.056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s="1" customFormat="1" ht="12.75">
      <c r="A46" s="4" t="s">
        <v>270</v>
      </c>
      <c r="B46" s="4" t="s">
        <v>289</v>
      </c>
      <c r="C46" s="18"/>
      <c r="D46" s="21">
        <f t="shared" si="3"/>
        <v>0</v>
      </c>
      <c r="E46" s="2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64" s="1" customFormat="1" ht="12.75">
      <c r="A47" s="4" t="s">
        <v>270</v>
      </c>
      <c r="B47" s="4" t="s">
        <v>290</v>
      </c>
      <c r="C47" s="18"/>
      <c r="D47" s="21">
        <f t="shared" si="3"/>
        <v>0</v>
      </c>
      <c r="E47" s="2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" customFormat="1" ht="12.75">
      <c r="A48" s="4" t="s">
        <v>270</v>
      </c>
      <c r="B48" s="4" t="s">
        <v>285</v>
      </c>
      <c r="C48" s="18"/>
      <c r="D48" s="21">
        <f t="shared" si="3"/>
        <v>4.302221401457453</v>
      </c>
      <c r="E48" s="6">
        <v>1701</v>
      </c>
      <c r="F48" s="256">
        <v>-0.23265</v>
      </c>
      <c r="G48" s="13">
        <v>3.0813</v>
      </c>
      <c r="H48" s="13">
        <v>1.4535714014574534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s="1" customFormat="1" ht="12.75">
      <c r="A49" s="4" t="s">
        <v>270</v>
      </c>
      <c r="B49" s="4" t="s">
        <v>283</v>
      </c>
      <c r="C49" s="18"/>
      <c r="D49" s="21">
        <f t="shared" si="3"/>
        <v>0</v>
      </c>
      <c r="E49" s="2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s="1" customFormat="1" ht="12.75">
      <c r="A50" s="4" t="s">
        <v>270</v>
      </c>
      <c r="B50" s="4" t="s">
        <v>286</v>
      </c>
      <c r="C50" s="18"/>
      <c r="D50" s="21">
        <f t="shared" si="3"/>
        <v>0</v>
      </c>
      <c r="E50" s="2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1:64" s="1" customFormat="1" ht="12.75">
      <c r="A51" s="4" t="s">
        <v>270</v>
      </c>
      <c r="B51" s="4" t="s">
        <v>284</v>
      </c>
      <c r="C51" s="18"/>
      <c r="D51" s="21">
        <f t="shared" si="3"/>
        <v>0</v>
      </c>
      <c r="E51" s="2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s="1" customFormat="1" ht="12.75">
      <c r="A52" s="4" t="s">
        <v>270</v>
      </c>
      <c r="B52" s="4" t="s">
        <v>287</v>
      </c>
      <c r="C52" s="18"/>
      <c r="D52" s="21">
        <f t="shared" si="3"/>
        <v>2.0069999999999997</v>
      </c>
      <c r="E52" s="21"/>
      <c r="F52" s="4"/>
      <c r="G52" s="4"/>
      <c r="H52" s="4">
        <v>-0.128</v>
      </c>
      <c r="I52" s="4">
        <v>2.135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64" s="1" customFormat="1" ht="12.75">
      <c r="A53" s="4" t="s">
        <v>270</v>
      </c>
      <c r="B53" s="4" t="s">
        <v>291</v>
      </c>
      <c r="C53" s="18"/>
      <c r="D53" s="21">
        <f t="shared" si="3"/>
        <v>96.64800000000001</v>
      </c>
      <c r="E53" s="21"/>
      <c r="F53" s="4">
        <v>36.462</v>
      </c>
      <c r="G53" s="4">
        <v>17.472</v>
      </c>
      <c r="H53" s="4">
        <v>11.047</v>
      </c>
      <c r="I53" s="4">
        <v>31.667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64" s="1" customFormat="1" ht="12.75">
      <c r="A54" s="4" t="s">
        <v>270</v>
      </c>
      <c r="B54" s="4" t="s">
        <v>292</v>
      </c>
      <c r="C54" s="18"/>
      <c r="D54" s="21">
        <f t="shared" si="3"/>
        <v>264.20509090857945</v>
      </c>
      <c r="E54" s="6">
        <v>8202</v>
      </c>
      <c r="F54" s="256">
        <v>59.59645</v>
      </c>
      <c r="G54" s="13">
        <v>58.63175</v>
      </c>
      <c r="H54" s="13">
        <v>58.60289090857951</v>
      </c>
      <c r="I54" s="257">
        <v>87.374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s="1" customFormat="1" ht="12.75">
      <c r="A55" s="4" t="s">
        <v>270</v>
      </c>
      <c r="B55" s="4" t="s">
        <v>293</v>
      </c>
      <c r="C55" s="18"/>
      <c r="D55" s="21">
        <f t="shared" si="3"/>
        <v>22.05199948702046</v>
      </c>
      <c r="E55" s="6">
        <v>8203</v>
      </c>
      <c r="F55" s="256">
        <v>5.07976</v>
      </c>
      <c r="G55" s="13">
        <v>5.2381899999999995</v>
      </c>
      <c r="H55" s="13">
        <v>1.641049487020459</v>
      </c>
      <c r="I55" s="257">
        <v>10.093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s="1" customFormat="1" ht="12.75">
      <c r="A56" s="4" t="s">
        <v>270</v>
      </c>
      <c r="B56" s="4" t="s">
        <v>294</v>
      </c>
      <c r="C56" s="18"/>
      <c r="D56" s="21">
        <f t="shared" si="3"/>
        <v>193.31329825010403</v>
      </c>
      <c r="E56" s="6">
        <v>8204</v>
      </c>
      <c r="F56" s="256">
        <v>42.5836</v>
      </c>
      <c r="G56" s="13">
        <v>53.15228</v>
      </c>
      <c r="H56" s="13">
        <v>47.10841825010405</v>
      </c>
      <c r="I56" s="257">
        <v>50.469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s="1" customFormat="1" ht="12.75">
      <c r="A57" s="4" t="s">
        <v>270</v>
      </c>
      <c r="B57" s="4" t="s">
        <v>295</v>
      </c>
      <c r="C57" s="18"/>
      <c r="D57" s="21">
        <f t="shared" si="3"/>
        <v>81.55410772351456</v>
      </c>
      <c r="E57" s="6">
        <v>8205</v>
      </c>
      <c r="F57" s="256">
        <v>17.50684</v>
      </c>
      <c r="G57" s="13">
        <v>20.08307</v>
      </c>
      <c r="H57" s="13">
        <v>22.492197723514558</v>
      </c>
      <c r="I57" s="257">
        <v>21.472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s="1" customFormat="1" ht="12.75">
      <c r="A58" s="4" t="s">
        <v>270</v>
      </c>
      <c r="B58" s="4" t="s">
        <v>296</v>
      </c>
      <c r="C58" s="18"/>
      <c r="D58" s="21">
        <f t="shared" si="3"/>
        <v>38.88051420224431</v>
      </c>
      <c r="E58" s="6">
        <v>8210</v>
      </c>
      <c r="F58" s="256">
        <v>8.364180000000001</v>
      </c>
      <c r="G58" s="13">
        <v>4.8261400000000005</v>
      </c>
      <c r="H58" s="13">
        <v>9.591194202244317</v>
      </c>
      <c r="I58" s="257">
        <v>16.099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s="28" customFormat="1" ht="12.75">
      <c r="A59" s="27" t="s">
        <v>270</v>
      </c>
      <c r="B59" s="27" t="s">
        <v>297</v>
      </c>
      <c r="C59" s="18"/>
      <c r="D59" s="30">
        <f t="shared" si="3"/>
        <v>0</v>
      </c>
      <c r="E59" s="30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s="1" customFormat="1" ht="12.75">
      <c r="A60" s="4"/>
      <c r="B60" s="4"/>
      <c r="C60" s="18"/>
      <c r="D60" s="31">
        <f aca="true" t="shared" si="4" ref="D60:BD60">SUM(D34:D59)</f>
        <v>1659.2606533122737</v>
      </c>
      <c r="E60" s="31"/>
      <c r="F60" s="31">
        <f t="shared" si="4"/>
        <v>317.20299</v>
      </c>
      <c r="G60" s="31">
        <f t="shared" si="4"/>
        <v>387.85242</v>
      </c>
      <c r="H60" s="31">
        <f t="shared" si="4"/>
        <v>300.8052433122736</v>
      </c>
      <c r="I60" s="31">
        <f t="shared" si="4"/>
        <v>653.4000000000001</v>
      </c>
      <c r="J60" s="31">
        <f t="shared" si="4"/>
        <v>0</v>
      </c>
      <c r="K60" s="31">
        <f t="shared" si="4"/>
        <v>0</v>
      </c>
      <c r="L60" s="31">
        <f t="shared" si="4"/>
        <v>0</v>
      </c>
      <c r="M60" s="31">
        <f t="shared" si="4"/>
        <v>0</v>
      </c>
      <c r="N60" s="31">
        <f t="shared" si="4"/>
        <v>0</v>
      </c>
      <c r="O60" s="31">
        <f t="shared" si="4"/>
        <v>0</v>
      </c>
      <c r="P60" s="31">
        <f t="shared" si="4"/>
        <v>0</v>
      </c>
      <c r="Q60" s="31">
        <f t="shared" si="4"/>
        <v>0</v>
      </c>
      <c r="R60" s="31">
        <f t="shared" si="4"/>
        <v>0</v>
      </c>
      <c r="S60" s="31">
        <f t="shared" si="4"/>
        <v>0</v>
      </c>
      <c r="T60" s="31">
        <f t="shared" si="4"/>
        <v>0</v>
      </c>
      <c r="U60" s="31">
        <f t="shared" si="4"/>
        <v>0</v>
      </c>
      <c r="V60" s="31">
        <f t="shared" si="4"/>
        <v>0</v>
      </c>
      <c r="W60" s="31">
        <f t="shared" si="4"/>
        <v>0</v>
      </c>
      <c r="X60" s="31">
        <f t="shared" si="4"/>
        <v>0</v>
      </c>
      <c r="Y60" s="31">
        <f t="shared" si="4"/>
        <v>0</v>
      </c>
      <c r="Z60" s="31">
        <f t="shared" si="4"/>
        <v>0</v>
      </c>
      <c r="AA60" s="31">
        <f t="shared" si="4"/>
        <v>0</v>
      </c>
      <c r="AB60" s="31">
        <f t="shared" si="4"/>
        <v>0</v>
      </c>
      <c r="AC60" s="31">
        <f t="shared" si="4"/>
        <v>0</v>
      </c>
      <c r="AD60" s="31">
        <f t="shared" si="4"/>
        <v>0</v>
      </c>
      <c r="AE60" s="31">
        <f t="shared" si="4"/>
        <v>0</v>
      </c>
      <c r="AF60" s="31">
        <f t="shared" si="4"/>
        <v>0</v>
      </c>
      <c r="AG60" s="31">
        <f t="shared" si="4"/>
        <v>0</v>
      </c>
      <c r="AH60" s="31">
        <f t="shared" si="4"/>
        <v>0</v>
      </c>
      <c r="AI60" s="31">
        <f t="shared" si="4"/>
        <v>0</v>
      </c>
      <c r="AJ60" s="31">
        <f t="shared" si="4"/>
        <v>0</v>
      </c>
      <c r="AK60" s="31">
        <f t="shared" si="4"/>
        <v>0</v>
      </c>
      <c r="AL60" s="31">
        <f t="shared" si="4"/>
        <v>0</v>
      </c>
      <c r="AM60" s="31">
        <f t="shared" si="4"/>
        <v>0</v>
      </c>
      <c r="AN60" s="31">
        <f t="shared" si="4"/>
        <v>0</v>
      </c>
      <c r="AO60" s="31">
        <f t="shared" si="4"/>
        <v>0</v>
      </c>
      <c r="AP60" s="31">
        <f t="shared" si="4"/>
        <v>0</v>
      </c>
      <c r="AQ60" s="31">
        <f t="shared" si="4"/>
        <v>0</v>
      </c>
      <c r="AR60" s="31">
        <f t="shared" si="4"/>
        <v>0</v>
      </c>
      <c r="AS60" s="31">
        <f t="shared" si="4"/>
        <v>0</v>
      </c>
      <c r="AT60" s="31">
        <f t="shared" si="4"/>
        <v>0</v>
      </c>
      <c r="AU60" s="31">
        <f t="shared" si="4"/>
        <v>0</v>
      </c>
      <c r="AV60" s="31">
        <f t="shared" si="4"/>
        <v>0</v>
      </c>
      <c r="AW60" s="31">
        <f t="shared" si="4"/>
        <v>0</v>
      </c>
      <c r="AX60" s="31">
        <f t="shared" si="4"/>
        <v>0</v>
      </c>
      <c r="AY60" s="31">
        <f t="shared" si="4"/>
        <v>0</v>
      </c>
      <c r="AZ60" s="31">
        <f t="shared" si="4"/>
        <v>0</v>
      </c>
      <c r="BA60" s="31">
        <f t="shared" si="4"/>
        <v>0</v>
      </c>
      <c r="BB60" s="31">
        <f t="shared" si="4"/>
        <v>0</v>
      </c>
      <c r="BC60" s="31">
        <f t="shared" si="4"/>
        <v>0</v>
      </c>
      <c r="BD60" s="31">
        <f t="shared" si="4"/>
        <v>0</v>
      </c>
      <c r="BE60" s="4"/>
      <c r="BF60" s="4"/>
      <c r="BG60" s="4"/>
      <c r="BH60" s="4"/>
      <c r="BI60" s="4"/>
      <c r="BJ60" s="4"/>
      <c r="BK60" s="4"/>
      <c r="BL60" s="4"/>
    </row>
    <row r="61" spans="1:64" s="1" customFormat="1" ht="12.75">
      <c r="A61" s="4"/>
      <c r="B61" s="4"/>
      <c r="C61" s="18"/>
      <c r="D61" s="21"/>
      <c r="E61" s="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s="1" customFormat="1" ht="12.75">
      <c r="A62" s="4" t="s">
        <v>271</v>
      </c>
      <c r="B62" s="4" t="s">
        <v>213</v>
      </c>
      <c r="C62" s="18"/>
      <c r="D62" s="21">
        <f aca="true" t="shared" si="5" ref="D62:D73">SUM(F62:I62)</f>
        <v>-104.10269</v>
      </c>
      <c r="E62" s="6">
        <v>4101</v>
      </c>
      <c r="F62" s="256">
        <v>-104.10269</v>
      </c>
      <c r="G62" s="13">
        <v>0</v>
      </c>
      <c r="H62" s="13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s="1" customFormat="1" ht="12.75">
      <c r="A63" s="4" t="s">
        <v>271</v>
      </c>
      <c r="B63" s="4" t="s">
        <v>214</v>
      </c>
      <c r="C63" s="18"/>
      <c r="D63" s="21">
        <f t="shared" si="5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s="1" customFormat="1" ht="12.75">
      <c r="A64" s="4" t="s">
        <v>271</v>
      </c>
      <c r="B64" s="4" t="s">
        <v>215</v>
      </c>
      <c r="C64" s="18"/>
      <c r="D64" s="21">
        <f t="shared" si="5"/>
        <v>0</v>
      </c>
      <c r="E64" s="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s="1" customFormat="1" ht="12.75">
      <c r="A65" s="4" t="s">
        <v>271</v>
      </c>
      <c r="B65" s="4" t="s">
        <v>216</v>
      </c>
      <c r="C65" s="18"/>
      <c r="D65" s="21">
        <f t="shared" si="5"/>
        <v>-0.19880888004660685</v>
      </c>
      <c r="E65" s="6">
        <v>4501</v>
      </c>
      <c r="F65" s="256">
        <v>-0.15696000000000002</v>
      </c>
      <c r="G65" s="13">
        <v>0</v>
      </c>
      <c r="H65" s="13">
        <v>-0.04184888004660683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s="1" customFormat="1" ht="12.75">
      <c r="A66" s="4" t="s">
        <v>271</v>
      </c>
      <c r="B66" s="4" t="s">
        <v>217</v>
      </c>
      <c r="C66" s="18"/>
      <c r="D66" s="21">
        <f t="shared" si="5"/>
        <v>0</v>
      </c>
      <c r="E66" s="2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s="1" customFormat="1" ht="12.75">
      <c r="A67" s="4" t="s">
        <v>271</v>
      </c>
      <c r="B67" s="4" t="s">
        <v>218</v>
      </c>
      <c r="C67" s="18"/>
      <c r="D67" s="21">
        <f t="shared" si="5"/>
        <v>0</v>
      </c>
      <c r="E67" s="2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s="1" customFormat="1" ht="12.75">
      <c r="A68" s="4" t="s">
        <v>271</v>
      </c>
      <c r="B68" s="4" t="s">
        <v>219</v>
      </c>
      <c r="C68" s="18"/>
      <c r="D68" s="21">
        <f t="shared" si="5"/>
        <v>0</v>
      </c>
      <c r="E68" s="2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s="1" customFormat="1" ht="12.75">
      <c r="A69" s="4" t="s">
        <v>271</v>
      </c>
      <c r="B69" s="4" t="s">
        <v>220</v>
      </c>
      <c r="C69" s="18"/>
      <c r="D69" s="21">
        <f t="shared" si="5"/>
        <v>0</v>
      </c>
      <c r="E69" s="2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1" customFormat="1" ht="12.75">
      <c r="A70" s="4" t="s">
        <v>271</v>
      </c>
      <c r="B70" s="4" t="s">
        <v>221</v>
      </c>
      <c r="C70" s="18"/>
      <c r="D70" s="21">
        <f t="shared" si="5"/>
        <v>0</v>
      </c>
      <c r="E70" s="2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s="1" customFormat="1" ht="12.75">
      <c r="A71" s="4" t="s">
        <v>271</v>
      </c>
      <c r="B71" s="4" t="s">
        <v>222</v>
      </c>
      <c r="C71" s="18"/>
      <c r="D71" s="21">
        <f t="shared" si="5"/>
        <v>0</v>
      </c>
      <c r="E71" s="2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s="1" customFormat="1" ht="12.75">
      <c r="A72" s="4" t="s">
        <v>271</v>
      </c>
      <c r="B72" s="4" t="s">
        <v>223</v>
      </c>
      <c r="C72" s="18"/>
      <c r="D72" s="21">
        <f t="shared" si="5"/>
        <v>0</v>
      </c>
      <c r="E72" s="2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s="28" customFormat="1" ht="12.75">
      <c r="A73" s="27" t="s">
        <v>271</v>
      </c>
      <c r="B73" s="27" t="s">
        <v>224</v>
      </c>
      <c r="C73" s="18"/>
      <c r="D73" s="30">
        <f t="shared" si="5"/>
        <v>0</v>
      </c>
      <c r="E73" s="30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56" s="1" customFormat="1" ht="12.75">
      <c r="A74" s="4"/>
      <c r="B74" s="4"/>
      <c r="C74" s="18"/>
      <c r="D74" s="31">
        <f aca="true" t="shared" si="6" ref="D74:BD74">SUM(D62:D73)</f>
        <v>-104.30149888004661</v>
      </c>
      <c r="E74" s="31"/>
      <c r="F74" s="31">
        <f t="shared" si="6"/>
        <v>-104.25965</v>
      </c>
      <c r="G74" s="31">
        <f t="shared" si="6"/>
        <v>0</v>
      </c>
      <c r="H74" s="31">
        <f t="shared" si="6"/>
        <v>-0.04184888004660683</v>
      </c>
      <c r="I74" s="31">
        <f t="shared" si="6"/>
        <v>0</v>
      </c>
      <c r="J74" s="31">
        <f t="shared" si="6"/>
        <v>0</v>
      </c>
      <c r="K74" s="31">
        <f t="shared" si="6"/>
        <v>0</v>
      </c>
      <c r="L74" s="31">
        <f t="shared" si="6"/>
        <v>0</v>
      </c>
      <c r="M74" s="31">
        <f t="shared" si="6"/>
        <v>0</v>
      </c>
      <c r="N74" s="31">
        <f t="shared" si="6"/>
        <v>0</v>
      </c>
      <c r="O74" s="31">
        <f t="shared" si="6"/>
        <v>0</v>
      </c>
      <c r="P74" s="31">
        <f t="shared" si="6"/>
        <v>0</v>
      </c>
      <c r="Q74" s="31">
        <f t="shared" si="6"/>
        <v>0</v>
      </c>
      <c r="R74" s="31">
        <f t="shared" si="6"/>
        <v>0</v>
      </c>
      <c r="S74" s="31">
        <f t="shared" si="6"/>
        <v>0</v>
      </c>
      <c r="T74" s="31">
        <f t="shared" si="6"/>
        <v>0</v>
      </c>
      <c r="U74" s="31">
        <f t="shared" si="6"/>
        <v>0</v>
      </c>
      <c r="V74" s="31">
        <f t="shared" si="6"/>
        <v>0</v>
      </c>
      <c r="W74" s="31">
        <f t="shared" si="6"/>
        <v>0</v>
      </c>
      <c r="X74" s="31">
        <f t="shared" si="6"/>
        <v>0</v>
      </c>
      <c r="Y74" s="31">
        <f t="shared" si="6"/>
        <v>0</v>
      </c>
      <c r="Z74" s="31">
        <f t="shared" si="6"/>
        <v>0</v>
      </c>
      <c r="AA74" s="31">
        <f t="shared" si="6"/>
        <v>0</v>
      </c>
      <c r="AB74" s="31">
        <f t="shared" si="6"/>
        <v>0</v>
      </c>
      <c r="AC74" s="31">
        <f t="shared" si="6"/>
        <v>0</v>
      </c>
      <c r="AD74" s="31">
        <f t="shared" si="6"/>
        <v>0</v>
      </c>
      <c r="AE74" s="31">
        <f t="shared" si="6"/>
        <v>0</v>
      </c>
      <c r="AF74" s="31">
        <f t="shared" si="6"/>
        <v>0</v>
      </c>
      <c r="AG74" s="31">
        <f t="shared" si="6"/>
        <v>0</v>
      </c>
      <c r="AH74" s="31">
        <f t="shared" si="6"/>
        <v>0</v>
      </c>
      <c r="AI74" s="31">
        <f t="shared" si="6"/>
        <v>0</v>
      </c>
      <c r="AJ74" s="31">
        <f t="shared" si="6"/>
        <v>0</v>
      </c>
      <c r="AK74" s="31">
        <f t="shared" si="6"/>
        <v>0</v>
      </c>
      <c r="AL74" s="31">
        <f t="shared" si="6"/>
        <v>0</v>
      </c>
      <c r="AM74" s="31">
        <f t="shared" si="6"/>
        <v>0</v>
      </c>
      <c r="AN74" s="31">
        <f t="shared" si="6"/>
        <v>0</v>
      </c>
      <c r="AO74" s="31">
        <f t="shared" si="6"/>
        <v>0</v>
      </c>
      <c r="AP74" s="31">
        <f t="shared" si="6"/>
        <v>0</v>
      </c>
      <c r="AQ74" s="31">
        <f t="shared" si="6"/>
        <v>0</v>
      </c>
      <c r="AR74" s="31">
        <f t="shared" si="6"/>
        <v>0</v>
      </c>
      <c r="AS74" s="31">
        <f t="shared" si="6"/>
        <v>0</v>
      </c>
      <c r="AT74" s="31">
        <f t="shared" si="6"/>
        <v>0</v>
      </c>
      <c r="AU74" s="31">
        <f t="shared" si="6"/>
        <v>0</v>
      </c>
      <c r="AV74" s="31">
        <f t="shared" si="6"/>
        <v>0</v>
      </c>
      <c r="AW74" s="31">
        <f t="shared" si="6"/>
        <v>0</v>
      </c>
      <c r="AX74" s="31">
        <f t="shared" si="6"/>
        <v>0</v>
      </c>
      <c r="AY74" s="31">
        <f t="shared" si="6"/>
        <v>0</v>
      </c>
      <c r="AZ74" s="31">
        <f t="shared" si="6"/>
        <v>0</v>
      </c>
      <c r="BA74" s="31">
        <f t="shared" si="6"/>
        <v>0</v>
      </c>
      <c r="BB74" s="31">
        <f t="shared" si="6"/>
        <v>0</v>
      </c>
      <c r="BC74" s="31">
        <f t="shared" si="6"/>
        <v>0</v>
      </c>
      <c r="BD74" s="31">
        <f t="shared" si="6"/>
        <v>0</v>
      </c>
    </row>
    <row r="75" spans="1:51" s="1" customFormat="1" ht="12.75">
      <c r="A75" s="4"/>
      <c r="B75" s="4"/>
      <c r="C75" s="18"/>
      <c r="D75" s="21"/>
      <c r="E75" s="2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s="1" customFormat="1" ht="12.75">
      <c r="A76" s="4"/>
      <c r="B76" s="4"/>
      <c r="C76" s="18"/>
      <c r="D76" s="33">
        <f>SUM(D74,D60,D32,D5)</f>
        <v>3976.844562535117</v>
      </c>
      <c r="E76" s="33"/>
      <c r="F76" s="33">
        <f>SUM(F74,F60,F32,F5)</f>
        <v>630.45472</v>
      </c>
      <c r="G76" s="33">
        <f>SUM(G74,G60,G32,G5)</f>
        <v>1012.48983</v>
      </c>
      <c r="H76" s="33">
        <f>SUM(H74,H60,H32,H5)</f>
        <v>871.1130125351161</v>
      </c>
      <c r="I76" s="33">
        <f>SUM(I74,I60,I32,I5)</f>
        <v>1462.7869999999998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zoomScale="75" zoomScaleNormal="75" workbookViewId="0" topLeftCell="A1">
      <selection activeCell="CA20" sqref="CA20"/>
    </sheetView>
  </sheetViews>
  <sheetFormatPr defaultColWidth="9.140625" defaultRowHeight="12.75"/>
  <cols>
    <col min="1" max="1" width="19.421875" style="0" bestFit="1" customWidth="1"/>
    <col min="2" max="2" width="48.8515625" style="0" bestFit="1" customWidth="1"/>
    <col min="3" max="3" width="13.140625" style="0" customWidth="1"/>
    <col min="4" max="4" width="15.28125" style="0" customWidth="1"/>
    <col min="5" max="5" width="4.00390625" style="0" hidden="1" customWidth="1"/>
    <col min="6" max="8" width="11.421875" style="0" hidden="1" customWidth="1"/>
    <col min="9" max="74" width="0" style="0" hidden="1" customWidth="1"/>
    <col min="75" max="16384" width="8.8515625" style="0" customWidth="1"/>
  </cols>
  <sheetData>
    <row r="1" spans="1:79" s="25" customFormat="1" ht="32.25" customHeight="1">
      <c r="A1" s="24" t="s">
        <v>88</v>
      </c>
      <c r="B1" s="24" t="s">
        <v>322</v>
      </c>
      <c r="C1" s="24"/>
      <c r="D1" s="20" t="s">
        <v>141</v>
      </c>
      <c r="E1" s="20"/>
      <c r="F1" s="24" t="s">
        <v>334</v>
      </c>
      <c r="G1" s="24" t="s">
        <v>335</v>
      </c>
      <c r="H1" s="24" t="s">
        <v>336</v>
      </c>
      <c r="I1" s="24" t="s">
        <v>337</v>
      </c>
      <c r="J1" s="24" t="s">
        <v>338</v>
      </c>
      <c r="K1" s="24" t="s">
        <v>339</v>
      </c>
      <c r="L1" s="24" t="s">
        <v>340</v>
      </c>
      <c r="M1" s="24" t="s">
        <v>341</v>
      </c>
      <c r="N1" s="24" t="s">
        <v>342</v>
      </c>
      <c r="O1" s="24" t="s">
        <v>343</v>
      </c>
      <c r="P1" s="24" t="s">
        <v>344</v>
      </c>
      <c r="Q1" s="24" t="s">
        <v>345</v>
      </c>
      <c r="R1" s="24" t="s">
        <v>346</v>
      </c>
      <c r="S1" s="24" t="s">
        <v>347</v>
      </c>
      <c r="T1" s="24" t="s">
        <v>348</v>
      </c>
      <c r="U1" s="24" t="s">
        <v>349</v>
      </c>
      <c r="V1" s="24" t="s">
        <v>350</v>
      </c>
      <c r="W1" s="24" t="s">
        <v>351</v>
      </c>
      <c r="X1" s="24" t="s">
        <v>352</v>
      </c>
      <c r="Y1" s="24" t="s">
        <v>353</v>
      </c>
      <c r="Z1" s="24" t="s">
        <v>354</v>
      </c>
      <c r="AA1" s="24" t="s">
        <v>355</v>
      </c>
      <c r="AB1" s="24" t="s">
        <v>356</v>
      </c>
      <c r="AC1" s="24" t="s">
        <v>357</v>
      </c>
      <c r="AD1" s="24" t="s">
        <v>358</v>
      </c>
      <c r="AE1" s="24" t="s">
        <v>359</v>
      </c>
      <c r="AF1" s="24" t="s">
        <v>360</v>
      </c>
      <c r="AG1" s="24" t="s">
        <v>361</v>
      </c>
      <c r="AH1" s="24" t="s">
        <v>362</v>
      </c>
      <c r="AI1" s="24" t="s">
        <v>238</v>
      </c>
      <c r="AJ1" s="24" t="s">
        <v>239</v>
      </c>
      <c r="AK1" s="24" t="s">
        <v>240</v>
      </c>
      <c r="AL1" s="24" t="s">
        <v>241</v>
      </c>
      <c r="AM1" s="24" t="s">
        <v>242</v>
      </c>
      <c r="AN1" s="24" t="s">
        <v>243</v>
      </c>
      <c r="AO1" s="24" t="s">
        <v>244</v>
      </c>
      <c r="AP1" s="24" t="s">
        <v>245</v>
      </c>
      <c r="AQ1" s="24" t="s">
        <v>246</v>
      </c>
      <c r="AR1" s="24" t="s">
        <v>247</v>
      </c>
      <c r="AS1" s="24" t="s">
        <v>232</v>
      </c>
      <c r="AT1" s="24" t="s">
        <v>233</v>
      </c>
      <c r="AU1" s="24" t="s">
        <v>248</v>
      </c>
      <c r="AV1" s="24" t="s">
        <v>249</v>
      </c>
      <c r="AW1" s="24" t="s">
        <v>250</v>
      </c>
      <c r="AX1" s="24" t="s">
        <v>251</v>
      </c>
      <c r="AY1" s="24" t="s">
        <v>252</v>
      </c>
      <c r="AZ1" s="24" t="s">
        <v>253</v>
      </c>
      <c r="BA1" s="24" t="s">
        <v>254</v>
      </c>
      <c r="BB1" s="24" t="s">
        <v>255</v>
      </c>
      <c r="BC1" s="24" t="s">
        <v>256</v>
      </c>
      <c r="BD1" s="24" t="s">
        <v>257</v>
      </c>
      <c r="BE1" s="24" t="s">
        <v>234</v>
      </c>
      <c r="BF1" s="24" t="s">
        <v>235</v>
      </c>
      <c r="BG1" s="24" t="s">
        <v>258</v>
      </c>
      <c r="BH1" s="24" t="s">
        <v>259</v>
      </c>
      <c r="BI1" s="24" t="s">
        <v>260</v>
      </c>
      <c r="BJ1" s="24" t="s">
        <v>261</v>
      </c>
      <c r="BK1" s="24" t="s">
        <v>262</v>
      </c>
      <c r="BL1" s="24" t="s">
        <v>263</v>
      </c>
      <c r="BM1" s="24" t="s">
        <v>264</v>
      </c>
      <c r="BN1" s="24" t="s">
        <v>265</v>
      </c>
      <c r="BO1" s="24" t="s">
        <v>266</v>
      </c>
      <c r="BP1" s="24" t="s">
        <v>267</v>
      </c>
      <c r="BQ1" s="24" t="s">
        <v>236</v>
      </c>
      <c r="BR1" s="24" t="s">
        <v>237</v>
      </c>
      <c r="BY1" s="5" t="s">
        <v>1</v>
      </c>
      <c r="BZ1" s="5" t="s">
        <v>11</v>
      </c>
      <c r="CA1" s="324" t="s">
        <v>2</v>
      </c>
    </row>
    <row r="2" spans="1:80" s="1" customFormat="1" ht="12.75">
      <c r="A2" s="4" t="s">
        <v>268</v>
      </c>
      <c r="B2" s="4" t="s">
        <v>225</v>
      </c>
      <c r="C2" s="18"/>
      <c r="D2" s="325">
        <v>229.11650780999997</v>
      </c>
      <c r="E2" s="6">
        <v>8101</v>
      </c>
      <c r="F2" s="258">
        <v>59</v>
      </c>
      <c r="G2" s="258">
        <v>56</v>
      </c>
      <c r="H2" s="258">
        <v>54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Y2" s="5" t="s">
        <v>3</v>
      </c>
      <c r="BZ2" s="5">
        <v>8101</v>
      </c>
      <c r="CA2" s="325">
        <v>229.11650780999997</v>
      </c>
      <c r="CB2" s="28" t="str">
        <f aca="true" t="shared" si="0" ref="CB2:CB65">IF(BZ2=C2,"","X")</f>
        <v>X</v>
      </c>
    </row>
    <row r="3" spans="1:80" s="26" customFormat="1" ht="12.75">
      <c r="A3" s="4" t="s">
        <v>268</v>
      </c>
      <c r="B3" s="4" t="s">
        <v>226</v>
      </c>
      <c r="C3" s="18"/>
      <c r="D3" s="327">
        <v>49.60482</v>
      </c>
      <c r="F3" s="258">
        <v>13</v>
      </c>
      <c r="G3" s="258">
        <v>12</v>
      </c>
      <c r="H3" s="258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Y3" s="326"/>
      <c r="BZ3" s="6">
        <v>8102</v>
      </c>
      <c r="CA3" s="327">
        <v>49.60482</v>
      </c>
      <c r="CB3" s="28" t="str">
        <f t="shared" si="0"/>
        <v>X</v>
      </c>
    </row>
    <row r="4" spans="1:80" s="28" customFormat="1" ht="12.75">
      <c r="A4" s="27" t="s">
        <v>268</v>
      </c>
      <c r="B4" s="27" t="s">
        <v>227</v>
      </c>
      <c r="D4" s="327">
        <v>118.25757890000001</v>
      </c>
      <c r="E4" s="6">
        <v>8998</v>
      </c>
      <c r="F4" s="258">
        <v>30</v>
      </c>
      <c r="G4" s="258">
        <v>29</v>
      </c>
      <c r="H4" s="258">
        <v>29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Y4" s="326"/>
      <c r="BZ4" s="6">
        <v>8998</v>
      </c>
      <c r="CA4" s="327">
        <v>118.25757890000001</v>
      </c>
      <c r="CB4" s="28" t="str">
        <f t="shared" si="0"/>
        <v>X</v>
      </c>
    </row>
    <row r="5" spans="1:80" s="1" customFormat="1" ht="12.75">
      <c r="A5" s="4"/>
      <c r="B5" s="4"/>
      <c r="C5" s="18"/>
      <c r="D5" s="31">
        <f aca="true" t="shared" si="1" ref="D5:BO5">SUM(D2:D4)</f>
        <v>396.97890671</v>
      </c>
      <c r="E5" s="31"/>
      <c r="F5" s="31">
        <f>SUM(F2:F4)</f>
        <v>102</v>
      </c>
      <c r="G5" s="31">
        <f>SUM(G2:G4)</f>
        <v>97</v>
      </c>
      <c r="H5" s="31">
        <f>SUM(H2:H4)</f>
        <v>95</v>
      </c>
      <c r="I5" s="31">
        <f t="shared" si="1"/>
        <v>0</v>
      </c>
      <c r="J5" s="31">
        <f t="shared" si="1"/>
        <v>0</v>
      </c>
      <c r="K5" s="31">
        <f t="shared" si="1"/>
        <v>0</v>
      </c>
      <c r="L5" s="31">
        <f t="shared" si="1"/>
        <v>0</v>
      </c>
      <c r="M5" s="31">
        <f t="shared" si="1"/>
        <v>0</v>
      </c>
      <c r="N5" s="31">
        <f t="shared" si="1"/>
        <v>0</v>
      </c>
      <c r="O5" s="31">
        <f t="shared" si="1"/>
        <v>0</v>
      </c>
      <c r="P5" s="31">
        <f t="shared" si="1"/>
        <v>0</v>
      </c>
      <c r="Q5" s="31">
        <f t="shared" si="1"/>
        <v>0</v>
      </c>
      <c r="R5" s="31">
        <f t="shared" si="1"/>
        <v>0</v>
      </c>
      <c r="S5" s="31">
        <f t="shared" si="1"/>
        <v>0</v>
      </c>
      <c r="T5" s="31">
        <f t="shared" si="1"/>
        <v>0</v>
      </c>
      <c r="U5" s="31">
        <f t="shared" si="1"/>
        <v>0</v>
      </c>
      <c r="V5" s="31">
        <f t="shared" si="1"/>
        <v>0</v>
      </c>
      <c r="W5" s="31">
        <f t="shared" si="1"/>
        <v>0</v>
      </c>
      <c r="X5" s="31">
        <f t="shared" si="1"/>
        <v>0</v>
      </c>
      <c r="Y5" s="31">
        <f t="shared" si="1"/>
        <v>0</v>
      </c>
      <c r="Z5" s="31">
        <f t="shared" si="1"/>
        <v>0</v>
      </c>
      <c r="AA5" s="31">
        <f t="shared" si="1"/>
        <v>0</v>
      </c>
      <c r="AB5" s="31">
        <f t="shared" si="1"/>
        <v>0</v>
      </c>
      <c r="AC5" s="31">
        <f t="shared" si="1"/>
        <v>0</v>
      </c>
      <c r="AD5" s="31">
        <f t="shared" si="1"/>
        <v>0</v>
      </c>
      <c r="AE5" s="31">
        <f t="shared" si="1"/>
        <v>0</v>
      </c>
      <c r="AF5" s="31">
        <f t="shared" si="1"/>
        <v>0</v>
      </c>
      <c r="AG5" s="31">
        <f t="shared" si="1"/>
        <v>0</v>
      </c>
      <c r="AH5" s="31">
        <f t="shared" si="1"/>
        <v>0</v>
      </c>
      <c r="AI5" s="31">
        <f t="shared" si="1"/>
        <v>0</v>
      </c>
      <c r="AJ5" s="31">
        <f t="shared" si="1"/>
        <v>0</v>
      </c>
      <c r="AK5" s="31">
        <f t="shared" si="1"/>
        <v>0</v>
      </c>
      <c r="AL5" s="31">
        <f t="shared" si="1"/>
        <v>0</v>
      </c>
      <c r="AM5" s="31">
        <f t="shared" si="1"/>
        <v>0</v>
      </c>
      <c r="AN5" s="31">
        <f t="shared" si="1"/>
        <v>0</v>
      </c>
      <c r="AO5" s="31">
        <f t="shared" si="1"/>
        <v>0</v>
      </c>
      <c r="AP5" s="31">
        <f t="shared" si="1"/>
        <v>0</v>
      </c>
      <c r="AQ5" s="31">
        <f t="shared" si="1"/>
        <v>0</v>
      </c>
      <c r="AR5" s="31">
        <f t="shared" si="1"/>
        <v>0</v>
      </c>
      <c r="AS5" s="31">
        <f t="shared" si="1"/>
        <v>0</v>
      </c>
      <c r="AT5" s="31">
        <f t="shared" si="1"/>
        <v>0</v>
      </c>
      <c r="AU5" s="31">
        <f t="shared" si="1"/>
        <v>0</v>
      </c>
      <c r="AV5" s="31">
        <f t="shared" si="1"/>
        <v>0</v>
      </c>
      <c r="AW5" s="31">
        <f t="shared" si="1"/>
        <v>0</v>
      </c>
      <c r="AX5" s="31">
        <f t="shared" si="1"/>
        <v>0</v>
      </c>
      <c r="AY5" s="31">
        <f t="shared" si="1"/>
        <v>0</v>
      </c>
      <c r="AZ5" s="31">
        <f t="shared" si="1"/>
        <v>0</v>
      </c>
      <c r="BA5" s="31">
        <f t="shared" si="1"/>
        <v>0</v>
      </c>
      <c r="BB5" s="31">
        <f t="shared" si="1"/>
        <v>0</v>
      </c>
      <c r="BC5" s="31">
        <f t="shared" si="1"/>
        <v>0</v>
      </c>
      <c r="BD5" s="31">
        <f t="shared" si="1"/>
        <v>0</v>
      </c>
      <c r="BE5" s="31">
        <f t="shared" si="1"/>
        <v>0</v>
      </c>
      <c r="BF5" s="31">
        <f t="shared" si="1"/>
        <v>0</v>
      </c>
      <c r="BG5" s="31">
        <f t="shared" si="1"/>
        <v>0</v>
      </c>
      <c r="BH5" s="31">
        <f t="shared" si="1"/>
        <v>0</v>
      </c>
      <c r="BI5" s="31">
        <f t="shared" si="1"/>
        <v>0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31">
        <f t="shared" si="1"/>
        <v>0</v>
      </c>
      <c r="BP5" s="31">
        <f>SUM(BP2:BP4)</f>
        <v>0</v>
      </c>
      <c r="BQ5" s="31">
        <f>SUM(BQ2:BQ4)</f>
        <v>0</v>
      </c>
      <c r="BR5" s="31">
        <f>SUM(BR2:BR4)</f>
        <v>0</v>
      </c>
      <c r="BY5" s="5" t="s">
        <v>4</v>
      </c>
      <c r="BZ5" s="323"/>
      <c r="CA5" s="325">
        <v>396.97890671</v>
      </c>
      <c r="CB5" s="28">
        <f t="shared" si="0"/>
      </c>
    </row>
    <row r="6" spans="1:80" s="1" customFormat="1" ht="12.75">
      <c r="A6" s="4"/>
      <c r="B6" s="4"/>
      <c r="C6" s="18"/>
      <c r="D6" s="21"/>
      <c r="E6" s="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Y6" s="5"/>
      <c r="BZ6" s="331"/>
      <c r="CA6" s="325"/>
      <c r="CB6" s="28">
        <f t="shared" si="0"/>
      </c>
    </row>
    <row r="7" spans="1:80" s="1" customFormat="1" ht="12.75">
      <c r="A7" s="4" t="s">
        <v>269</v>
      </c>
      <c r="B7" s="4" t="s">
        <v>298</v>
      </c>
      <c r="C7">
        <v>1204</v>
      </c>
      <c r="D7" s="325">
        <v>68.489386</v>
      </c>
      <c r="E7" s="5">
        <v>1204</v>
      </c>
      <c r="F7" s="258"/>
      <c r="G7" s="258">
        <v>55</v>
      </c>
      <c r="H7" s="258">
        <v>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Y7" s="5" t="s">
        <v>5</v>
      </c>
      <c r="BZ7" s="5">
        <v>1204</v>
      </c>
      <c r="CA7" s="325">
        <v>68.489386</v>
      </c>
      <c r="CB7" s="28">
        <f t="shared" si="0"/>
      </c>
    </row>
    <row r="8" spans="1:80" s="1" customFormat="1" ht="12.75">
      <c r="A8" s="4" t="s">
        <v>269</v>
      </c>
      <c r="B8" s="4" t="s">
        <v>189</v>
      </c>
      <c r="C8">
        <v>1250</v>
      </c>
      <c r="D8" s="327">
        <v>-251.69472</v>
      </c>
      <c r="E8" s="6">
        <v>1250</v>
      </c>
      <c r="F8" s="258">
        <v>-162</v>
      </c>
      <c r="G8" s="258"/>
      <c r="H8" s="258">
        <v>-90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Y8" s="326"/>
      <c r="BZ8" s="6">
        <v>1250</v>
      </c>
      <c r="CA8" s="327">
        <v>-251.69472</v>
      </c>
      <c r="CB8" s="28">
        <f t="shared" si="0"/>
      </c>
    </row>
    <row r="9" spans="1:80" s="1" customFormat="1" ht="12.75">
      <c r="A9" s="4" t="s">
        <v>269</v>
      </c>
      <c r="B9" s="4" t="s">
        <v>190</v>
      </c>
      <c r="C9">
        <v>1408</v>
      </c>
      <c r="D9" s="327">
        <v>156.42675557000004</v>
      </c>
      <c r="E9" s="6">
        <v>1408</v>
      </c>
      <c r="F9" s="258">
        <v>7</v>
      </c>
      <c r="G9" s="258">
        <v>33</v>
      </c>
      <c r="H9" s="258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Y9" s="326"/>
      <c r="BZ9" s="6">
        <v>1408</v>
      </c>
      <c r="CA9" s="327">
        <v>156.42675557000004</v>
      </c>
      <c r="CB9" s="28">
        <f t="shared" si="0"/>
      </c>
    </row>
    <row r="10" spans="1:80" s="1" customFormat="1" ht="12.75">
      <c r="A10" s="4" t="s">
        <v>269</v>
      </c>
      <c r="B10" s="4" t="s">
        <v>193</v>
      </c>
      <c r="C10">
        <v>1431</v>
      </c>
      <c r="D10" s="327">
        <v>256.89707999999996</v>
      </c>
      <c r="E10" s="6">
        <v>1431</v>
      </c>
      <c r="F10" s="258">
        <v>81</v>
      </c>
      <c r="G10" s="258">
        <v>77</v>
      </c>
      <c r="H10" s="25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Y10" s="326"/>
      <c r="BZ10" s="6">
        <v>1431</v>
      </c>
      <c r="CA10" s="327">
        <v>256.89707999999996</v>
      </c>
      <c r="CB10" s="28">
        <f t="shared" si="0"/>
      </c>
    </row>
    <row r="11" spans="1:80" s="1" customFormat="1" ht="12.75">
      <c r="A11" s="4" t="s">
        <v>269</v>
      </c>
      <c r="B11" s="4" t="s">
        <v>191</v>
      </c>
      <c r="C11">
        <v>1451</v>
      </c>
      <c r="D11" s="327">
        <v>946.2219701200002</v>
      </c>
      <c r="E11" s="21"/>
      <c r="F11" s="258">
        <v>236</v>
      </c>
      <c r="G11" s="258">
        <v>176</v>
      </c>
      <c r="H11" s="258">
        <v>299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Y11" s="326"/>
      <c r="BZ11" s="6">
        <v>1451</v>
      </c>
      <c r="CA11" s="327">
        <v>946.2219701200002</v>
      </c>
      <c r="CB11" s="28">
        <f t="shared" si="0"/>
      </c>
    </row>
    <row r="12" spans="1:80" s="1" customFormat="1" ht="12.75">
      <c r="A12" s="4" t="s">
        <v>269</v>
      </c>
      <c r="B12" s="4" t="s">
        <v>192</v>
      </c>
      <c r="C12">
        <v>1459</v>
      </c>
      <c r="D12" s="327">
        <v>44.163189</v>
      </c>
      <c r="E12" s="6">
        <v>1459</v>
      </c>
      <c r="F12" s="258"/>
      <c r="G12" s="258">
        <v>18</v>
      </c>
      <c r="H12" s="258">
        <v>14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Y12" s="326"/>
      <c r="BZ12" s="6">
        <v>1459</v>
      </c>
      <c r="CA12" s="327">
        <v>44.163189</v>
      </c>
      <c r="CB12" s="28">
        <f t="shared" si="0"/>
      </c>
    </row>
    <row r="13" spans="1:80" s="1" customFormat="1" ht="12.75">
      <c r="A13" s="4" t="s">
        <v>269</v>
      </c>
      <c r="B13" s="4" t="s">
        <v>195</v>
      </c>
      <c r="C13">
        <v>1802</v>
      </c>
      <c r="D13" s="327">
        <v>210.11074851999996</v>
      </c>
      <c r="E13" s="6">
        <v>1802</v>
      </c>
      <c r="F13" s="258">
        <v>64</v>
      </c>
      <c r="G13" s="258">
        <v>47</v>
      </c>
      <c r="H13" s="258">
        <v>47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Y13" s="326"/>
      <c r="BZ13" s="6">
        <v>1802</v>
      </c>
      <c r="CA13" s="327">
        <v>210.11074851999996</v>
      </c>
      <c r="CB13" s="28">
        <f t="shared" si="0"/>
      </c>
    </row>
    <row r="14" spans="1:80" s="1" customFormat="1" ht="12.75">
      <c r="A14" s="4" t="s">
        <v>269</v>
      </c>
      <c r="B14" s="4" t="s">
        <v>194</v>
      </c>
      <c r="C14">
        <v>1803</v>
      </c>
      <c r="D14" s="327">
        <v>64.08825599999999</v>
      </c>
      <c r="E14" s="6">
        <v>1803</v>
      </c>
      <c r="F14" s="258"/>
      <c r="G14" s="258">
        <v>12</v>
      </c>
      <c r="H14" s="258">
        <v>42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Y14" s="326"/>
      <c r="BZ14" s="6">
        <v>1803</v>
      </c>
      <c r="CA14" s="327">
        <v>64.08825599999999</v>
      </c>
      <c r="CB14" s="28">
        <f t="shared" si="0"/>
      </c>
    </row>
    <row r="15" spans="1:80" s="1" customFormat="1" ht="12.75">
      <c r="A15" s="4" t="s">
        <v>269</v>
      </c>
      <c r="B15" s="4" t="s">
        <v>196</v>
      </c>
      <c r="C15">
        <v>1810</v>
      </c>
      <c r="D15" s="327">
        <v>854.5431206200002</v>
      </c>
      <c r="E15" s="21"/>
      <c r="F15" s="258">
        <v>190</v>
      </c>
      <c r="G15" s="258">
        <v>193</v>
      </c>
      <c r="H15" s="258">
        <v>267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Y15" s="326"/>
      <c r="BZ15" s="6">
        <v>1810</v>
      </c>
      <c r="CA15" s="327">
        <v>854.5431206200002</v>
      </c>
      <c r="CB15" s="28">
        <f t="shared" si="0"/>
      </c>
    </row>
    <row r="16" spans="1:80" s="1" customFormat="1" ht="12.75">
      <c r="A16" s="4" t="s">
        <v>269</v>
      </c>
      <c r="B16" s="4" t="s">
        <v>197</v>
      </c>
      <c r="C16">
        <v>1815</v>
      </c>
      <c r="D16" s="327">
        <v>0</v>
      </c>
      <c r="E16" s="21"/>
      <c r="F16" s="258"/>
      <c r="G16" s="258"/>
      <c r="H16" s="25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Y16" s="326"/>
      <c r="BZ16" s="6">
        <v>1815</v>
      </c>
      <c r="CA16" s="327">
        <v>0</v>
      </c>
      <c r="CB16" s="28">
        <f t="shared" si="0"/>
      </c>
    </row>
    <row r="17" spans="1:80" s="1" customFormat="1" ht="12.75">
      <c r="A17" s="4" t="s">
        <v>269</v>
      </c>
      <c r="B17" s="4" t="s">
        <v>198</v>
      </c>
      <c r="C17">
        <v>2101</v>
      </c>
      <c r="D17" s="327">
        <v>0</v>
      </c>
      <c r="E17" s="21"/>
      <c r="F17" s="258"/>
      <c r="G17" s="258"/>
      <c r="H17" s="25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Y17" s="326"/>
      <c r="BZ17" s="6">
        <v>2101</v>
      </c>
      <c r="CA17" s="327">
        <v>0</v>
      </c>
      <c r="CB17" s="28">
        <f t="shared" si="0"/>
      </c>
    </row>
    <row r="18" spans="1:80" s="1" customFormat="1" ht="12.75">
      <c r="A18" s="4" t="s">
        <v>269</v>
      </c>
      <c r="B18" s="4" t="s">
        <v>199</v>
      </c>
      <c r="C18">
        <v>2201</v>
      </c>
      <c r="D18" s="327">
        <v>0</v>
      </c>
      <c r="E18" s="21"/>
      <c r="F18" s="258"/>
      <c r="G18" s="258"/>
      <c r="H18" s="25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Y18" s="326"/>
      <c r="BZ18" s="6">
        <v>2201</v>
      </c>
      <c r="CA18" s="327">
        <v>0</v>
      </c>
      <c r="CB18" s="28">
        <f t="shared" si="0"/>
      </c>
    </row>
    <row r="19" spans="1:80" s="1" customFormat="1" ht="12.75">
      <c r="A19" s="4" t="s">
        <v>269</v>
      </c>
      <c r="B19" s="4" t="s">
        <v>200</v>
      </c>
      <c r="C19">
        <v>3101</v>
      </c>
      <c r="D19" s="327">
        <v>138.94</v>
      </c>
      <c r="E19" s="6">
        <v>3101</v>
      </c>
      <c r="F19" s="258">
        <v>12</v>
      </c>
      <c r="G19" s="258">
        <v>42</v>
      </c>
      <c r="H19" s="258">
        <v>54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Y19" s="326"/>
      <c r="BZ19" s="6">
        <v>3101</v>
      </c>
      <c r="CA19" s="327">
        <v>138.94</v>
      </c>
      <c r="CB19" s="28">
        <f t="shared" si="0"/>
      </c>
    </row>
    <row r="20" spans="1:80" s="1" customFormat="1" ht="12.75">
      <c r="A20" s="4" t="s">
        <v>269</v>
      </c>
      <c r="B20" s="4" t="s">
        <v>201</v>
      </c>
      <c r="C20">
        <v>3601</v>
      </c>
      <c r="D20" s="327">
        <v>0</v>
      </c>
      <c r="E20" s="21"/>
      <c r="F20" s="258"/>
      <c r="G20" s="258"/>
      <c r="H20" s="25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Y20" s="326"/>
      <c r="BZ20" s="6">
        <v>3601</v>
      </c>
      <c r="CA20" s="327">
        <v>0</v>
      </c>
      <c r="CB20" s="28">
        <f t="shared" si="0"/>
      </c>
    </row>
    <row r="21" spans="1:80" s="1" customFormat="1" ht="12.75">
      <c r="A21" s="4" t="s">
        <v>269</v>
      </c>
      <c r="B21" s="4" t="s">
        <v>202</v>
      </c>
      <c r="C21">
        <v>3801</v>
      </c>
      <c r="D21" s="327">
        <v>0</v>
      </c>
      <c r="E21" s="21"/>
      <c r="F21" s="258"/>
      <c r="G21" s="258"/>
      <c r="H21" s="25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Y21" s="326"/>
      <c r="BZ21" s="6">
        <v>3801</v>
      </c>
      <c r="CA21" s="327">
        <v>0</v>
      </c>
      <c r="CB21" s="28">
        <f t="shared" si="0"/>
      </c>
    </row>
    <row r="22" spans="1:80" s="1" customFormat="1" ht="12.75">
      <c r="A22" s="4" t="s">
        <v>269</v>
      </c>
      <c r="B22" s="4" t="s">
        <v>203</v>
      </c>
      <c r="C22">
        <v>3901</v>
      </c>
      <c r="D22" s="327">
        <v>9.32610024</v>
      </c>
      <c r="E22" s="6">
        <v>3901</v>
      </c>
      <c r="F22" s="258">
        <v>2</v>
      </c>
      <c r="G22" s="258">
        <v>2</v>
      </c>
      <c r="H22" s="258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Y22" s="326"/>
      <c r="BZ22" s="6">
        <v>3901</v>
      </c>
      <c r="CA22" s="327">
        <v>9.32610024</v>
      </c>
      <c r="CB22" s="28">
        <f t="shared" si="0"/>
      </c>
    </row>
    <row r="23" spans="1:80" s="1" customFormat="1" ht="12.75">
      <c r="A23" s="4" t="s">
        <v>269</v>
      </c>
      <c r="B23" s="4" t="s">
        <v>204</v>
      </c>
      <c r="C23">
        <v>6101</v>
      </c>
      <c r="D23" s="327">
        <v>0</v>
      </c>
      <c r="E23" s="21"/>
      <c r="F23" s="258"/>
      <c r="G23" s="258"/>
      <c r="H23" s="25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Y23" s="326"/>
      <c r="BZ23" s="6">
        <v>6101</v>
      </c>
      <c r="CA23" s="327">
        <v>0</v>
      </c>
      <c r="CB23" s="28">
        <f t="shared" si="0"/>
      </c>
    </row>
    <row r="24" spans="1:80" s="1" customFormat="1" ht="12.75">
      <c r="A24" s="4" t="s">
        <v>269</v>
      </c>
      <c r="B24" s="4" t="s">
        <v>205</v>
      </c>
      <c r="C24">
        <v>6201</v>
      </c>
      <c r="D24" s="327">
        <v>0</v>
      </c>
      <c r="E24" s="21"/>
      <c r="F24" s="258"/>
      <c r="G24" s="258"/>
      <c r="H24" s="25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Y24" s="326"/>
      <c r="BZ24" s="6">
        <v>6201</v>
      </c>
      <c r="CA24" s="327">
        <v>0</v>
      </c>
      <c r="CB24" s="28">
        <f t="shared" si="0"/>
      </c>
    </row>
    <row r="25" spans="1:80" s="1" customFormat="1" ht="12.75">
      <c r="A25" s="4" t="s">
        <v>269</v>
      </c>
      <c r="B25" s="4" t="s">
        <v>206</v>
      </c>
      <c r="C25">
        <v>6301</v>
      </c>
      <c r="D25" s="327">
        <v>0</v>
      </c>
      <c r="E25" s="21"/>
      <c r="F25" s="258"/>
      <c r="G25" s="258"/>
      <c r="H25" s="25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Y25" s="326"/>
      <c r="BZ25" s="6">
        <v>6301</v>
      </c>
      <c r="CA25" s="327">
        <v>0</v>
      </c>
      <c r="CB25" s="28">
        <f t="shared" si="0"/>
      </c>
    </row>
    <row r="26" spans="1:80" s="1" customFormat="1" ht="12.75">
      <c r="A26" s="4" t="s">
        <v>269</v>
      </c>
      <c r="B26" s="4" t="s">
        <v>207</v>
      </c>
      <c r="C26">
        <v>6401</v>
      </c>
      <c r="D26" s="327">
        <v>0</v>
      </c>
      <c r="E26" s="21"/>
      <c r="F26" s="258"/>
      <c r="G26" s="258"/>
      <c r="H26" s="25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Y26" s="326"/>
      <c r="BZ26" s="6">
        <v>6401</v>
      </c>
      <c r="CA26" s="327">
        <v>0</v>
      </c>
      <c r="CB26" s="28">
        <f t="shared" si="0"/>
      </c>
    </row>
    <row r="27" spans="1:80" s="1" customFormat="1" ht="12.75">
      <c r="A27" s="4" t="s">
        <v>269</v>
      </c>
      <c r="B27" s="4" t="s">
        <v>208</v>
      </c>
      <c r="C27">
        <v>7301</v>
      </c>
      <c r="D27" s="327">
        <v>2.5532820000000003</v>
      </c>
      <c r="E27" s="21"/>
      <c r="F27" s="258"/>
      <c r="G27" s="258">
        <v>1</v>
      </c>
      <c r="H27" s="258">
        <v>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Y27" s="326"/>
      <c r="BZ27" s="6">
        <v>7301</v>
      </c>
      <c r="CA27" s="327">
        <v>2.5532820000000003</v>
      </c>
      <c r="CB27" s="28">
        <f t="shared" si="0"/>
      </c>
    </row>
    <row r="28" spans="1:80" s="1" customFormat="1" ht="12.75">
      <c r="A28" s="4" t="s">
        <v>269</v>
      </c>
      <c r="B28" s="4" t="s">
        <v>209</v>
      </c>
      <c r="C28">
        <v>7401</v>
      </c>
      <c r="D28" s="327">
        <v>-308.3</v>
      </c>
      <c r="E28" s="6">
        <v>7401</v>
      </c>
      <c r="F28" s="258">
        <v>-308</v>
      </c>
      <c r="G28" s="258"/>
      <c r="H28" s="25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Y28" s="326"/>
      <c r="BZ28" s="6">
        <v>7401</v>
      </c>
      <c r="CA28" s="327">
        <v>-308.3</v>
      </c>
      <c r="CB28" s="28">
        <f t="shared" si="0"/>
      </c>
    </row>
    <row r="29" spans="1:80" s="1" customFormat="1" ht="12.75">
      <c r="A29" s="4" t="s">
        <v>269</v>
      </c>
      <c r="B29" s="4" t="s">
        <v>210</v>
      </c>
      <c r="C29">
        <v>7501</v>
      </c>
      <c r="D29" s="327">
        <v>0</v>
      </c>
      <c r="E29" s="21"/>
      <c r="F29" s="258"/>
      <c r="G29" s="258"/>
      <c r="H29" s="25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Y29" s="326"/>
      <c r="BZ29" s="6">
        <v>7501</v>
      </c>
      <c r="CA29" s="327">
        <v>0</v>
      </c>
      <c r="CB29" s="28">
        <f t="shared" si="0"/>
      </c>
    </row>
    <row r="30" spans="1:80" s="1" customFormat="1" ht="12.75">
      <c r="A30" s="4" t="s">
        <v>269</v>
      </c>
      <c r="B30" s="4" t="s">
        <v>211</v>
      </c>
      <c r="C30">
        <v>7503</v>
      </c>
      <c r="D30" s="327">
        <v>0</v>
      </c>
      <c r="E30" s="21"/>
      <c r="F30" s="258"/>
      <c r="G30" s="258"/>
      <c r="H30" s="25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Y30" s="326"/>
      <c r="BZ30" s="6">
        <v>7503</v>
      </c>
      <c r="CA30" s="327">
        <v>0</v>
      </c>
      <c r="CB30" s="28">
        <f t="shared" si="0"/>
      </c>
    </row>
    <row r="31" spans="1:80" s="28" customFormat="1" ht="12.75">
      <c r="A31" s="27" t="s">
        <v>269</v>
      </c>
      <c r="B31" s="27" t="s">
        <v>212</v>
      </c>
      <c r="C31">
        <v>7601</v>
      </c>
      <c r="D31" s="327">
        <v>0</v>
      </c>
      <c r="E31" s="30"/>
      <c r="F31" s="258"/>
      <c r="G31" s="258"/>
      <c r="H31" s="25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Y31" s="326"/>
      <c r="BZ31" s="6">
        <v>7601</v>
      </c>
      <c r="CA31" s="327">
        <v>0</v>
      </c>
      <c r="CB31" s="28">
        <f t="shared" si="0"/>
      </c>
    </row>
    <row r="32" spans="1:80" s="1" customFormat="1" ht="12.75">
      <c r="A32" s="4"/>
      <c r="B32" s="4"/>
      <c r="C32" s="18"/>
      <c r="D32" s="31">
        <f aca="true" t="shared" si="2" ref="D32:BD32">SUM(D7:D31)</f>
        <v>2191.76516807</v>
      </c>
      <c r="E32" s="31"/>
      <c r="F32" s="31">
        <f>SUM(F7:F31)</f>
        <v>122</v>
      </c>
      <c r="G32" s="31">
        <f>SUM(G7:G31)</f>
        <v>656</v>
      </c>
      <c r="H32" s="31">
        <f>SUM(H7:H31)</f>
        <v>669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>
        <f t="shared" si="2"/>
        <v>0</v>
      </c>
      <c r="P32" s="31">
        <f t="shared" si="2"/>
        <v>0</v>
      </c>
      <c r="Q32" s="31">
        <f t="shared" si="2"/>
        <v>0</v>
      </c>
      <c r="R32" s="31">
        <f t="shared" si="2"/>
        <v>0</v>
      </c>
      <c r="S32" s="31">
        <f t="shared" si="2"/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31">
        <f t="shared" si="2"/>
        <v>0</v>
      </c>
      <c r="AI32" s="31">
        <f t="shared" si="2"/>
        <v>0</v>
      </c>
      <c r="AJ32" s="31">
        <f t="shared" si="2"/>
        <v>0</v>
      </c>
      <c r="AK32" s="31">
        <f t="shared" si="2"/>
        <v>0</v>
      </c>
      <c r="AL32" s="31">
        <f t="shared" si="2"/>
        <v>0</v>
      </c>
      <c r="AM32" s="31">
        <f t="shared" si="2"/>
        <v>0</v>
      </c>
      <c r="AN32" s="31">
        <f t="shared" si="2"/>
        <v>0</v>
      </c>
      <c r="AO32" s="31">
        <f t="shared" si="2"/>
        <v>0</v>
      </c>
      <c r="AP32" s="31">
        <f t="shared" si="2"/>
        <v>0</v>
      </c>
      <c r="AQ32" s="31">
        <f t="shared" si="2"/>
        <v>0</v>
      </c>
      <c r="AR32" s="31">
        <f t="shared" si="2"/>
        <v>0</v>
      </c>
      <c r="AS32" s="31">
        <f t="shared" si="2"/>
        <v>0</v>
      </c>
      <c r="AT32" s="31">
        <f t="shared" si="2"/>
        <v>0</v>
      </c>
      <c r="AU32" s="31">
        <f t="shared" si="2"/>
        <v>0</v>
      </c>
      <c r="AV32" s="31">
        <f t="shared" si="2"/>
        <v>0</v>
      </c>
      <c r="AW32" s="31">
        <f t="shared" si="2"/>
        <v>0</v>
      </c>
      <c r="AX32" s="31">
        <f t="shared" si="2"/>
        <v>0</v>
      </c>
      <c r="AY32" s="31">
        <f t="shared" si="2"/>
        <v>0</v>
      </c>
      <c r="AZ32" s="31">
        <f t="shared" si="2"/>
        <v>0</v>
      </c>
      <c r="BA32" s="31">
        <f t="shared" si="2"/>
        <v>0</v>
      </c>
      <c r="BB32" s="31">
        <f t="shared" si="2"/>
        <v>0</v>
      </c>
      <c r="BC32" s="31">
        <f t="shared" si="2"/>
        <v>0</v>
      </c>
      <c r="BD32" s="31">
        <f t="shared" si="2"/>
        <v>0</v>
      </c>
      <c r="BE32" s="4"/>
      <c r="BF32" s="4"/>
      <c r="BG32" s="4"/>
      <c r="BH32" s="4"/>
      <c r="BI32" s="4"/>
      <c r="BJ32" s="4"/>
      <c r="BK32" s="4"/>
      <c r="BL32" s="4"/>
      <c r="BY32" s="5" t="s">
        <v>6</v>
      </c>
      <c r="BZ32" s="323"/>
      <c r="CA32" s="325">
        <v>2185.7584846700006</v>
      </c>
      <c r="CB32" s="28">
        <f t="shared" si="0"/>
      </c>
    </row>
    <row r="33" spans="1:80" s="1" customFormat="1" ht="12.75">
      <c r="A33" s="4"/>
      <c r="B33" s="4"/>
      <c r="C33" s="18"/>
      <c r="D33" s="21"/>
      <c r="E33" s="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Y33" s="5"/>
      <c r="BZ33" s="331"/>
      <c r="CA33" s="325"/>
      <c r="CB33" s="28">
        <f t="shared" si="0"/>
      </c>
    </row>
    <row r="34" spans="1:80" s="1" customFormat="1" ht="12.75">
      <c r="A34" s="4" t="s">
        <v>270</v>
      </c>
      <c r="B34" s="4" t="s">
        <v>273</v>
      </c>
      <c r="C34">
        <v>1302</v>
      </c>
      <c r="D34" s="325">
        <v>47.332460999999995</v>
      </c>
      <c r="E34" s="21"/>
      <c r="F34" s="258">
        <v>5</v>
      </c>
      <c r="G34" s="258"/>
      <c r="H34" s="25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Y34" s="5" t="s">
        <v>7</v>
      </c>
      <c r="BZ34" s="5">
        <v>1302</v>
      </c>
      <c r="CA34" s="325">
        <v>47.332460999999995</v>
      </c>
      <c r="CB34" s="28">
        <f t="shared" si="0"/>
      </c>
    </row>
    <row r="35" spans="1:80" s="1" customFormat="1" ht="12.75">
      <c r="A35" s="4" t="s">
        <v>270</v>
      </c>
      <c r="B35" s="4" t="s">
        <v>274</v>
      </c>
      <c r="C35">
        <v>1352</v>
      </c>
      <c r="D35" s="327">
        <v>0</v>
      </c>
      <c r="E35" s="21"/>
      <c r="F35" s="258"/>
      <c r="G35" s="258"/>
      <c r="H35" s="25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Y35" s="326"/>
      <c r="BZ35" s="6">
        <v>1352</v>
      </c>
      <c r="CA35" s="327">
        <v>0</v>
      </c>
      <c r="CB35" s="28">
        <f t="shared" si="0"/>
      </c>
    </row>
    <row r="36" spans="1:80" s="1" customFormat="1" ht="12.75">
      <c r="A36" s="4" t="s">
        <v>270</v>
      </c>
      <c r="B36" s="4" t="s">
        <v>275</v>
      </c>
      <c r="C36">
        <v>1353</v>
      </c>
      <c r="D36" s="327">
        <v>0</v>
      </c>
      <c r="E36" s="21"/>
      <c r="F36" s="258"/>
      <c r="G36" s="258"/>
      <c r="H36" s="25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Y36" s="326"/>
      <c r="BZ36" s="6">
        <v>1353</v>
      </c>
      <c r="CA36" s="327">
        <v>0</v>
      </c>
      <c r="CB36" s="28">
        <f t="shared" si="0"/>
      </c>
    </row>
    <row r="37" spans="1:80" s="1" customFormat="1" ht="12.75">
      <c r="A37" s="4" t="s">
        <v>270</v>
      </c>
      <c r="B37" s="4" t="s">
        <v>276</v>
      </c>
      <c r="C37">
        <v>1354</v>
      </c>
      <c r="D37" s="327">
        <v>0</v>
      </c>
      <c r="E37" s="21"/>
      <c r="F37" s="258"/>
      <c r="G37" s="258"/>
      <c r="H37" s="25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Y37" s="326"/>
      <c r="BZ37" s="6">
        <v>1354</v>
      </c>
      <c r="CA37" s="327">
        <v>0</v>
      </c>
      <c r="CB37" s="28">
        <f t="shared" si="0"/>
      </c>
    </row>
    <row r="38" spans="1:80" s="1" customFormat="1" ht="12.75">
      <c r="A38" s="4" t="s">
        <v>270</v>
      </c>
      <c r="B38" s="4" t="s">
        <v>277</v>
      </c>
      <c r="C38">
        <v>1355</v>
      </c>
      <c r="D38" s="327">
        <v>0</v>
      </c>
      <c r="E38" s="21"/>
      <c r="F38" s="258"/>
      <c r="G38" s="258"/>
      <c r="H38" s="25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Y38" s="326"/>
      <c r="BZ38" s="6">
        <v>1355</v>
      </c>
      <c r="CA38" s="327">
        <v>0</v>
      </c>
      <c r="CB38" s="28">
        <f t="shared" si="0"/>
      </c>
    </row>
    <row r="39" spans="1:80" s="1" customFormat="1" ht="12.75">
      <c r="A39" s="4" t="s">
        <v>270</v>
      </c>
      <c r="B39" s="4" t="s">
        <v>272</v>
      </c>
      <c r="C39">
        <v>1361</v>
      </c>
      <c r="D39" s="327">
        <v>199.41206949999997</v>
      </c>
      <c r="E39" s="21"/>
      <c r="F39" s="258">
        <v>4</v>
      </c>
      <c r="G39" s="258">
        <v>45</v>
      </c>
      <c r="H39" s="258">
        <v>59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Y39" s="326"/>
      <c r="BZ39" s="6">
        <v>1361</v>
      </c>
      <c r="CA39" s="327">
        <v>199.41206949999997</v>
      </c>
      <c r="CB39" s="28">
        <f t="shared" si="0"/>
      </c>
    </row>
    <row r="40" spans="1:80" s="1" customFormat="1" ht="12.75">
      <c r="A40" s="4" t="s">
        <v>270</v>
      </c>
      <c r="B40" s="4" t="s">
        <v>278</v>
      </c>
      <c r="C40">
        <v>1404</v>
      </c>
      <c r="D40" s="327">
        <v>-35.94</v>
      </c>
      <c r="E40" s="6">
        <v>1404</v>
      </c>
      <c r="F40" s="258">
        <v>-36</v>
      </c>
      <c r="G40" s="258"/>
      <c r="H40" s="25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Y40" s="326"/>
      <c r="BZ40" s="6">
        <v>1404</v>
      </c>
      <c r="CA40" s="327">
        <v>-35.94</v>
      </c>
      <c r="CB40" s="28">
        <f t="shared" si="0"/>
      </c>
    </row>
    <row r="41" spans="1:80" s="32" customFormat="1" ht="12.75">
      <c r="A41" s="4" t="s">
        <v>270</v>
      </c>
      <c r="B41" s="4" t="s">
        <v>280</v>
      </c>
      <c r="C41">
        <v>1411</v>
      </c>
      <c r="D41" s="327">
        <v>-80.3908</v>
      </c>
      <c r="E41" s="6">
        <v>1411</v>
      </c>
      <c r="F41" s="258">
        <v>6</v>
      </c>
      <c r="G41" s="258">
        <v>4</v>
      </c>
      <c r="H41" s="258">
        <v>-90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Y41" s="326"/>
      <c r="BZ41" s="6">
        <v>1411</v>
      </c>
      <c r="CA41" s="327">
        <v>-80.3908</v>
      </c>
      <c r="CB41" s="28">
        <f t="shared" si="0"/>
      </c>
    </row>
    <row r="42" spans="1:80" s="1" customFormat="1" ht="12.75">
      <c r="A42" s="4" t="s">
        <v>270</v>
      </c>
      <c r="B42" s="4" t="s">
        <v>279</v>
      </c>
      <c r="C42">
        <v>1416</v>
      </c>
      <c r="D42" s="327">
        <v>103.153266</v>
      </c>
      <c r="E42" s="6">
        <v>1416</v>
      </c>
      <c r="F42" s="258">
        <v>4</v>
      </c>
      <c r="G42" s="258">
        <v>29</v>
      </c>
      <c r="H42" s="258">
        <v>55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Y42" s="326"/>
      <c r="BZ42" s="6">
        <v>1416</v>
      </c>
      <c r="CA42" s="327">
        <v>103.153266</v>
      </c>
      <c r="CB42" s="28">
        <f t="shared" si="0"/>
      </c>
    </row>
    <row r="43" spans="1:80" s="1" customFormat="1" ht="12.75">
      <c r="A43" s="4" t="s">
        <v>270</v>
      </c>
      <c r="B43" s="4" t="s">
        <v>281</v>
      </c>
      <c r="C43">
        <v>1421</v>
      </c>
      <c r="D43" s="327">
        <v>711.1818557999999</v>
      </c>
      <c r="E43" s="6">
        <v>1421</v>
      </c>
      <c r="F43" s="258">
        <v>62</v>
      </c>
      <c r="G43" s="258">
        <v>167</v>
      </c>
      <c r="H43" s="258">
        <v>406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Y43" s="326"/>
      <c r="BZ43" s="6">
        <v>1421</v>
      </c>
      <c r="CA43" s="327">
        <v>711.1818557999999</v>
      </c>
      <c r="CB43" s="28">
        <f t="shared" si="0"/>
      </c>
    </row>
    <row r="44" spans="1:80" s="1" customFormat="1" ht="12.75">
      <c r="A44" s="4" t="s">
        <v>270</v>
      </c>
      <c r="B44" s="4" t="s">
        <v>282</v>
      </c>
      <c r="C44">
        <v>1429</v>
      </c>
      <c r="D44" s="327">
        <v>83.23651041000001</v>
      </c>
      <c r="E44" s="6">
        <v>1429</v>
      </c>
      <c r="F44" s="258">
        <v>30</v>
      </c>
      <c r="G44" s="258"/>
      <c r="H44" s="258">
        <v>44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Y44" s="326"/>
      <c r="BZ44" s="6">
        <v>1429</v>
      </c>
      <c r="CA44" s="327">
        <v>83.23651041000001</v>
      </c>
      <c r="CB44" s="28">
        <f t="shared" si="0"/>
      </c>
    </row>
    <row r="45" spans="1:80" s="1" customFormat="1" ht="12.75">
      <c r="A45" s="4" t="s">
        <v>270</v>
      </c>
      <c r="B45" s="4" t="s">
        <v>288</v>
      </c>
      <c r="C45">
        <v>1501</v>
      </c>
      <c r="D45" s="327">
        <v>81.9423845</v>
      </c>
      <c r="E45" s="6">
        <v>1501</v>
      </c>
      <c r="F45" s="258">
        <v>2</v>
      </c>
      <c r="G45" s="258">
        <v>43</v>
      </c>
      <c r="H45" s="258">
        <v>30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Y45" s="326"/>
      <c r="BZ45" s="6">
        <v>1501</v>
      </c>
      <c r="CA45" s="327">
        <v>81.9423845</v>
      </c>
      <c r="CB45" s="28">
        <f t="shared" si="0"/>
      </c>
    </row>
    <row r="46" spans="1:80" s="1" customFormat="1" ht="12.75">
      <c r="A46" s="4" t="s">
        <v>270</v>
      </c>
      <c r="B46" s="4" t="s">
        <v>289</v>
      </c>
      <c r="C46">
        <v>1550</v>
      </c>
      <c r="D46" s="327">
        <v>0</v>
      </c>
      <c r="E46" s="21"/>
      <c r="F46" s="258"/>
      <c r="G46" s="258"/>
      <c r="H46" s="25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Y46" s="326"/>
      <c r="BZ46" s="6">
        <v>1550</v>
      </c>
      <c r="CA46" s="327">
        <v>0</v>
      </c>
      <c r="CB46" s="28">
        <f t="shared" si="0"/>
      </c>
    </row>
    <row r="47" spans="1:80" s="1" customFormat="1" ht="12.75">
      <c r="A47" s="4" t="s">
        <v>270</v>
      </c>
      <c r="B47" s="4" t="s">
        <v>290</v>
      </c>
      <c r="C47">
        <v>1601</v>
      </c>
      <c r="D47" s="327">
        <v>6.228800000000001</v>
      </c>
      <c r="E47" s="21"/>
      <c r="F47" s="258"/>
      <c r="G47" s="258">
        <v>6</v>
      </c>
      <c r="H47" s="25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Y47" s="326"/>
      <c r="BZ47" s="6">
        <v>1601</v>
      </c>
      <c r="CA47" s="327">
        <v>6.228800000000001</v>
      </c>
      <c r="CB47" s="28">
        <f t="shared" si="0"/>
      </c>
    </row>
    <row r="48" spans="1:80" s="1" customFormat="1" ht="12.75">
      <c r="A48" s="4" t="s">
        <v>270</v>
      </c>
      <c r="B48" s="4" t="s">
        <v>285</v>
      </c>
      <c r="C48">
        <v>1701</v>
      </c>
      <c r="D48" s="327">
        <v>0</v>
      </c>
      <c r="E48" s="6">
        <v>1701</v>
      </c>
      <c r="F48" s="258"/>
      <c r="G48" s="258"/>
      <c r="H48" s="25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Y48" s="326"/>
      <c r="BZ48" s="6">
        <v>1701</v>
      </c>
      <c r="CA48" s="327">
        <v>0</v>
      </c>
      <c r="CB48" s="28">
        <f t="shared" si="0"/>
      </c>
    </row>
    <row r="49" spans="1:80" s="1" customFormat="1" ht="12.75">
      <c r="A49" s="4" t="s">
        <v>270</v>
      </c>
      <c r="B49" s="4" t="s">
        <v>283</v>
      </c>
      <c r="C49">
        <v>1702</v>
      </c>
      <c r="D49" s="327">
        <v>0</v>
      </c>
      <c r="E49" s="21"/>
      <c r="F49" s="258"/>
      <c r="G49" s="258"/>
      <c r="H49" s="25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Y49" s="326"/>
      <c r="BZ49" s="6">
        <v>1702</v>
      </c>
      <c r="CA49" s="327">
        <v>0</v>
      </c>
      <c r="CB49" s="28">
        <f t="shared" si="0"/>
      </c>
    </row>
    <row r="50" spans="1:80" s="1" customFormat="1" ht="12.75">
      <c r="A50" s="4" t="s">
        <v>270</v>
      </c>
      <c r="B50" s="4" t="s">
        <v>286</v>
      </c>
      <c r="C50">
        <v>1751</v>
      </c>
      <c r="D50" s="327">
        <v>0</v>
      </c>
      <c r="E50" s="21"/>
      <c r="F50" s="258"/>
      <c r="G50" s="258"/>
      <c r="H50" s="25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Y50" s="326"/>
      <c r="BZ50" s="6">
        <v>1751</v>
      </c>
      <c r="CA50" s="327">
        <v>0</v>
      </c>
      <c r="CB50" s="28">
        <f t="shared" si="0"/>
      </c>
    </row>
    <row r="51" spans="1:80" s="1" customFormat="1" ht="12.75">
      <c r="A51" s="4" t="s">
        <v>270</v>
      </c>
      <c r="B51" s="4" t="s">
        <v>284</v>
      </c>
      <c r="C51">
        <v>1752</v>
      </c>
      <c r="D51" s="327">
        <v>0</v>
      </c>
      <c r="E51" s="21"/>
      <c r="F51" s="258"/>
      <c r="G51" s="258"/>
      <c r="H51" s="25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Y51" s="326"/>
      <c r="BZ51" s="6">
        <v>1752</v>
      </c>
      <c r="CA51" s="327">
        <v>0</v>
      </c>
      <c r="CB51" s="28">
        <f t="shared" si="0"/>
      </c>
    </row>
    <row r="52" spans="1:80" s="1" customFormat="1" ht="12.75">
      <c r="A52" s="4" t="s">
        <v>270</v>
      </c>
      <c r="B52" s="4" t="s">
        <v>287</v>
      </c>
      <c r="C52">
        <v>1806</v>
      </c>
      <c r="D52" s="327">
        <v>27.7446855</v>
      </c>
      <c r="E52" s="21"/>
      <c r="F52" s="258"/>
      <c r="G52" s="258">
        <v>3</v>
      </c>
      <c r="H52" s="258">
        <v>22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Y52" s="326"/>
      <c r="BZ52" s="6">
        <v>1806</v>
      </c>
      <c r="CA52" s="327">
        <v>27.7446855</v>
      </c>
      <c r="CB52" s="28">
        <f t="shared" si="0"/>
      </c>
    </row>
    <row r="53" spans="1:80" s="1" customFormat="1" ht="12.75">
      <c r="A53" s="4" t="s">
        <v>270</v>
      </c>
      <c r="B53" s="4" t="s">
        <v>291</v>
      </c>
      <c r="C53">
        <v>1901</v>
      </c>
      <c r="D53" s="327">
        <v>132.64167952</v>
      </c>
      <c r="E53" s="21"/>
      <c r="F53" s="258">
        <v>34</v>
      </c>
      <c r="G53" s="258">
        <v>32</v>
      </c>
      <c r="H53" s="258">
        <v>32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Y53" s="326"/>
      <c r="BZ53" s="6">
        <v>1901</v>
      </c>
      <c r="CA53" s="327">
        <v>132.64167952</v>
      </c>
      <c r="CB53" s="28">
        <f t="shared" si="0"/>
      </c>
    </row>
    <row r="54" spans="1:80" s="1" customFormat="1" ht="12.75">
      <c r="A54" s="4" t="s">
        <v>270</v>
      </c>
      <c r="B54" s="4" t="s">
        <v>292</v>
      </c>
      <c r="C54">
        <v>8202</v>
      </c>
      <c r="D54" s="327">
        <v>289.20299167</v>
      </c>
      <c r="E54" s="6">
        <v>8202</v>
      </c>
      <c r="F54" s="258">
        <v>108</v>
      </c>
      <c r="G54" s="258">
        <v>100</v>
      </c>
      <c r="H54" s="258">
        <v>87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Y54" s="326"/>
      <c r="BZ54" s="6">
        <v>8202</v>
      </c>
      <c r="CA54" s="327">
        <v>289.20299167</v>
      </c>
      <c r="CB54" s="28">
        <f t="shared" si="0"/>
      </c>
    </row>
    <row r="55" spans="1:80" s="1" customFormat="1" ht="12.75">
      <c r="A55" s="4" t="s">
        <v>270</v>
      </c>
      <c r="B55" s="4" t="s">
        <v>293</v>
      </c>
      <c r="C55">
        <v>8203</v>
      </c>
      <c r="D55" s="327">
        <v>130.90838007</v>
      </c>
      <c r="E55" s="6">
        <v>8203</v>
      </c>
      <c r="F55" s="258">
        <v>31</v>
      </c>
      <c r="G55" s="258">
        <v>29</v>
      </c>
      <c r="H55" s="258">
        <v>29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Y55" s="326"/>
      <c r="BZ55" s="6">
        <v>8203</v>
      </c>
      <c r="CA55" s="327">
        <v>130.90838007</v>
      </c>
      <c r="CB55" s="28">
        <f t="shared" si="0"/>
      </c>
    </row>
    <row r="56" spans="1:80" s="1" customFormat="1" ht="12.75">
      <c r="A56" s="4" t="s">
        <v>270</v>
      </c>
      <c r="B56" s="4" t="s">
        <v>294</v>
      </c>
      <c r="C56">
        <v>8204</v>
      </c>
      <c r="D56" s="327">
        <v>147.91024786999995</v>
      </c>
      <c r="E56" s="6">
        <v>8204</v>
      </c>
      <c r="F56" s="258">
        <v>35</v>
      </c>
      <c r="G56" s="258">
        <v>34</v>
      </c>
      <c r="H56" s="258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Y56" s="326"/>
      <c r="BZ56" s="6">
        <v>8204</v>
      </c>
      <c r="CA56" s="327">
        <v>147.91024786999995</v>
      </c>
      <c r="CB56" s="28">
        <f t="shared" si="0"/>
      </c>
    </row>
    <row r="57" spans="1:80" s="1" customFormat="1" ht="12.75">
      <c r="A57" s="4" t="s">
        <v>270</v>
      </c>
      <c r="B57" s="4" t="s">
        <v>295</v>
      </c>
      <c r="C57">
        <v>8205</v>
      </c>
      <c r="D57" s="327">
        <v>75.26736</v>
      </c>
      <c r="E57" s="6">
        <v>8205</v>
      </c>
      <c r="F57" s="258"/>
      <c r="G57" s="258">
        <v>21</v>
      </c>
      <c r="H57" s="258">
        <v>21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Y57" s="326"/>
      <c r="BZ57" s="6">
        <v>8205</v>
      </c>
      <c r="CA57" s="327">
        <v>75.26736</v>
      </c>
      <c r="CB57" s="28">
        <f t="shared" si="0"/>
      </c>
    </row>
    <row r="58" spans="1:80" s="1" customFormat="1" ht="12.75">
      <c r="A58" s="4" t="s">
        <v>270</v>
      </c>
      <c r="B58" s="4" t="s">
        <v>296</v>
      </c>
      <c r="C58">
        <v>8210</v>
      </c>
      <c r="D58" s="327">
        <v>18.8142</v>
      </c>
      <c r="E58" s="6">
        <v>8210</v>
      </c>
      <c r="F58" s="258">
        <v>15</v>
      </c>
      <c r="G58" s="258">
        <v>4</v>
      </c>
      <c r="H58" s="25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Y58" s="326"/>
      <c r="BZ58" s="6">
        <v>8210</v>
      </c>
      <c r="CA58" s="327">
        <v>18.8142</v>
      </c>
      <c r="CB58" s="28">
        <f t="shared" si="0"/>
      </c>
    </row>
    <row r="59" spans="1:80" s="28" customFormat="1" ht="12.75">
      <c r="A59" s="27" t="s">
        <v>270</v>
      </c>
      <c r="B59" s="27" t="s">
        <v>297</v>
      </c>
      <c r="C59">
        <v>8215</v>
      </c>
      <c r="D59" s="327">
        <v>0</v>
      </c>
      <c r="E59" s="30"/>
      <c r="F59" s="258"/>
      <c r="G59" s="258"/>
      <c r="H59" s="25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Y59" s="326"/>
      <c r="BZ59" s="6">
        <v>8215</v>
      </c>
      <c r="CA59" s="327">
        <v>0</v>
      </c>
      <c r="CB59" s="28">
        <f t="shared" si="0"/>
      </c>
    </row>
    <row r="60" spans="1:80" s="1" customFormat="1" ht="12.75">
      <c r="A60" s="4"/>
      <c r="B60" s="4"/>
      <c r="C60" s="18"/>
      <c r="D60" s="31">
        <f aca="true" t="shared" si="3" ref="D60:BD60">SUM(D34:D59)</f>
        <v>1938.64609184</v>
      </c>
      <c r="E60" s="31"/>
      <c r="F60" s="31">
        <f t="shared" si="3"/>
        <v>300</v>
      </c>
      <c r="G60" s="31">
        <f t="shared" si="3"/>
        <v>517</v>
      </c>
      <c r="H60" s="31">
        <f t="shared" si="3"/>
        <v>729</v>
      </c>
      <c r="I60" s="31">
        <f t="shared" si="3"/>
        <v>0</v>
      </c>
      <c r="J60" s="31">
        <f t="shared" si="3"/>
        <v>0</v>
      </c>
      <c r="K60" s="31">
        <f t="shared" si="3"/>
        <v>0</v>
      </c>
      <c r="L60" s="31">
        <f t="shared" si="3"/>
        <v>0</v>
      </c>
      <c r="M60" s="31">
        <f t="shared" si="3"/>
        <v>0</v>
      </c>
      <c r="N60" s="31">
        <f t="shared" si="3"/>
        <v>0</v>
      </c>
      <c r="O60" s="31">
        <f t="shared" si="3"/>
        <v>0</v>
      </c>
      <c r="P60" s="31">
        <f t="shared" si="3"/>
        <v>0</v>
      </c>
      <c r="Q60" s="31">
        <f t="shared" si="3"/>
        <v>0</v>
      </c>
      <c r="R60" s="31">
        <f t="shared" si="3"/>
        <v>0</v>
      </c>
      <c r="S60" s="31">
        <f t="shared" si="3"/>
        <v>0</v>
      </c>
      <c r="T60" s="31">
        <f t="shared" si="3"/>
        <v>0</v>
      </c>
      <c r="U60" s="31">
        <f t="shared" si="3"/>
        <v>0</v>
      </c>
      <c r="V60" s="31">
        <f t="shared" si="3"/>
        <v>0</v>
      </c>
      <c r="W60" s="31">
        <f t="shared" si="3"/>
        <v>0</v>
      </c>
      <c r="X60" s="31">
        <f t="shared" si="3"/>
        <v>0</v>
      </c>
      <c r="Y60" s="31">
        <f t="shared" si="3"/>
        <v>0</v>
      </c>
      <c r="Z60" s="31">
        <f t="shared" si="3"/>
        <v>0</v>
      </c>
      <c r="AA60" s="31">
        <f t="shared" si="3"/>
        <v>0</v>
      </c>
      <c r="AB60" s="31">
        <f t="shared" si="3"/>
        <v>0</v>
      </c>
      <c r="AC60" s="31">
        <f t="shared" si="3"/>
        <v>0</v>
      </c>
      <c r="AD60" s="31">
        <f t="shared" si="3"/>
        <v>0</v>
      </c>
      <c r="AE60" s="31">
        <f t="shared" si="3"/>
        <v>0</v>
      </c>
      <c r="AF60" s="31">
        <f t="shared" si="3"/>
        <v>0</v>
      </c>
      <c r="AG60" s="31">
        <f t="shared" si="3"/>
        <v>0</v>
      </c>
      <c r="AH60" s="31">
        <f t="shared" si="3"/>
        <v>0</v>
      </c>
      <c r="AI60" s="31">
        <f t="shared" si="3"/>
        <v>0</v>
      </c>
      <c r="AJ60" s="31">
        <f t="shared" si="3"/>
        <v>0</v>
      </c>
      <c r="AK60" s="31">
        <f t="shared" si="3"/>
        <v>0</v>
      </c>
      <c r="AL60" s="31">
        <f t="shared" si="3"/>
        <v>0</v>
      </c>
      <c r="AM60" s="31">
        <f t="shared" si="3"/>
        <v>0</v>
      </c>
      <c r="AN60" s="31">
        <f t="shared" si="3"/>
        <v>0</v>
      </c>
      <c r="AO60" s="31">
        <f t="shared" si="3"/>
        <v>0</v>
      </c>
      <c r="AP60" s="31">
        <f t="shared" si="3"/>
        <v>0</v>
      </c>
      <c r="AQ60" s="31">
        <f t="shared" si="3"/>
        <v>0</v>
      </c>
      <c r="AR60" s="31">
        <f t="shared" si="3"/>
        <v>0</v>
      </c>
      <c r="AS60" s="31">
        <f t="shared" si="3"/>
        <v>0</v>
      </c>
      <c r="AT60" s="31">
        <f t="shared" si="3"/>
        <v>0</v>
      </c>
      <c r="AU60" s="31">
        <f t="shared" si="3"/>
        <v>0</v>
      </c>
      <c r="AV60" s="31">
        <f t="shared" si="3"/>
        <v>0</v>
      </c>
      <c r="AW60" s="31">
        <f t="shared" si="3"/>
        <v>0</v>
      </c>
      <c r="AX60" s="31">
        <f t="shared" si="3"/>
        <v>0</v>
      </c>
      <c r="AY60" s="31">
        <f t="shared" si="3"/>
        <v>0</v>
      </c>
      <c r="AZ60" s="31">
        <f t="shared" si="3"/>
        <v>0</v>
      </c>
      <c r="BA60" s="31">
        <f t="shared" si="3"/>
        <v>0</v>
      </c>
      <c r="BB60" s="31">
        <f t="shared" si="3"/>
        <v>0</v>
      </c>
      <c r="BC60" s="31">
        <f t="shared" si="3"/>
        <v>0</v>
      </c>
      <c r="BD60" s="31">
        <f t="shared" si="3"/>
        <v>0</v>
      </c>
      <c r="BE60" s="4"/>
      <c r="BF60" s="4"/>
      <c r="BG60" s="4"/>
      <c r="BH60" s="4"/>
      <c r="BI60" s="4"/>
      <c r="BJ60" s="4"/>
      <c r="BK60" s="4"/>
      <c r="BL60" s="4"/>
      <c r="BY60" s="5" t="s">
        <v>8</v>
      </c>
      <c r="BZ60" s="323"/>
      <c r="CA60" s="325">
        <v>1938.6460918399998</v>
      </c>
      <c r="CB60" s="28">
        <f t="shared" si="0"/>
      </c>
    </row>
    <row r="61" spans="1:80" s="1" customFormat="1" ht="12.75">
      <c r="A61" s="4"/>
      <c r="B61" s="4"/>
      <c r="C61" s="18"/>
      <c r="D61" s="21"/>
      <c r="E61" s="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Y61" s="5"/>
      <c r="BZ61" s="331"/>
      <c r="CA61" s="325"/>
      <c r="CB61" s="28">
        <f t="shared" si="0"/>
      </c>
    </row>
    <row r="62" spans="1:80" s="1" customFormat="1" ht="12.75">
      <c r="A62" s="4" t="s">
        <v>271</v>
      </c>
      <c r="B62" s="4" t="s">
        <v>213</v>
      </c>
      <c r="C62">
        <v>4101</v>
      </c>
      <c r="D62" s="325">
        <v>-104.1</v>
      </c>
      <c r="E62" s="6">
        <v>4101</v>
      </c>
      <c r="F62">
        <v>-104</v>
      </c>
      <c r="G62"/>
      <c r="H6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Y62" s="5" t="s">
        <v>9</v>
      </c>
      <c r="BZ62" s="5">
        <v>4101</v>
      </c>
      <c r="CA62" s="325">
        <v>-104.1</v>
      </c>
      <c r="CB62" s="28">
        <f t="shared" si="0"/>
      </c>
    </row>
    <row r="63" spans="1:80" s="1" customFormat="1" ht="12.75">
      <c r="A63" s="4" t="s">
        <v>271</v>
      </c>
      <c r="B63" s="4" t="s">
        <v>214</v>
      </c>
      <c r="C63">
        <v>4301</v>
      </c>
      <c r="D63" s="327">
        <v>0</v>
      </c>
      <c r="F63"/>
      <c r="G63"/>
      <c r="H6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Y63" s="326"/>
      <c r="BZ63" s="6">
        <v>4301</v>
      </c>
      <c r="CA63" s="327">
        <v>0</v>
      </c>
      <c r="CB63" s="28">
        <f t="shared" si="0"/>
      </c>
    </row>
    <row r="64" spans="1:80" s="1" customFormat="1" ht="12.75">
      <c r="A64" s="4" t="s">
        <v>271</v>
      </c>
      <c r="B64" s="4" t="s">
        <v>215</v>
      </c>
      <c r="C64">
        <v>4401</v>
      </c>
      <c r="D64" s="327">
        <v>0</v>
      </c>
      <c r="E64" s="21"/>
      <c r="F64"/>
      <c r="G64"/>
      <c r="H6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Y64" s="326"/>
      <c r="BZ64" s="6">
        <v>4401</v>
      </c>
      <c r="CA64" s="327">
        <v>0</v>
      </c>
      <c r="CB64" s="28">
        <f t="shared" si="0"/>
      </c>
    </row>
    <row r="65" spans="1:80" s="1" customFormat="1" ht="12.75">
      <c r="A65" s="4" t="s">
        <v>271</v>
      </c>
      <c r="B65" s="4" t="s">
        <v>216</v>
      </c>
      <c r="C65">
        <v>4501</v>
      </c>
      <c r="D65" s="327">
        <v>0</v>
      </c>
      <c r="E65" s="6">
        <v>4501</v>
      </c>
      <c r="F65"/>
      <c r="G65"/>
      <c r="H6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Y65" s="326"/>
      <c r="BZ65" s="6">
        <v>4501</v>
      </c>
      <c r="CA65" s="327">
        <v>0</v>
      </c>
      <c r="CB65" s="28">
        <f t="shared" si="0"/>
      </c>
    </row>
    <row r="66" spans="1:80" s="1" customFormat="1" ht="12.75">
      <c r="A66" s="4" t="s">
        <v>271</v>
      </c>
      <c r="B66" s="4" t="s">
        <v>217</v>
      </c>
      <c r="C66">
        <v>5101</v>
      </c>
      <c r="D66" s="327">
        <v>0</v>
      </c>
      <c r="E66" s="21"/>
      <c r="F66"/>
      <c r="G66"/>
      <c r="H6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Y66" s="326"/>
      <c r="BZ66" s="6">
        <v>5101</v>
      </c>
      <c r="CA66" s="327">
        <v>0</v>
      </c>
      <c r="CB66" s="28">
        <f aca="true" t="shared" si="4" ref="CB66:CB72">IF(BZ66=C66,"","X")</f>
      </c>
    </row>
    <row r="67" spans="1:80" s="1" customFormat="1" ht="12.75">
      <c r="A67" s="4" t="s">
        <v>271</v>
      </c>
      <c r="B67" s="4" t="s">
        <v>218</v>
      </c>
      <c r="C67">
        <v>5201</v>
      </c>
      <c r="D67" s="327">
        <v>0</v>
      </c>
      <c r="E67" s="21"/>
      <c r="F67"/>
      <c r="G67"/>
      <c r="H6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Y67" s="326"/>
      <c r="BZ67" s="6">
        <v>5201</v>
      </c>
      <c r="CA67" s="327">
        <v>0</v>
      </c>
      <c r="CB67" s="28">
        <f t="shared" si="4"/>
      </c>
    </row>
    <row r="68" spans="1:80" s="1" customFormat="1" ht="12.75">
      <c r="A68" s="4" t="s">
        <v>271</v>
      </c>
      <c r="B68" s="4" t="s">
        <v>219</v>
      </c>
      <c r="C68">
        <v>5301</v>
      </c>
      <c r="D68" s="327">
        <v>0</v>
      </c>
      <c r="E68" s="21"/>
      <c r="F68"/>
      <c r="G68"/>
      <c r="H6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Y68" s="326"/>
      <c r="BZ68" s="6">
        <v>5301</v>
      </c>
      <c r="CA68" s="327">
        <v>0</v>
      </c>
      <c r="CB68" s="28">
        <f t="shared" si="4"/>
      </c>
    </row>
    <row r="69" spans="1:80" s="1" customFormat="1" ht="12.75">
      <c r="A69" s="4" t="s">
        <v>271</v>
      </c>
      <c r="B69" s="4" t="s">
        <v>220</v>
      </c>
      <c r="C69">
        <v>5401</v>
      </c>
      <c r="D69" s="327">
        <v>0</v>
      </c>
      <c r="E69" s="21"/>
      <c r="F69"/>
      <c r="G69"/>
      <c r="H6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Y69" s="326"/>
      <c r="BZ69" s="6">
        <v>5401</v>
      </c>
      <c r="CA69" s="327">
        <v>0</v>
      </c>
      <c r="CB69" s="28">
        <f t="shared" si="4"/>
      </c>
    </row>
    <row r="70" spans="1:80" s="1" customFormat="1" ht="12.75">
      <c r="A70" s="4" t="s">
        <v>271</v>
      </c>
      <c r="B70" s="4" t="s">
        <v>221</v>
      </c>
      <c r="C70">
        <v>5501</v>
      </c>
      <c r="D70" s="327">
        <v>0</v>
      </c>
      <c r="E70" s="21"/>
      <c r="F70"/>
      <c r="G70"/>
      <c r="H7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Y70" s="326"/>
      <c r="BZ70" s="6">
        <v>5501</v>
      </c>
      <c r="CA70" s="327">
        <v>0</v>
      </c>
      <c r="CB70" s="28">
        <f t="shared" si="4"/>
      </c>
    </row>
    <row r="71" spans="1:80" s="1" customFormat="1" ht="12.75">
      <c r="A71" s="4" t="s">
        <v>271</v>
      </c>
      <c r="B71" s="4" t="s">
        <v>222</v>
      </c>
      <c r="C71">
        <v>5601</v>
      </c>
      <c r="D71" s="327">
        <v>0</v>
      </c>
      <c r="E71" s="21"/>
      <c r="F71"/>
      <c r="G71"/>
      <c r="H7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Y71" s="326"/>
      <c r="BZ71" s="6">
        <v>5601</v>
      </c>
      <c r="CA71" s="327">
        <v>0</v>
      </c>
      <c r="CB71" s="28">
        <f t="shared" si="4"/>
      </c>
    </row>
    <row r="72" spans="1:80" s="1" customFormat="1" ht="12.75">
      <c r="A72" s="4" t="s">
        <v>271</v>
      </c>
      <c r="B72" s="4" t="s">
        <v>223</v>
      </c>
      <c r="C72">
        <v>5801</v>
      </c>
      <c r="D72" s="327">
        <v>5.72324358</v>
      </c>
      <c r="E72" s="21"/>
      <c r="F72">
        <v>1</v>
      </c>
      <c r="G72">
        <v>1</v>
      </c>
      <c r="H72">
        <v>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Y72" s="326"/>
      <c r="BZ72" s="6">
        <v>5801</v>
      </c>
      <c r="CA72" s="327">
        <v>5.72324358</v>
      </c>
      <c r="CB72" s="28">
        <f t="shared" si="4"/>
      </c>
    </row>
    <row r="73" spans="1:80" s="28" customFormat="1" ht="12.75">
      <c r="A73" s="27" t="s">
        <v>271</v>
      </c>
      <c r="B73" s="27" t="s">
        <v>224</v>
      </c>
      <c r="C73">
        <v>8501</v>
      </c>
      <c r="D73" s="327">
        <v>0</v>
      </c>
      <c r="E73" s="30"/>
      <c r="F73"/>
      <c r="G73"/>
      <c r="H73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Y73" s="326"/>
      <c r="BZ73" s="6">
        <v>8501</v>
      </c>
      <c r="CA73" s="327">
        <v>0</v>
      </c>
      <c r="CB73" s="28">
        <f>IF(BZ73=C73,"","X")</f>
      </c>
    </row>
    <row r="74" spans="1:79" s="1" customFormat="1" ht="12.75">
      <c r="A74" s="4"/>
      <c r="B74" s="4"/>
      <c r="C74" s="18"/>
      <c r="D74" s="31">
        <f aca="true" t="shared" si="5" ref="D74:BD74">SUM(D62:D73)</f>
        <v>-98.37675641999999</v>
      </c>
      <c r="E74" s="31"/>
      <c r="F74" s="31">
        <f t="shared" si="5"/>
        <v>-103</v>
      </c>
      <c r="G74" s="31">
        <f t="shared" si="5"/>
        <v>1</v>
      </c>
      <c r="H74" s="31">
        <f t="shared" si="5"/>
        <v>1</v>
      </c>
      <c r="I74" s="31">
        <f t="shared" si="5"/>
        <v>0</v>
      </c>
      <c r="J74" s="31">
        <f t="shared" si="5"/>
        <v>0</v>
      </c>
      <c r="K74" s="31">
        <f t="shared" si="5"/>
        <v>0</v>
      </c>
      <c r="L74" s="31">
        <f t="shared" si="5"/>
        <v>0</v>
      </c>
      <c r="M74" s="31">
        <f t="shared" si="5"/>
        <v>0</v>
      </c>
      <c r="N74" s="31">
        <f t="shared" si="5"/>
        <v>0</v>
      </c>
      <c r="O74" s="31">
        <f t="shared" si="5"/>
        <v>0</v>
      </c>
      <c r="P74" s="31">
        <f t="shared" si="5"/>
        <v>0</v>
      </c>
      <c r="Q74" s="31">
        <f t="shared" si="5"/>
        <v>0</v>
      </c>
      <c r="R74" s="31">
        <f t="shared" si="5"/>
        <v>0</v>
      </c>
      <c r="S74" s="31">
        <f t="shared" si="5"/>
        <v>0</v>
      </c>
      <c r="T74" s="31">
        <f t="shared" si="5"/>
        <v>0</v>
      </c>
      <c r="U74" s="31">
        <f t="shared" si="5"/>
        <v>0</v>
      </c>
      <c r="V74" s="31">
        <f t="shared" si="5"/>
        <v>0</v>
      </c>
      <c r="W74" s="31">
        <f t="shared" si="5"/>
        <v>0</v>
      </c>
      <c r="X74" s="31">
        <f t="shared" si="5"/>
        <v>0</v>
      </c>
      <c r="Y74" s="31">
        <f t="shared" si="5"/>
        <v>0</v>
      </c>
      <c r="Z74" s="31">
        <f t="shared" si="5"/>
        <v>0</v>
      </c>
      <c r="AA74" s="31">
        <f t="shared" si="5"/>
        <v>0</v>
      </c>
      <c r="AB74" s="31">
        <f t="shared" si="5"/>
        <v>0</v>
      </c>
      <c r="AC74" s="31">
        <f t="shared" si="5"/>
        <v>0</v>
      </c>
      <c r="AD74" s="31">
        <f t="shared" si="5"/>
        <v>0</v>
      </c>
      <c r="AE74" s="31">
        <f t="shared" si="5"/>
        <v>0</v>
      </c>
      <c r="AF74" s="31">
        <f t="shared" si="5"/>
        <v>0</v>
      </c>
      <c r="AG74" s="31">
        <f t="shared" si="5"/>
        <v>0</v>
      </c>
      <c r="AH74" s="31">
        <f t="shared" si="5"/>
        <v>0</v>
      </c>
      <c r="AI74" s="31">
        <f t="shared" si="5"/>
        <v>0</v>
      </c>
      <c r="AJ74" s="31">
        <f t="shared" si="5"/>
        <v>0</v>
      </c>
      <c r="AK74" s="31">
        <f t="shared" si="5"/>
        <v>0</v>
      </c>
      <c r="AL74" s="31">
        <f t="shared" si="5"/>
        <v>0</v>
      </c>
      <c r="AM74" s="31">
        <f t="shared" si="5"/>
        <v>0</v>
      </c>
      <c r="AN74" s="31">
        <f t="shared" si="5"/>
        <v>0</v>
      </c>
      <c r="AO74" s="31">
        <f t="shared" si="5"/>
        <v>0</v>
      </c>
      <c r="AP74" s="31">
        <f t="shared" si="5"/>
        <v>0</v>
      </c>
      <c r="AQ74" s="31">
        <f t="shared" si="5"/>
        <v>0</v>
      </c>
      <c r="AR74" s="31">
        <f t="shared" si="5"/>
        <v>0</v>
      </c>
      <c r="AS74" s="31">
        <f t="shared" si="5"/>
        <v>0</v>
      </c>
      <c r="AT74" s="31">
        <f t="shared" si="5"/>
        <v>0</v>
      </c>
      <c r="AU74" s="31">
        <f t="shared" si="5"/>
        <v>0</v>
      </c>
      <c r="AV74" s="31">
        <f t="shared" si="5"/>
        <v>0</v>
      </c>
      <c r="AW74" s="31">
        <f t="shared" si="5"/>
        <v>0</v>
      </c>
      <c r="AX74" s="31">
        <f t="shared" si="5"/>
        <v>0</v>
      </c>
      <c r="AY74" s="31">
        <f t="shared" si="5"/>
        <v>0</v>
      </c>
      <c r="AZ74" s="31">
        <f t="shared" si="5"/>
        <v>0</v>
      </c>
      <c r="BA74" s="31">
        <f t="shared" si="5"/>
        <v>0</v>
      </c>
      <c r="BB74" s="31">
        <f t="shared" si="5"/>
        <v>0</v>
      </c>
      <c r="BC74" s="31">
        <f t="shared" si="5"/>
        <v>0</v>
      </c>
      <c r="BD74" s="31">
        <f t="shared" si="5"/>
        <v>0</v>
      </c>
      <c r="BY74" s="5" t="s">
        <v>10</v>
      </c>
      <c r="BZ74" s="323"/>
      <c r="CA74" s="325">
        <v>-98.37675642</v>
      </c>
    </row>
    <row r="75" spans="1:79" s="1" customFormat="1" ht="12.75">
      <c r="A75" s="4"/>
      <c r="B75" s="4"/>
      <c r="C75" s="18"/>
      <c r="D75" s="21"/>
      <c r="E75" s="2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BY75" s="328"/>
      <c r="BZ75" s="329"/>
      <c r="CA75" s="330"/>
    </row>
    <row r="76" spans="1:79" s="1" customFormat="1" ht="12.75">
      <c r="A76" s="4"/>
      <c r="B76" s="4"/>
      <c r="C76" s="18"/>
      <c r="D76" s="33">
        <f>SUM(D74,D60,D32,D5)</f>
        <v>4429.0134102</v>
      </c>
      <c r="E76" s="33">
        <f aca="true" t="shared" si="6" ref="E76:BP76">SUM(E74,E60,E32,E5)</f>
        <v>0</v>
      </c>
      <c r="F76" s="33">
        <f t="shared" si="6"/>
        <v>421</v>
      </c>
      <c r="G76" s="33">
        <f t="shared" si="6"/>
        <v>1271</v>
      </c>
      <c r="H76" s="33">
        <f t="shared" si="6"/>
        <v>1494</v>
      </c>
      <c r="I76" s="33">
        <f t="shared" si="6"/>
        <v>0</v>
      </c>
      <c r="J76" s="33">
        <f t="shared" si="6"/>
        <v>0</v>
      </c>
      <c r="K76" s="33">
        <f t="shared" si="6"/>
        <v>0</v>
      </c>
      <c r="L76" s="33">
        <f t="shared" si="6"/>
        <v>0</v>
      </c>
      <c r="M76" s="33">
        <f t="shared" si="6"/>
        <v>0</v>
      </c>
      <c r="N76" s="33">
        <f t="shared" si="6"/>
        <v>0</v>
      </c>
      <c r="O76" s="33">
        <f t="shared" si="6"/>
        <v>0</v>
      </c>
      <c r="P76" s="33">
        <f t="shared" si="6"/>
        <v>0</v>
      </c>
      <c r="Q76" s="33">
        <f t="shared" si="6"/>
        <v>0</v>
      </c>
      <c r="R76" s="33">
        <f t="shared" si="6"/>
        <v>0</v>
      </c>
      <c r="S76" s="33">
        <f t="shared" si="6"/>
        <v>0</v>
      </c>
      <c r="T76" s="33">
        <f t="shared" si="6"/>
        <v>0</v>
      </c>
      <c r="U76" s="33">
        <f t="shared" si="6"/>
        <v>0</v>
      </c>
      <c r="V76" s="33">
        <f t="shared" si="6"/>
        <v>0</v>
      </c>
      <c r="W76" s="33">
        <f t="shared" si="6"/>
        <v>0</v>
      </c>
      <c r="X76" s="33">
        <f t="shared" si="6"/>
        <v>0</v>
      </c>
      <c r="Y76" s="33">
        <f t="shared" si="6"/>
        <v>0</v>
      </c>
      <c r="Z76" s="33">
        <f t="shared" si="6"/>
        <v>0</v>
      </c>
      <c r="AA76" s="33">
        <f t="shared" si="6"/>
        <v>0</v>
      </c>
      <c r="AB76" s="33">
        <f t="shared" si="6"/>
        <v>0</v>
      </c>
      <c r="AC76" s="33">
        <f t="shared" si="6"/>
        <v>0</v>
      </c>
      <c r="AD76" s="33">
        <f t="shared" si="6"/>
        <v>0</v>
      </c>
      <c r="AE76" s="33">
        <f t="shared" si="6"/>
        <v>0</v>
      </c>
      <c r="AF76" s="33">
        <f t="shared" si="6"/>
        <v>0</v>
      </c>
      <c r="AG76" s="33">
        <f t="shared" si="6"/>
        <v>0</v>
      </c>
      <c r="AH76" s="33">
        <f t="shared" si="6"/>
        <v>0</v>
      </c>
      <c r="AI76" s="33">
        <f t="shared" si="6"/>
        <v>0</v>
      </c>
      <c r="AJ76" s="33">
        <f t="shared" si="6"/>
        <v>0</v>
      </c>
      <c r="AK76" s="33">
        <f t="shared" si="6"/>
        <v>0</v>
      </c>
      <c r="AL76" s="33">
        <f t="shared" si="6"/>
        <v>0</v>
      </c>
      <c r="AM76" s="33">
        <f t="shared" si="6"/>
        <v>0</v>
      </c>
      <c r="AN76" s="33">
        <f t="shared" si="6"/>
        <v>0</v>
      </c>
      <c r="AO76" s="33">
        <f t="shared" si="6"/>
        <v>0</v>
      </c>
      <c r="AP76" s="33">
        <f t="shared" si="6"/>
        <v>0</v>
      </c>
      <c r="AQ76" s="33">
        <f t="shared" si="6"/>
        <v>0</v>
      </c>
      <c r="AR76" s="33">
        <f t="shared" si="6"/>
        <v>0</v>
      </c>
      <c r="AS76" s="33">
        <f t="shared" si="6"/>
        <v>0</v>
      </c>
      <c r="AT76" s="33">
        <f t="shared" si="6"/>
        <v>0</v>
      </c>
      <c r="AU76" s="33">
        <f t="shared" si="6"/>
        <v>0</v>
      </c>
      <c r="AV76" s="33">
        <f t="shared" si="6"/>
        <v>0</v>
      </c>
      <c r="AW76" s="33">
        <f t="shared" si="6"/>
        <v>0</v>
      </c>
      <c r="AX76" s="33">
        <f t="shared" si="6"/>
        <v>0</v>
      </c>
      <c r="AY76" s="33">
        <f t="shared" si="6"/>
        <v>0</v>
      </c>
      <c r="AZ76" s="33">
        <f t="shared" si="6"/>
        <v>0</v>
      </c>
      <c r="BA76" s="33">
        <f t="shared" si="6"/>
        <v>0</v>
      </c>
      <c r="BB76" s="33">
        <f t="shared" si="6"/>
        <v>0</v>
      </c>
      <c r="BC76" s="33">
        <f t="shared" si="6"/>
        <v>0</v>
      </c>
      <c r="BD76" s="33">
        <f t="shared" si="6"/>
        <v>0</v>
      </c>
      <c r="BE76" s="33">
        <f t="shared" si="6"/>
        <v>0</v>
      </c>
      <c r="BF76" s="33">
        <f t="shared" si="6"/>
        <v>0</v>
      </c>
      <c r="BG76" s="33">
        <f t="shared" si="6"/>
        <v>0</v>
      </c>
      <c r="BH76" s="33">
        <f t="shared" si="6"/>
        <v>0</v>
      </c>
      <c r="BI76" s="33">
        <f t="shared" si="6"/>
        <v>0</v>
      </c>
      <c r="BJ76" s="33">
        <f t="shared" si="6"/>
        <v>0</v>
      </c>
      <c r="BK76" s="33">
        <f t="shared" si="6"/>
        <v>0</v>
      </c>
      <c r="BL76" s="33">
        <f t="shared" si="6"/>
        <v>0</v>
      </c>
      <c r="BM76" s="33">
        <f t="shared" si="6"/>
        <v>0</v>
      </c>
      <c r="BN76" s="33">
        <f t="shared" si="6"/>
        <v>0</v>
      </c>
      <c r="BO76" s="33">
        <f t="shared" si="6"/>
        <v>0</v>
      </c>
      <c r="BP76" s="33">
        <f t="shared" si="6"/>
        <v>0</v>
      </c>
      <c r="BQ76" s="33">
        <f aca="true" t="shared" si="7" ref="BQ76:CA76">SUM(BQ74,BQ60,BQ32,BQ5)</f>
        <v>0</v>
      </c>
      <c r="BR76" s="33">
        <f t="shared" si="7"/>
        <v>0</v>
      </c>
      <c r="BS76" s="33">
        <f t="shared" si="7"/>
        <v>0</v>
      </c>
      <c r="BT76" s="33">
        <f t="shared" si="7"/>
        <v>0</v>
      </c>
      <c r="BU76" s="33">
        <f t="shared" si="7"/>
        <v>0</v>
      </c>
      <c r="BV76" s="33">
        <f t="shared" si="7"/>
        <v>0</v>
      </c>
      <c r="BW76" s="33">
        <f t="shared" si="7"/>
        <v>0</v>
      </c>
      <c r="BX76" s="33">
        <f t="shared" si="7"/>
        <v>0</v>
      </c>
      <c r="BY76" s="33">
        <f t="shared" si="7"/>
        <v>0</v>
      </c>
      <c r="BZ76" s="33">
        <f t="shared" si="7"/>
        <v>0</v>
      </c>
      <c r="CA76" s="33">
        <f t="shared" si="7"/>
        <v>4423.0067268</v>
      </c>
    </row>
    <row r="77" spans="77:79" ht="12.75">
      <c r="BY77" s="1"/>
      <c r="BZ77" s="1"/>
      <c r="CA77" s="1"/>
    </row>
  </sheetData>
  <printOptions gridLines="1"/>
  <pageMargins left="0.75" right="0.75" top="0.17" bottom="0.17" header="0.17" footer="0.17"/>
  <pageSetup fitToHeight="1" fitToWidth="1" horizontalDpi="600" verticalDpi="600" orientation="portrait" scale="83"/>
  <headerFooter alignWithMargins="0">
    <oddFooter xml:space="preserve">&amp;R&amp;F    &amp;A    &amp;D   &amp;T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workbookViewId="0" topLeftCell="A1">
      <pane ySplit="900" topLeftCell="BM72" activePane="bottomLeft" state="split"/>
      <selection pane="topLeft" activeCell="C1" sqref="C1:E16384"/>
      <selection pane="bottomLeft" activeCell="B17" sqref="B17"/>
    </sheetView>
  </sheetViews>
  <sheetFormatPr defaultColWidth="9.140625" defaultRowHeight="12.75"/>
  <cols>
    <col min="1" max="1" width="16.421875" style="0" customWidth="1"/>
    <col min="2" max="2" width="49.00390625" style="0" customWidth="1"/>
    <col min="3" max="5" width="10.7109375" style="276" customWidth="1"/>
    <col min="6" max="6" width="11.00390625" style="290" customWidth="1"/>
    <col min="7" max="7" width="11.421875" style="8" customWidth="1"/>
    <col min="8" max="8" width="10.7109375" style="8" customWidth="1"/>
    <col min="9" max="9" width="11.7109375" style="0" customWidth="1"/>
    <col min="10" max="10" width="15.28125" style="0" customWidth="1"/>
    <col min="11" max="16384" width="8.8515625" style="0" customWidth="1"/>
  </cols>
  <sheetData>
    <row r="1" spans="1:9" s="350" customFormat="1" ht="15">
      <c r="A1" s="347" t="s">
        <v>14</v>
      </c>
      <c r="B1" s="347"/>
      <c r="C1" s="348"/>
      <c r="D1" s="348"/>
      <c r="E1" s="348"/>
      <c r="F1" s="349"/>
      <c r="G1" s="347"/>
      <c r="H1" s="347"/>
      <c r="I1" s="347"/>
    </row>
    <row r="2" spans="1:9" s="350" customFormat="1" ht="15">
      <c r="A2" s="347" t="s">
        <v>15</v>
      </c>
      <c r="B2" s="347"/>
      <c r="C2" s="348"/>
      <c r="D2" s="348"/>
      <c r="E2" s="348"/>
      <c r="F2" s="349"/>
      <c r="G2" s="347"/>
      <c r="H2" s="347"/>
      <c r="I2" s="347"/>
    </row>
    <row r="3" spans="1:9" ht="12.75">
      <c r="A3" s="344" t="s">
        <v>16</v>
      </c>
      <c r="B3" s="344"/>
      <c r="C3" s="345"/>
      <c r="D3" s="345"/>
      <c r="E3" s="345"/>
      <c r="F3" s="346"/>
      <c r="G3" s="344"/>
      <c r="H3" s="344"/>
      <c r="I3" s="344"/>
    </row>
    <row r="4" spans="1:9" s="25" customFormat="1" ht="32.25" customHeight="1">
      <c r="A4" s="24" t="s">
        <v>88</v>
      </c>
      <c r="B4" s="24" t="s">
        <v>322</v>
      </c>
      <c r="C4" s="273" t="s">
        <v>420</v>
      </c>
      <c r="D4" s="273" t="s">
        <v>421</v>
      </c>
      <c r="E4" s="273" t="s">
        <v>422</v>
      </c>
      <c r="F4" s="286" t="s">
        <v>423</v>
      </c>
      <c r="G4" s="259" t="s">
        <v>424</v>
      </c>
      <c r="H4" s="259" t="s">
        <v>0</v>
      </c>
      <c r="I4" s="25" t="s">
        <v>103</v>
      </c>
    </row>
    <row r="5" spans="1:9" s="1" customFormat="1" ht="12.75">
      <c r="A5" s="263" t="s">
        <v>268</v>
      </c>
      <c r="B5" s="264" t="s">
        <v>225</v>
      </c>
      <c r="C5" s="274">
        <f>SUM('BCWS by JOB'!E2)</f>
        <v>228</v>
      </c>
      <c r="D5" s="274">
        <f>SUM('BCWP by JOB'!D2)</f>
        <v>229.11650780999997</v>
      </c>
      <c r="E5" s="274">
        <f>SUM('ACWP by JOB'!D2)</f>
        <v>212.27881020884152</v>
      </c>
      <c r="F5" s="287">
        <f>+D5/C5</f>
        <v>1.0048969640789474</v>
      </c>
      <c r="G5" s="265">
        <f>+D5/E5</f>
        <v>1.0793187863856661</v>
      </c>
      <c r="H5" s="265">
        <f>+D5-C5</f>
        <v>1.1165078099999732</v>
      </c>
      <c r="I5" s="266">
        <f>+D5-E5</f>
        <v>16.837697601158453</v>
      </c>
    </row>
    <row r="6" spans="1:9" s="26" customFormat="1" ht="12.75">
      <c r="A6" s="267"/>
      <c r="B6" s="332" t="s">
        <v>226</v>
      </c>
      <c r="C6" s="11">
        <f>SUM('BCWS by JOB'!E3)</f>
        <v>50</v>
      </c>
      <c r="D6" s="11">
        <f>SUM('BCWP by JOB'!D3)</f>
        <v>49.60482</v>
      </c>
      <c r="E6" s="11">
        <f>SUM('ACWP by JOB'!D3)</f>
        <v>91.512</v>
      </c>
      <c r="F6" s="289">
        <f>+D6/C6</f>
        <v>0.9920963999999999</v>
      </c>
      <c r="G6" s="333">
        <f>+D6/E6</f>
        <v>0.5420580907421977</v>
      </c>
      <c r="H6" s="298">
        <f>+D6-C6</f>
        <v>-0.3951800000000034</v>
      </c>
      <c r="I6" s="334">
        <f>+D6-E6</f>
        <v>-41.907180000000004</v>
      </c>
    </row>
    <row r="7" spans="1:9" s="28" customFormat="1" ht="15">
      <c r="A7" s="269"/>
      <c r="B7" s="27" t="s">
        <v>227</v>
      </c>
      <c r="C7" s="318">
        <f>SUM('BCWS by JOB'!E4)</f>
        <v>119</v>
      </c>
      <c r="D7" s="318">
        <f>SUM('BCWP by JOB'!D4)</f>
        <v>118.25757890000001</v>
      </c>
      <c r="E7" s="318">
        <f>SUM('ACWP by JOB'!D4)</f>
        <v>113.1007786597061</v>
      </c>
      <c r="F7" s="319">
        <f>+D7/C7</f>
        <v>0.9937611672268909</v>
      </c>
      <c r="G7" s="320">
        <f>+D7/E7</f>
        <v>1.0455947368480063</v>
      </c>
      <c r="H7" s="321">
        <f>+D7-C7</f>
        <v>-0.7424210999999872</v>
      </c>
      <c r="I7" s="322">
        <f>+D7-E7</f>
        <v>5.156800240293919</v>
      </c>
    </row>
    <row r="8" spans="1:9" s="309" customFormat="1" ht="15.75">
      <c r="A8" s="302"/>
      <c r="B8" s="303"/>
      <c r="C8" s="304">
        <f>SUM('BCWS by JOB'!E5)</f>
        <v>397</v>
      </c>
      <c r="D8" s="304">
        <f>SUM(D5:D7)</f>
        <v>396.97890671</v>
      </c>
      <c r="E8" s="304">
        <f>SUM('ACWP by JOB'!D5)</f>
        <v>416.8915888685476</v>
      </c>
      <c r="F8" s="305">
        <f>+D8/C8</f>
        <v>0.9999468682871536</v>
      </c>
      <c r="G8" s="306">
        <f>+D8/E8</f>
        <v>0.9522353468138058</v>
      </c>
      <c r="H8" s="307">
        <f>+D8-C8</f>
        <v>-0.021093290000010256</v>
      </c>
      <c r="I8" s="308">
        <f>+D8-E8</f>
        <v>-19.912682158547625</v>
      </c>
    </row>
    <row r="9" spans="1:9" s="1" customFormat="1" ht="12.75">
      <c r="A9" s="4"/>
      <c r="B9" s="4"/>
      <c r="C9" s="11"/>
      <c r="D9" s="11"/>
      <c r="E9" s="11"/>
      <c r="F9" s="289"/>
      <c r="G9" s="260"/>
      <c r="H9" s="298"/>
      <c r="I9" s="261">
        <f>+'BCWP by JOB'!D6-'ACWP by JOB'!D6</f>
        <v>0</v>
      </c>
    </row>
    <row r="10" spans="1:9" s="1" customFormat="1" ht="12.75">
      <c r="A10" s="263" t="s">
        <v>269</v>
      </c>
      <c r="B10" s="264" t="s">
        <v>298</v>
      </c>
      <c r="C10" s="274">
        <f>SUM('BCWS by JOB'!E7)</f>
        <v>46</v>
      </c>
      <c r="D10" s="274">
        <f>SUM('BCWP by JOB'!D7)</f>
        <v>68.489386</v>
      </c>
      <c r="E10" s="274">
        <f>SUM('ACWP by JOB'!D7)</f>
        <v>39.62390615972352</v>
      </c>
      <c r="F10" s="287">
        <f aca="true" t="shared" si="0" ref="F10:F35">+D10/C10</f>
        <v>1.4888996956521738</v>
      </c>
      <c r="G10" s="265">
        <f aca="true" t="shared" si="1" ref="F10:G35">+D10/E10</f>
        <v>1.7284864779338023</v>
      </c>
      <c r="H10" s="299">
        <f aca="true" t="shared" si="2" ref="H10:H35">+D10-C10</f>
        <v>22.489385999999996</v>
      </c>
      <c r="I10" s="266">
        <f aca="true" t="shared" si="3" ref="I10:I35">+D10-E10</f>
        <v>28.86547984027648</v>
      </c>
    </row>
    <row r="11" spans="1:9" s="1" customFormat="1" ht="12.75">
      <c r="A11" s="267"/>
      <c r="B11" s="4" t="s">
        <v>189</v>
      </c>
      <c r="C11" s="11">
        <f>SUM('BCWS by JOB'!E8)</f>
        <v>-252</v>
      </c>
      <c r="D11" s="11">
        <f>SUM('BCWP by JOB'!D8)</f>
        <v>-251.69472</v>
      </c>
      <c r="E11" s="11">
        <f>SUM('ACWP by JOB'!D8)</f>
        <v>-254.43729999848765</v>
      </c>
      <c r="F11" s="289">
        <f t="shared" si="0"/>
        <v>0.9987885714285714</v>
      </c>
      <c r="G11" s="260">
        <f t="shared" si="1"/>
        <v>0.9892209986566279</v>
      </c>
      <c r="H11" s="298">
        <f t="shared" si="2"/>
        <v>0.30528000000001043</v>
      </c>
      <c r="I11" s="268">
        <f t="shared" si="3"/>
        <v>2.742579998487656</v>
      </c>
    </row>
    <row r="12" spans="1:9" s="1" customFormat="1" ht="12.75">
      <c r="A12" s="267"/>
      <c r="B12" s="4" t="s">
        <v>190</v>
      </c>
      <c r="C12" s="11">
        <f>SUM('BCWS by JOB'!E9)</f>
        <v>148</v>
      </c>
      <c r="D12" s="11">
        <f>SUM('BCWP by JOB'!D9)</f>
        <v>156.42675557000004</v>
      </c>
      <c r="E12" s="11">
        <f>SUM('ACWP by JOB'!D9)</f>
        <v>88.15339687830605</v>
      </c>
      <c r="F12" s="289">
        <f t="shared" si="0"/>
        <v>1.0569375376351353</v>
      </c>
      <c r="G12" s="260">
        <f t="shared" si="1"/>
        <v>1.7744835832695585</v>
      </c>
      <c r="H12" s="298">
        <f t="shared" si="2"/>
        <v>8.42675557000004</v>
      </c>
      <c r="I12" s="268">
        <f t="shared" si="3"/>
        <v>68.27335869169399</v>
      </c>
    </row>
    <row r="13" spans="1:9" s="1" customFormat="1" ht="12.75">
      <c r="A13" s="267"/>
      <c r="B13" s="336" t="s">
        <v>193</v>
      </c>
      <c r="C13" s="11">
        <f>SUM('BCWS by JOB'!E10)</f>
        <v>336</v>
      </c>
      <c r="D13" s="11">
        <f>SUM('BCWP by JOB'!D10)</f>
        <v>256.89707999999996</v>
      </c>
      <c r="E13" s="11">
        <f>SUM('ACWP by JOB'!D10)</f>
        <v>191.32289</v>
      </c>
      <c r="F13" s="337">
        <f t="shared" si="0"/>
        <v>0.7645746428571427</v>
      </c>
      <c r="G13" s="260">
        <f t="shared" si="1"/>
        <v>1.3427409548329525</v>
      </c>
      <c r="H13" s="338">
        <f t="shared" si="2"/>
        <v>-79.10292000000004</v>
      </c>
      <c r="I13" s="268">
        <f t="shared" si="3"/>
        <v>65.57418999999996</v>
      </c>
    </row>
    <row r="14" spans="1:9" s="1" customFormat="1" ht="12.75">
      <c r="A14" s="267"/>
      <c r="B14" s="4" t="s">
        <v>191</v>
      </c>
      <c r="C14" s="11">
        <f>SUM('BCWS by JOB'!E11)</f>
        <v>821</v>
      </c>
      <c r="D14" s="11">
        <f>SUM('BCWP by JOB'!D11)</f>
        <v>946.2219701200002</v>
      </c>
      <c r="E14" s="11">
        <f>SUM('ACWP by JOB'!D11)</f>
        <v>900.0866936321461</v>
      </c>
      <c r="F14" s="289">
        <f t="shared" si="0"/>
        <v>1.152523715127893</v>
      </c>
      <c r="G14" s="260">
        <f t="shared" si="1"/>
        <v>1.0512564809748304</v>
      </c>
      <c r="H14" s="298">
        <f t="shared" si="2"/>
        <v>125.22197012000015</v>
      </c>
      <c r="I14" s="268">
        <f t="shared" si="3"/>
        <v>46.13527648785407</v>
      </c>
    </row>
    <row r="15" spans="1:9" s="1" customFormat="1" ht="12.75">
      <c r="A15" s="267"/>
      <c r="B15" s="332" t="s">
        <v>192</v>
      </c>
      <c r="C15" s="11">
        <f>SUM('BCWS by JOB'!E12)</f>
        <v>43</v>
      </c>
      <c r="D15" s="11">
        <f>SUM('BCWP by JOB'!D12)</f>
        <v>44.163189</v>
      </c>
      <c r="E15" s="11">
        <f>SUM('ACWP by JOB'!D12)</f>
        <v>213.9909940026223</v>
      </c>
      <c r="F15" s="289">
        <f t="shared" si="0"/>
        <v>1.0270509069767442</v>
      </c>
      <c r="G15" s="333">
        <f t="shared" si="1"/>
        <v>0.20637872731905163</v>
      </c>
      <c r="H15" s="298">
        <f t="shared" si="2"/>
        <v>1.1631890000000027</v>
      </c>
      <c r="I15" s="334">
        <f t="shared" si="3"/>
        <v>-169.8278050026223</v>
      </c>
    </row>
    <row r="16" spans="1:12" s="1" customFormat="1" ht="12.75">
      <c r="A16" s="267"/>
      <c r="B16" s="332" t="s">
        <v>195</v>
      </c>
      <c r="C16" s="11">
        <f>SUM('BCWS by JOB'!E13)</f>
        <v>210</v>
      </c>
      <c r="D16" s="11">
        <f>SUM('BCWP by JOB'!D13)</f>
        <v>210.11074851999996</v>
      </c>
      <c r="E16" s="11">
        <f>SUM('ACWP by JOB'!D13)</f>
        <v>284.5956887352712</v>
      </c>
      <c r="F16" s="289">
        <f t="shared" si="0"/>
        <v>1.0005273739047618</v>
      </c>
      <c r="G16" s="333">
        <f t="shared" si="1"/>
        <v>0.7382780443854278</v>
      </c>
      <c r="H16" s="298">
        <f t="shared" si="2"/>
        <v>0.11074851999995872</v>
      </c>
      <c r="I16" s="334">
        <f t="shared" si="3"/>
        <v>-74.48494021527125</v>
      </c>
      <c r="J16" s="17"/>
      <c r="K16" s="17"/>
      <c r="L16" s="335"/>
    </row>
    <row r="17" spans="1:9" s="1" customFormat="1" ht="12.75">
      <c r="A17" s="267"/>
      <c r="B17" s="332" t="s">
        <v>194</v>
      </c>
      <c r="C17" s="11">
        <f>SUM('BCWS by JOB'!E14)</f>
        <v>107</v>
      </c>
      <c r="D17" s="11">
        <f>SUM('BCWP by JOB'!D14)</f>
        <v>64.08825599999999</v>
      </c>
      <c r="E17" s="11">
        <f>SUM('ACWP by JOB'!D14)</f>
        <v>128.12587303558024</v>
      </c>
      <c r="F17" s="337">
        <f t="shared" si="0"/>
        <v>0.5989556635514017</v>
      </c>
      <c r="G17" s="333">
        <f t="shared" si="1"/>
        <v>0.5001976141243762</v>
      </c>
      <c r="H17" s="338">
        <f t="shared" si="2"/>
        <v>-42.91174400000001</v>
      </c>
      <c r="I17" s="334">
        <f t="shared" si="3"/>
        <v>-64.03761703558025</v>
      </c>
    </row>
    <row r="18" spans="1:9" s="1" customFormat="1" ht="12.75">
      <c r="A18" s="267"/>
      <c r="B18" s="336" t="s">
        <v>196</v>
      </c>
      <c r="C18" s="11">
        <f>SUM('BCWS by JOB'!E15)</f>
        <v>996</v>
      </c>
      <c r="D18" s="11">
        <f>SUM('BCWP by JOB'!D15)</f>
        <v>854.5431206200002</v>
      </c>
      <c r="E18" s="11">
        <f>SUM('ACWP by JOB'!D15)</f>
        <v>566.7310967437824</v>
      </c>
      <c r="F18" s="337">
        <f t="shared" si="0"/>
        <v>0.8579750207028114</v>
      </c>
      <c r="G18" s="260">
        <f t="shared" si="1"/>
        <v>1.5078458294063524</v>
      </c>
      <c r="H18" s="338">
        <f t="shared" si="2"/>
        <v>-141.4568793799998</v>
      </c>
      <c r="I18" s="268">
        <f t="shared" si="3"/>
        <v>287.81202387621784</v>
      </c>
    </row>
    <row r="19" spans="1:9" s="1" customFormat="1" ht="12.75">
      <c r="A19" s="267"/>
      <c r="B19" s="4" t="s">
        <v>197</v>
      </c>
      <c r="C19" s="11">
        <f>SUM('BCWS by JOB'!E16)</f>
        <v>0</v>
      </c>
      <c r="D19" s="11">
        <f>SUM('BCWP by JOB'!D16)</f>
        <v>0</v>
      </c>
      <c r="E19" s="11">
        <f>SUM('ACWP by JOB'!D16)</f>
        <v>0</v>
      </c>
      <c r="F19" s="260" t="e">
        <f t="shared" si="1"/>
        <v>#DIV/0!</v>
      </c>
      <c r="G19" s="260" t="e">
        <f t="shared" si="1"/>
        <v>#DIV/0!</v>
      </c>
      <c r="H19" s="298">
        <f t="shared" si="2"/>
        <v>0</v>
      </c>
      <c r="I19" s="268">
        <f t="shared" si="3"/>
        <v>0</v>
      </c>
    </row>
    <row r="20" spans="1:9" s="1" customFormat="1" ht="12.75">
      <c r="A20" s="267"/>
      <c r="B20" s="4" t="s">
        <v>198</v>
      </c>
      <c r="C20" s="11">
        <f>SUM('BCWS by JOB'!E17)</f>
        <v>0</v>
      </c>
      <c r="D20" s="11">
        <f>SUM('BCWP by JOB'!D17)</f>
        <v>0</v>
      </c>
      <c r="E20" s="11">
        <f>SUM('ACWP by JOB'!D17)</f>
        <v>0</v>
      </c>
      <c r="F20" s="260" t="e">
        <f t="shared" si="1"/>
        <v>#DIV/0!</v>
      </c>
      <c r="G20" s="260" t="e">
        <f t="shared" si="1"/>
        <v>#DIV/0!</v>
      </c>
      <c r="H20" s="298">
        <f t="shared" si="2"/>
        <v>0</v>
      </c>
      <c r="I20" s="268">
        <f t="shared" si="3"/>
        <v>0</v>
      </c>
    </row>
    <row r="21" spans="1:9" s="1" customFormat="1" ht="12.75">
      <c r="A21" s="267"/>
      <c r="B21" s="4" t="s">
        <v>199</v>
      </c>
      <c r="C21" s="11">
        <f>SUM('BCWS by JOB'!E18)</f>
        <v>0</v>
      </c>
      <c r="D21" s="11">
        <f>SUM('BCWP by JOB'!D18)</f>
        <v>0</v>
      </c>
      <c r="E21" s="11">
        <f>SUM('ACWP by JOB'!D18)</f>
        <v>0</v>
      </c>
      <c r="F21" s="260" t="e">
        <f t="shared" si="1"/>
        <v>#DIV/0!</v>
      </c>
      <c r="G21" s="260" t="e">
        <f t="shared" si="1"/>
        <v>#DIV/0!</v>
      </c>
      <c r="H21" s="298">
        <f t="shared" si="2"/>
        <v>0</v>
      </c>
      <c r="I21" s="268">
        <f t="shared" si="3"/>
        <v>0</v>
      </c>
    </row>
    <row r="22" spans="1:9" s="1" customFormat="1" ht="12.75">
      <c r="A22" s="267"/>
      <c r="B22" s="4" t="s">
        <v>200</v>
      </c>
      <c r="C22" s="11">
        <f>SUM('BCWS by JOB'!E19)</f>
        <v>145</v>
      </c>
      <c r="D22" s="11">
        <f>SUM('BCWP by JOB'!D19)</f>
        <v>138.94</v>
      </c>
      <c r="E22" s="11">
        <f>SUM('ACWP by JOB'!D19)</f>
        <v>111.71262038441245</v>
      </c>
      <c r="F22" s="289">
        <f t="shared" si="0"/>
        <v>0.9582068965517241</v>
      </c>
      <c r="G22" s="260">
        <f t="shared" si="1"/>
        <v>1.2437269801916369</v>
      </c>
      <c r="H22" s="298">
        <f t="shared" si="2"/>
        <v>-6.060000000000002</v>
      </c>
      <c r="I22" s="268">
        <f t="shared" si="3"/>
        <v>27.22737961558755</v>
      </c>
    </row>
    <row r="23" spans="1:9" s="1" customFormat="1" ht="12.75">
      <c r="A23" s="267"/>
      <c r="B23" s="4" t="s">
        <v>201</v>
      </c>
      <c r="C23" s="11">
        <f>SUM('BCWS by JOB'!E20)</f>
        <v>0</v>
      </c>
      <c r="D23" s="11">
        <f>SUM('BCWP by JOB'!D20)</f>
        <v>0</v>
      </c>
      <c r="E23" s="11">
        <f>SUM('ACWP by JOB'!D20)</f>
        <v>0</v>
      </c>
      <c r="F23" s="289" t="e">
        <f t="shared" si="0"/>
        <v>#DIV/0!</v>
      </c>
      <c r="G23" s="260" t="e">
        <f t="shared" si="1"/>
        <v>#DIV/0!</v>
      </c>
      <c r="H23" s="298">
        <f t="shared" si="2"/>
        <v>0</v>
      </c>
      <c r="I23" s="268">
        <f t="shared" si="3"/>
        <v>0</v>
      </c>
    </row>
    <row r="24" spans="1:9" s="1" customFormat="1" ht="12.75">
      <c r="A24" s="267"/>
      <c r="B24" s="4" t="s">
        <v>202</v>
      </c>
      <c r="C24" s="11">
        <f>SUM('BCWS by JOB'!E21)</f>
        <v>0</v>
      </c>
      <c r="D24" s="11">
        <f>SUM('BCWP by JOB'!D21)</f>
        <v>0</v>
      </c>
      <c r="E24" s="11">
        <f>SUM('ACWP by JOB'!D21)</f>
        <v>0</v>
      </c>
      <c r="F24" s="289" t="e">
        <f t="shared" si="0"/>
        <v>#DIV/0!</v>
      </c>
      <c r="G24" s="260" t="e">
        <f t="shared" si="1"/>
        <v>#DIV/0!</v>
      </c>
      <c r="H24" s="298">
        <f t="shared" si="2"/>
        <v>0</v>
      </c>
      <c r="I24" s="268">
        <f t="shared" si="3"/>
        <v>0</v>
      </c>
    </row>
    <row r="25" spans="1:9" s="1" customFormat="1" ht="12.75">
      <c r="A25" s="267"/>
      <c r="B25" s="4" t="s">
        <v>203</v>
      </c>
      <c r="C25" s="11">
        <f>SUM('BCWS by JOB'!E22)</f>
        <v>8</v>
      </c>
      <c r="D25" s="11">
        <f>SUM('BCWP by JOB'!D22)</f>
        <v>9.32610024</v>
      </c>
      <c r="E25" s="11">
        <f>SUM('ACWP by JOB'!D22)</f>
        <v>17.660213958750642</v>
      </c>
      <c r="F25" s="289">
        <f t="shared" si="0"/>
        <v>1.16576253</v>
      </c>
      <c r="G25" s="260">
        <f t="shared" si="1"/>
        <v>0.5280853483306138</v>
      </c>
      <c r="H25" s="298">
        <f t="shared" si="2"/>
        <v>1.3261002400000006</v>
      </c>
      <c r="I25" s="268">
        <f t="shared" si="3"/>
        <v>-8.334113718750642</v>
      </c>
    </row>
    <row r="26" spans="1:9" s="1" customFormat="1" ht="12.75">
      <c r="A26" s="267"/>
      <c r="B26" s="4" t="s">
        <v>204</v>
      </c>
      <c r="C26" s="11">
        <f>SUM('BCWS by JOB'!E23)</f>
        <v>0</v>
      </c>
      <c r="D26" s="11">
        <f>SUM('BCWP by JOB'!D23)</f>
        <v>0</v>
      </c>
      <c r="E26" s="11">
        <f>SUM('ACWP by JOB'!D23)</f>
        <v>0</v>
      </c>
      <c r="F26" s="289" t="e">
        <f t="shared" si="0"/>
        <v>#DIV/0!</v>
      </c>
      <c r="G26" s="260" t="e">
        <f t="shared" si="1"/>
        <v>#DIV/0!</v>
      </c>
      <c r="H26" s="298">
        <f t="shared" si="2"/>
        <v>0</v>
      </c>
      <c r="I26" s="268">
        <f t="shared" si="3"/>
        <v>0</v>
      </c>
    </row>
    <row r="27" spans="1:9" s="1" customFormat="1" ht="12.75">
      <c r="A27" s="267"/>
      <c r="B27" s="4" t="s">
        <v>205</v>
      </c>
      <c r="C27" s="11">
        <f>SUM('BCWS by JOB'!E24)</f>
        <v>0</v>
      </c>
      <c r="D27" s="11">
        <f>SUM('BCWP by JOB'!D24)</f>
        <v>0</v>
      </c>
      <c r="E27" s="11">
        <f>SUM('ACWP by JOB'!D24)</f>
        <v>0</v>
      </c>
      <c r="F27" s="289" t="e">
        <f t="shared" si="0"/>
        <v>#DIV/0!</v>
      </c>
      <c r="G27" s="260" t="e">
        <f t="shared" si="1"/>
        <v>#DIV/0!</v>
      </c>
      <c r="H27" s="298">
        <f t="shared" si="2"/>
        <v>0</v>
      </c>
      <c r="I27" s="268">
        <f t="shared" si="3"/>
        <v>0</v>
      </c>
    </row>
    <row r="28" spans="1:9" s="1" customFormat="1" ht="12.75">
      <c r="A28" s="267"/>
      <c r="B28" s="4" t="s">
        <v>206</v>
      </c>
      <c r="C28" s="11">
        <f>SUM('BCWS by JOB'!E25)</f>
        <v>0</v>
      </c>
      <c r="D28" s="11">
        <f>SUM('BCWP by JOB'!D25)</f>
        <v>0</v>
      </c>
      <c r="E28" s="11">
        <f>SUM('ACWP by JOB'!D25)</f>
        <v>0</v>
      </c>
      <c r="F28" s="289" t="e">
        <f t="shared" si="0"/>
        <v>#DIV/0!</v>
      </c>
      <c r="G28" s="260" t="e">
        <f t="shared" si="1"/>
        <v>#DIV/0!</v>
      </c>
      <c r="H28" s="298">
        <f t="shared" si="2"/>
        <v>0</v>
      </c>
      <c r="I28" s="268">
        <f t="shared" si="3"/>
        <v>0</v>
      </c>
    </row>
    <row r="29" spans="1:9" s="1" customFormat="1" ht="12.75">
      <c r="A29" s="267"/>
      <c r="B29" s="4" t="s">
        <v>207</v>
      </c>
      <c r="C29" s="11">
        <f>SUM('BCWS by JOB'!E26)</f>
        <v>0</v>
      </c>
      <c r="D29" s="11">
        <f>SUM('BCWP by JOB'!D26)</f>
        <v>0</v>
      </c>
      <c r="E29" s="11">
        <f>SUM('ACWP by JOB'!D26)</f>
        <v>0</v>
      </c>
      <c r="F29" s="289" t="e">
        <f t="shared" si="0"/>
        <v>#DIV/0!</v>
      </c>
      <c r="G29" s="260" t="e">
        <f t="shared" si="1"/>
        <v>#DIV/0!</v>
      </c>
      <c r="H29" s="298">
        <f t="shared" si="2"/>
        <v>0</v>
      </c>
      <c r="I29" s="268">
        <f t="shared" si="3"/>
        <v>0</v>
      </c>
    </row>
    <row r="30" spans="1:9" s="1" customFormat="1" ht="12.75">
      <c r="A30" s="267"/>
      <c r="B30" s="4" t="s">
        <v>208</v>
      </c>
      <c r="C30" s="11">
        <f>SUM('BCWS by JOB'!E27)</f>
        <v>0</v>
      </c>
      <c r="D30" s="11">
        <f>SUM('BCWP by JOB'!D27)</f>
        <v>2.5532820000000003</v>
      </c>
      <c r="E30" s="11">
        <f>SUM('ACWP by JOB'!D27)</f>
        <v>0</v>
      </c>
      <c r="F30" s="289" t="e">
        <f t="shared" si="0"/>
        <v>#DIV/0!</v>
      </c>
      <c r="G30" s="260" t="e">
        <f t="shared" si="1"/>
        <v>#DIV/0!</v>
      </c>
      <c r="H30" s="298">
        <f t="shared" si="2"/>
        <v>2.5532820000000003</v>
      </c>
      <c r="I30" s="268">
        <f t="shared" si="3"/>
        <v>2.5532820000000003</v>
      </c>
    </row>
    <row r="31" spans="1:9" s="1" customFormat="1" ht="12.75">
      <c r="A31" s="267"/>
      <c r="B31" s="4" t="s">
        <v>209</v>
      </c>
      <c r="C31" s="11">
        <f>SUM('BCWS by JOB'!E28)</f>
        <v>-308</v>
      </c>
      <c r="D31" s="11">
        <f>SUM('BCWP by JOB'!D28)</f>
        <v>-308.3</v>
      </c>
      <c r="E31" s="11">
        <f>SUM('ACWP by JOB'!D28)</f>
        <v>-282.5722542977656</v>
      </c>
      <c r="F31" s="289">
        <f t="shared" si="0"/>
        <v>1.000974025974026</v>
      </c>
      <c r="G31" s="260">
        <f t="shared" si="1"/>
        <v>1.0910483789930887</v>
      </c>
      <c r="H31" s="298">
        <f t="shared" si="2"/>
        <v>-0.30000000000001137</v>
      </c>
      <c r="I31" s="268">
        <f t="shared" si="3"/>
        <v>-25.727745702234415</v>
      </c>
    </row>
    <row r="32" spans="1:9" s="1" customFormat="1" ht="12.75">
      <c r="A32" s="267"/>
      <c r="B32" s="4" t="s">
        <v>210</v>
      </c>
      <c r="C32" s="11">
        <f>SUM('BCWS by JOB'!E29)</f>
        <v>0</v>
      </c>
      <c r="D32" s="11">
        <f>SUM('BCWP by JOB'!D29)</f>
        <v>0</v>
      </c>
      <c r="E32" s="11">
        <f>SUM('ACWP by JOB'!D29)</f>
        <v>0</v>
      </c>
      <c r="F32" s="289" t="e">
        <f t="shared" si="0"/>
        <v>#DIV/0!</v>
      </c>
      <c r="G32" s="260" t="e">
        <f t="shared" si="1"/>
        <v>#DIV/0!</v>
      </c>
      <c r="H32" s="298">
        <f t="shared" si="2"/>
        <v>0</v>
      </c>
      <c r="I32" s="268">
        <f t="shared" si="3"/>
        <v>0</v>
      </c>
    </row>
    <row r="33" spans="1:9" s="1" customFormat="1" ht="12.75">
      <c r="A33" s="267"/>
      <c r="B33" s="4" t="s">
        <v>211</v>
      </c>
      <c r="C33" s="11">
        <f>SUM('BCWS by JOB'!E30)</f>
        <v>0</v>
      </c>
      <c r="D33" s="11">
        <f>SUM('BCWP by JOB'!D30)</f>
        <v>0</v>
      </c>
      <c r="E33" s="11">
        <f>SUM('ACWP by JOB'!D30)</f>
        <v>0</v>
      </c>
      <c r="F33" s="289" t="e">
        <f t="shared" si="0"/>
        <v>#DIV/0!</v>
      </c>
      <c r="G33" s="260" t="e">
        <f t="shared" si="1"/>
        <v>#DIV/0!</v>
      </c>
      <c r="H33" s="298">
        <f t="shared" si="2"/>
        <v>0</v>
      </c>
      <c r="I33" s="268">
        <f t="shared" si="3"/>
        <v>0</v>
      </c>
    </row>
    <row r="34" spans="1:9" s="28" customFormat="1" ht="15">
      <c r="A34" s="269"/>
      <c r="B34" s="27" t="s">
        <v>212</v>
      </c>
      <c r="C34" s="318">
        <f>SUM('BCWS by JOB'!E31)</f>
        <v>0</v>
      </c>
      <c r="D34" s="318">
        <f>SUM('BCWP by JOB'!D31)</f>
        <v>0</v>
      </c>
      <c r="E34" s="318">
        <f>SUM('ACWP by JOB'!D31)</f>
        <v>0</v>
      </c>
      <c r="F34" s="319" t="e">
        <f t="shared" si="0"/>
        <v>#DIV/0!</v>
      </c>
      <c r="G34" s="320" t="e">
        <f t="shared" si="1"/>
        <v>#DIV/0!</v>
      </c>
      <c r="H34" s="321">
        <f t="shared" si="2"/>
        <v>0</v>
      </c>
      <c r="I34" s="322">
        <f t="shared" si="3"/>
        <v>0</v>
      </c>
    </row>
    <row r="35" spans="1:10" s="309" customFormat="1" ht="15.75">
      <c r="A35" s="302"/>
      <c r="B35" s="303"/>
      <c r="C35" s="310">
        <f>SUM('BCWS by JOB'!E32)</f>
        <v>2300</v>
      </c>
      <c r="D35" s="310">
        <f>SUM(D10:D34)</f>
        <v>2191.76516807</v>
      </c>
      <c r="E35" s="304">
        <f>SUM('ACWP by JOB'!D32)</f>
        <v>2004.993819234342</v>
      </c>
      <c r="F35" s="305">
        <f t="shared" si="0"/>
        <v>0.9529413774217391</v>
      </c>
      <c r="G35" s="306">
        <f t="shared" si="1"/>
        <v>1.0931530795975128</v>
      </c>
      <c r="H35" s="307">
        <f t="shared" si="2"/>
        <v>-108.23483192999993</v>
      </c>
      <c r="I35" s="308">
        <f t="shared" si="3"/>
        <v>186.77134883565805</v>
      </c>
      <c r="J35" s="311"/>
    </row>
    <row r="36" spans="1:9" s="1" customFormat="1" ht="12.75">
      <c r="A36" s="4"/>
      <c r="B36" s="4"/>
      <c r="C36" s="11"/>
      <c r="D36" s="11"/>
      <c r="E36" s="11"/>
      <c r="F36" s="289"/>
      <c r="G36" s="260"/>
      <c r="H36" s="298"/>
      <c r="I36" s="261">
        <f>+'BCWP by JOB'!D33-'ACWP by JOB'!D33</f>
        <v>0</v>
      </c>
    </row>
    <row r="37" spans="1:9" s="1" customFormat="1" ht="12.75">
      <c r="A37" s="263" t="s">
        <v>270</v>
      </c>
      <c r="B37" s="264" t="s">
        <v>273</v>
      </c>
      <c r="C37" s="274">
        <f>SUM('BCWS by JOB'!E34)</f>
        <v>14</v>
      </c>
      <c r="D37" s="274">
        <f>SUM('BCWP by JOB'!D34)</f>
        <v>47.332460999999995</v>
      </c>
      <c r="E37" s="274">
        <f>SUM('ACWP by JOB'!D34)</f>
        <v>13.784003202384923</v>
      </c>
      <c r="F37" s="287">
        <f aca="true" t="shared" si="4" ref="F37:F62">+D37/C37</f>
        <v>3.380890071428571</v>
      </c>
      <c r="G37" s="265">
        <f aca="true" t="shared" si="5" ref="G37:G62">+D37/E37</f>
        <v>3.433868978774648</v>
      </c>
      <c r="H37" s="299">
        <f aca="true" t="shared" si="6" ref="H37:H63">+D37-C37</f>
        <v>33.332460999999995</v>
      </c>
      <c r="I37" s="266">
        <f aca="true" t="shared" si="7" ref="I37:I62">+D37-E37</f>
        <v>33.54845779761507</v>
      </c>
    </row>
    <row r="38" spans="1:9" s="1" customFormat="1" ht="12.75">
      <c r="A38" s="267"/>
      <c r="B38" s="4" t="s">
        <v>274</v>
      </c>
      <c r="C38" s="11">
        <f>SUM('BCWS by JOB'!E35)</f>
        <v>0</v>
      </c>
      <c r="D38" s="11">
        <f>SUM('BCWP by JOB'!D35)</f>
        <v>0</v>
      </c>
      <c r="E38" s="11">
        <f>SUM('ACWP by JOB'!D35)</f>
        <v>0</v>
      </c>
      <c r="F38" s="289" t="e">
        <f t="shared" si="4"/>
        <v>#DIV/0!</v>
      </c>
      <c r="G38" s="260" t="e">
        <f t="shared" si="5"/>
        <v>#DIV/0!</v>
      </c>
      <c r="H38" s="298">
        <f t="shared" si="6"/>
        <v>0</v>
      </c>
      <c r="I38" s="268">
        <f t="shared" si="7"/>
        <v>0</v>
      </c>
    </row>
    <row r="39" spans="1:9" s="1" customFormat="1" ht="12.75">
      <c r="A39" s="267"/>
      <c r="B39" s="4" t="s">
        <v>275</v>
      </c>
      <c r="C39" s="11">
        <f>SUM('BCWS by JOB'!E36)</f>
        <v>0</v>
      </c>
      <c r="D39" s="11">
        <f>SUM('BCWP by JOB'!D36)</f>
        <v>0</v>
      </c>
      <c r="E39" s="11">
        <f>SUM('ACWP by JOB'!D36)</f>
        <v>0</v>
      </c>
      <c r="F39" s="289" t="e">
        <f t="shared" si="4"/>
        <v>#DIV/0!</v>
      </c>
      <c r="G39" s="260" t="e">
        <f t="shared" si="5"/>
        <v>#DIV/0!</v>
      </c>
      <c r="H39" s="298">
        <f t="shared" si="6"/>
        <v>0</v>
      </c>
      <c r="I39" s="268">
        <f t="shared" si="7"/>
        <v>0</v>
      </c>
    </row>
    <row r="40" spans="1:9" s="1" customFormat="1" ht="12.75">
      <c r="A40" s="267"/>
      <c r="B40" s="4" t="s">
        <v>276</v>
      </c>
      <c r="C40" s="11">
        <f>SUM('BCWS by JOB'!E37)</f>
        <v>0</v>
      </c>
      <c r="D40" s="11">
        <f>SUM('BCWP by JOB'!D37)</f>
        <v>0</v>
      </c>
      <c r="E40" s="11">
        <f>SUM('ACWP by JOB'!D37)</f>
        <v>0</v>
      </c>
      <c r="F40" s="289" t="e">
        <f t="shared" si="4"/>
        <v>#DIV/0!</v>
      </c>
      <c r="G40" s="260" t="e">
        <f t="shared" si="5"/>
        <v>#DIV/0!</v>
      </c>
      <c r="H40" s="298">
        <f t="shared" si="6"/>
        <v>0</v>
      </c>
      <c r="I40" s="268">
        <f t="shared" si="7"/>
        <v>0</v>
      </c>
    </row>
    <row r="41" spans="1:9" s="1" customFormat="1" ht="12.75">
      <c r="A41" s="267"/>
      <c r="B41" s="4" t="s">
        <v>277</v>
      </c>
      <c r="C41" s="11">
        <f>SUM('BCWS by JOB'!E38)</f>
        <v>0</v>
      </c>
      <c r="D41" s="11">
        <f>SUM('BCWP by JOB'!D38)</f>
        <v>0</v>
      </c>
      <c r="E41" s="11">
        <f>SUM('ACWP by JOB'!D38)</f>
        <v>0</v>
      </c>
      <c r="F41" s="289" t="e">
        <f t="shared" si="4"/>
        <v>#DIV/0!</v>
      </c>
      <c r="G41" s="260" t="e">
        <f t="shared" si="5"/>
        <v>#DIV/0!</v>
      </c>
      <c r="H41" s="298">
        <f t="shared" si="6"/>
        <v>0</v>
      </c>
      <c r="I41" s="268">
        <f t="shared" si="7"/>
        <v>0</v>
      </c>
    </row>
    <row r="42" spans="1:9" s="1" customFormat="1" ht="12.75">
      <c r="A42" s="267"/>
      <c r="B42" s="4" t="s">
        <v>272</v>
      </c>
      <c r="C42" s="11">
        <f>SUM('BCWS by JOB'!E39)</f>
        <v>168</v>
      </c>
      <c r="D42" s="11">
        <f>SUM('BCWP by JOB'!D39)</f>
        <v>199.41206949999997</v>
      </c>
      <c r="E42" s="11">
        <f>SUM('ACWP by JOB'!D39)</f>
        <v>185.35052648279773</v>
      </c>
      <c r="F42" s="289">
        <f t="shared" si="4"/>
        <v>1.1869766041666665</v>
      </c>
      <c r="G42" s="260">
        <f t="shared" si="5"/>
        <v>1.0758645971178684</v>
      </c>
      <c r="H42" s="298">
        <f t="shared" si="6"/>
        <v>31.412069499999973</v>
      </c>
      <c r="I42" s="268">
        <f t="shared" si="7"/>
        <v>14.06154301720224</v>
      </c>
    </row>
    <row r="43" spans="1:9" s="1" customFormat="1" ht="12.75">
      <c r="A43" s="267"/>
      <c r="B43" s="4" t="s">
        <v>278</v>
      </c>
      <c r="C43" s="11">
        <f>SUM('BCWS by JOB'!E40)</f>
        <v>-36</v>
      </c>
      <c r="D43" s="11">
        <f>SUM('BCWP by JOB'!D40)</f>
        <v>-35.94</v>
      </c>
      <c r="E43" s="11">
        <f>SUM('ACWP by JOB'!D40)</f>
        <v>-35.103379999999994</v>
      </c>
      <c r="F43" s="289">
        <f t="shared" si="4"/>
        <v>0.9983333333333333</v>
      </c>
      <c r="G43" s="260">
        <f t="shared" si="5"/>
        <v>1.0238330326025586</v>
      </c>
      <c r="H43" s="298">
        <f t="shared" si="6"/>
        <v>0.060000000000002274</v>
      </c>
      <c r="I43" s="268">
        <f t="shared" si="7"/>
        <v>-0.8366200000000035</v>
      </c>
    </row>
    <row r="44" spans="1:9" s="32" customFormat="1" ht="12.75">
      <c r="A44" s="267"/>
      <c r="B44" s="4" t="s">
        <v>280</v>
      </c>
      <c r="C44" s="11">
        <f>SUM('BCWS by JOB'!E41)</f>
        <v>-84</v>
      </c>
      <c r="D44" s="11">
        <f>SUM('BCWP by JOB'!D41)</f>
        <v>-80.3908</v>
      </c>
      <c r="E44" s="11">
        <f>SUM('ACWP by JOB'!D41)</f>
        <v>-83.21363713691103</v>
      </c>
      <c r="F44" s="289">
        <f t="shared" si="4"/>
        <v>0.9570333333333333</v>
      </c>
      <c r="G44" s="260">
        <f t="shared" si="5"/>
        <v>0.9660772292374791</v>
      </c>
      <c r="H44" s="298">
        <f t="shared" si="6"/>
        <v>3.6092000000000013</v>
      </c>
      <c r="I44" s="268">
        <f t="shared" si="7"/>
        <v>2.8228371369110334</v>
      </c>
    </row>
    <row r="45" spans="1:9" s="1" customFormat="1" ht="12.75">
      <c r="A45" s="267"/>
      <c r="B45" s="4" t="s">
        <v>279</v>
      </c>
      <c r="C45" s="11">
        <f>SUM('BCWS by JOB'!E42)</f>
        <v>58</v>
      </c>
      <c r="D45" s="11">
        <f>SUM('BCWP by JOB'!D42)</f>
        <v>103.153266</v>
      </c>
      <c r="E45" s="11">
        <f>SUM('ACWP by JOB'!D42)</f>
        <v>68.07588</v>
      </c>
      <c r="F45" s="289">
        <f t="shared" si="4"/>
        <v>1.7785045862068967</v>
      </c>
      <c r="G45" s="260">
        <f t="shared" si="5"/>
        <v>1.5152689322561825</v>
      </c>
      <c r="H45" s="298">
        <f t="shared" si="6"/>
        <v>45.153266</v>
      </c>
      <c r="I45" s="268">
        <f t="shared" si="7"/>
        <v>35.077386000000004</v>
      </c>
    </row>
    <row r="46" spans="1:9" s="1" customFormat="1" ht="12.75">
      <c r="A46" s="267"/>
      <c r="B46" s="336" t="s">
        <v>281</v>
      </c>
      <c r="C46" s="11">
        <f>SUM('BCWS by JOB'!E43)</f>
        <v>894</v>
      </c>
      <c r="D46" s="11">
        <f>SUM('BCWP by JOB'!D43)</f>
        <v>711.1818557999999</v>
      </c>
      <c r="E46" s="11">
        <f>SUM('ACWP by JOB'!D43)</f>
        <v>552.1157076727493</v>
      </c>
      <c r="F46" s="337">
        <f t="shared" si="4"/>
        <v>0.7955054315436241</v>
      </c>
      <c r="G46" s="260">
        <f t="shared" si="5"/>
        <v>1.2881029210303367</v>
      </c>
      <c r="H46" s="338">
        <f t="shared" si="6"/>
        <v>-182.81814420000012</v>
      </c>
      <c r="I46" s="268">
        <f t="shared" si="7"/>
        <v>159.06614812725059</v>
      </c>
    </row>
    <row r="47" spans="1:9" s="1" customFormat="1" ht="12.75">
      <c r="A47" s="267"/>
      <c r="B47" s="4" t="s">
        <v>282</v>
      </c>
      <c r="C47" s="11">
        <f>SUM('BCWS by JOB'!E44)</f>
        <v>118</v>
      </c>
      <c r="D47" s="11">
        <f>SUM('BCWP by JOB'!D44)</f>
        <v>83.23651041000001</v>
      </c>
      <c r="E47" s="11">
        <f>SUM('ACWP by JOB'!D44)</f>
        <v>80.6372157124458</v>
      </c>
      <c r="F47" s="289">
        <f t="shared" si="4"/>
        <v>0.7053941560169492</v>
      </c>
      <c r="G47" s="260">
        <f t="shared" si="5"/>
        <v>1.0322344301522433</v>
      </c>
      <c r="H47" s="298">
        <f t="shared" si="6"/>
        <v>-34.76348958999999</v>
      </c>
      <c r="I47" s="268">
        <f t="shared" si="7"/>
        <v>2.599294697554214</v>
      </c>
    </row>
    <row r="48" spans="1:9" s="1" customFormat="1" ht="12.75">
      <c r="A48" s="267"/>
      <c r="B48" s="332" t="s">
        <v>288</v>
      </c>
      <c r="C48" s="11">
        <f>SUM('BCWS by JOB'!E45)</f>
        <v>128</v>
      </c>
      <c r="D48" s="11">
        <f>SUM('BCWP by JOB'!D45)</f>
        <v>81.9423845</v>
      </c>
      <c r="E48" s="11">
        <f>SUM('ACWP by JOB'!D45)</f>
        <v>174.65210540588652</v>
      </c>
      <c r="F48" s="289">
        <f t="shared" si="4"/>
        <v>0.64017487890625</v>
      </c>
      <c r="G48" s="333">
        <f t="shared" si="5"/>
        <v>0.4691749023555613</v>
      </c>
      <c r="H48" s="298">
        <f t="shared" si="6"/>
        <v>-46.0576155</v>
      </c>
      <c r="I48" s="334">
        <f t="shared" si="7"/>
        <v>-92.70972090588651</v>
      </c>
    </row>
    <row r="49" spans="1:9" s="1" customFormat="1" ht="12.75">
      <c r="A49" s="267"/>
      <c r="B49" s="4" t="s">
        <v>289</v>
      </c>
      <c r="C49" s="11">
        <f>SUM('BCWS by JOB'!E46)</f>
        <v>0</v>
      </c>
      <c r="D49" s="11">
        <f>SUM('BCWP by JOB'!D46)</f>
        <v>0</v>
      </c>
      <c r="E49" s="11">
        <f>SUM('ACWP by JOB'!D46)</f>
        <v>0</v>
      </c>
      <c r="F49" s="289" t="e">
        <f t="shared" si="4"/>
        <v>#DIV/0!</v>
      </c>
      <c r="G49" s="260" t="e">
        <f t="shared" si="5"/>
        <v>#DIV/0!</v>
      </c>
      <c r="H49" s="298">
        <f t="shared" si="6"/>
        <v>0</v>
      </c>
      <c r="I49" s="268">
        <f t="shared" si="7"/>
        <v>0</v>
      </c>
    </row>
    <row r="50" spans="1:9" s="1" customFormat="1" ht="12.75">
      <c r="A50" s="267"/>
      <c r="B50" s="4" t="s">
        <v>290</v>
      </c>
      <c r="C50" s="11">
        <f>SUM('BCWS by JOB'!E47)</f>
        <v>6</v>
      </c>
      <c r="D50" s="11">
        <f>SUM('BCWP by JOB'!D47)</f>
        <v>6.228800000000001</v>
      </c>
      <c r="E50" s="11">
        <f>SUM('ACWP by JOB'!D47)</f>
        <v>0</v>
      </c>
      <c r="F50" s="289">
        <f t="shared" si="4"/>
        <v>1.0381333333333334</v>
      </c>
      <c r="G50" s="260" t="e">
        <f t="shared" si="5"/>
        <v>#DIV/0!</v>
      </c>
      <c r="H50" s="298">
        <f t="shared" si="6"/>
        <v>0.22880000000000056</v>
      </c>
      <c r="I50" s="268">
        <f t="shared" si="7"/>
        <v>6.228800000000001</v>
      </c>
    </row>
    <row r="51" spans="1:9" s="1" customFormat="1" ht="12.75">
      <c r="A51" s="267"/>
      <c r="B51" s="4" t="s">
        <v>285</v>
      </c>
      <c r="C51" s="11">
        <f>SUM('BCWS by JOB'!E48)</f>
        <v>0</v>
      </c>
      <c r="D51" s="11">
        <f>SUM('BCWP by JOB'!D48)</f>
        <v>0</v>
      </c>
      <c r="E51" s="11">
        <f>SUM('ACWP by JOB'!D48)</f>
        <v>4.302221401457453</v>
      </c>
      <c r="F51" s="289" t="e">
        <f t="shared" si="4"/>
        <v>#DIV/0!</v>
      </c>
      <c r="G51" s="260">
        <f t="shared" si="5"/>
        <v>0</v>
      </c>
      <c r="H51" s="298">
        <f t="shared" si="6"/>
        <v>0</v>
      </c>
      <c r="I51" s="268">
        <f t="shared" si="7"/>
        <v>-4.302221401457453</v>
      </c>
    </row>
    <row r="52" spans="1:9" s="1" customFormat="1" ht="12.75">
      <c r="A52" s="267"/>
      <c r="B52" s="4" t="s">
        <v>283</v>
      </c>
      <c r="C52" s="11">
        <f>SUM('BCWS by JOB'!E49)</f>
        <v>0</v>
      </c>
      <c r="D52" s="11">
        <f>SUM('BCWP by JOB'!D49)</f>
        <v>0</v>
      </c>
      <c r="E52" s="11">
        <f>SUM('ACWP by JOB'!D49)</f>
        <v>0</v>
      </c>
      <c r="F52" s="289" t="e">
        <f t="shared" si="4"/>
        <v>#DIV/0!</v>
      </c>
      <c r="G52" s="260" t="e">
        <f t="shared" si="5"/>
        <v>#DIV/0!</v>
      </c>
      <c r="H52" s="298">
        <f t="shared" si="6"/>
        <v>0</v>
      </c>
      <c r="I52" s="268">
        <f t="shared" si="7"/>
        <v>0</v>
      </c>
    </row>
    <row r="53" spans="1:9" s="1" customFormat="1" ht="12.75">
      <c r="A53" s="267"/>
      <c r="B53" s="4" t="s">
        <v>286</v>
      </c>
      <c r="C53" s="11">
        <f>SUM('BCWS by JOB'!E50)</f>
        <v>0</v>
      </c>
      <c r="D53" s="11">
        <f>SUM('BCWP by JOB'!D50)</f>
        <v>0</v>
      </c>
      <c r="E53" s="11">
        <f>SUM('ACWP by JOB'!D50)</f>
        <v>0</v>
      </c>
      <c r="F53" s="289" t="e">
        <f t="shared" si="4"/>
        <v>#DIV/0!</v>
      </c>
      <c r="G53" s="260" t="e">
        <f t="shared" si="5"/>
        <v>#DIV/0!</v>
      </c>
      <c r="H53" s="298">
        <f t="shared" si="6"/>
        <v>0</v>
      </c>
      <c r="I53" s="268">
        <f t="shared" si="7"/>
        <v>0</v>
      </c>
    </row>
    <row r="54" spans="1:9" s="1" customFormat="1" ht="12.75">
      <c r="A54" s="267"/>
      <c r="B54" s="4" t="s">
        <v>284</v>
      </c>
      <c r="C54" s="11">
        <f>SUM('BCWS by JOB'!E51)</f>
        <v>0</v>
      </c>
      <c r="D54" s="11">
        <f>SUM('BCWP by JOB'!D51)</f>
        <v>0</v>
      </c>
      <c r="E54" s="11">
        <f>SUM('ACWP by JOB'!D51)</f>
        <v>0</v>
      </c>
      <c r="F54" s="289" t="e">
        <f t="shared" si="4"/>
        <v>#DIV/0!</v>
      </c>
      <c r="G54" s="260" t="e">
        <f t="shared" si="5"/>
        <v>#DIV/0!</v>
      </c>
      <c r="H54" s="298">
        <f t="shared" si="6"/>
        <v>0</v>
      </c>
      <c r="I54" s="268">
        <f t="shared" si="7"/>
        <v>0</v>
      </c>
    </row>
    <row r="55" spans="1:9" s="1" customFormat="1" ht="12.75">
      <c r="A55" s="267"/>
      <c r="B55" s="336" t="s">
        <v>287</v>
      </c>
      <c r="C55" s="11">
        <f>SUM('BCWS by JOB'!E52)</f>
        <v>67</v>
      </c>
      <c r="D55" s="11">
        <f>SUM('BCWP by JOB'!D52)</f>
        <v>27.7446855</v>
      </c>
      <c r="E55" s="11">
        <f>SUM('ACWP by JOB'!D52)</f>
        <v>2.0069999999999997</v>
      </c>
      <c r="F55" s="337">
        <f t="shared" si="4"/>
        <v>0.41409978358208954</v>
      </c>
      <c r="G55" s="260">
        <f t="shared" si="5"/>
        <v>13.823958893871453</v>
      </c>
      <c r="H55" s="338">
        <f t="shared" si="6"/>
        <v>-39.2553145</v>
      </c>
      <c r="I55" s="268">
        <f t="shared" si="7"/>
        <v>25.737685499999998</v>
      </c>
    </row>
    <row r="56" spans="1:9" s="1" customFormat="1" ht="12.75">
      <c r="A56" s="267"/>
      <c r="B56" s="4" t="s">
        <v>291</v>
      </c>
      <c r="C56" s="11">
        <f>SUM('BCWS by JOB'!E53)</f>
        <v>133</v>
      </c>
      <c r="D56" s="11">
        <f>SUM('BCWP by JOB'!D53)</f>
        <v>132.64167952</v>
      </c>
      <c r="E56" s="11">
        <f>SUM('ACWP by JOB'!D53)</f>
        <v>96.64800000000001</v>
      </c>
      <c r="F56" s="289">
        <f t="shared" si="4"/>
        <v>0.9973058610526315</v>
      </c>
      <c r="G56" s="260">
        <f t="shared" si="5"/>
        <v>1.3724203244764503</v>
      </c>
      <c r="H56" s="298">
        <f t="shared" si="6"/>
        <v>-0.35832048000000327</v>
      </c>
      <c r="I56" s="268">
        <f t="shared" si="7"/>
        <v>35.993679519999986</v>
      </c>
    </row>
    <row r="57" spans="1:9" s="1" customFormat="1" ht="12.75">
      <c r="A57" s="267"/>
      <c r="B57" s="4" t="s">
        <v>292</v>
      </c>
      <c r="C57" s="11">
        <f>SUM('BCWS by JOB'!E54)</f>
        <v>290</v>
      </c>
      <c r="D57" s="11">
        <f>SUM('BCWP by JOB'!D54)</f>
        <v>289.20299167</v>
      </c>
      <c r="E57" s="11">
        <f>SUM('ACWP by JOB'!D54)</f>
        <v>264.20509090857945</v>
      </c>
      <c r="F57" s="289">
        <f t="shared" si="4"/>
        <v>0.9972516954137932</v>
      </c>
      <c r="G57" s="260">
        <f t="shared" si="5"/>
        <v>1.0946155150737438</v>
      </c>
      <c r="H57" s="298">
        <f t="shared" si="6"/>
        <v>-0.7970083299999828</v>
      </c>
      <c r="I57" s="268">
        <f t="shared" si="7"/>
        <v>24.997900761420567</v>
      </c>
    </row>
    <row r="58" spans="1:9" s="1" customFormat="1" ht="12.75">
      <c r="A58" s="267"/>
      <c r="B58" s="4" t="s">
        <v>293</v>
      </c>
      <c r="C58" s="11">
        <f>SUM('BCWS by JOB'!E55)</f>
        <v>132</v>
      </c>
      <c r="D58" s="11">
        <f>SUM('BCWP by JOB'!D55)</f>
        <v>130.90838007</v>
      </c>
      <c r="E58" s="11">
        <f>SUM('ACWP by JOB'!D55)</f>
        <v>22.05199948702046</v>
      </c>
      <c r="F58" s="289">
        <f t="shared" si="4"/>
        <v>0.9917301520454544</v>
      </c>
      <c r="G58" s="260">
        <f t="shared" si="5"/>
        <v>5.936349678724194</v>
      </c>
      <c r="H58" s="298">
        <f t="shared" si="6"/>
        <v>-1.0916199300000073</v>
      </c>
      <c r="I58" s="268">
        <f t="shared" si="7"/>
        <v>108.85638058297954</v>
      </c>
    </row>
    <row r="59" spans="1:9" s="1" customFormat="1" ht="12.75">
      <c r="A59" s="267"/>
      <c r="B59" s="332" t="s">
        <v>294</v>
      </c>
      <c r="C59" s="11">
        <f>SUM('BCWS by JOB'!E56)</f>
        <v>148</v>
      </c>
      <c r="D59" s="11">
        <f>SUM('BCWP by JOB'!D56)</f>
        <v>147.91024786999995</v>
      </c>
      <c r="E59" s="11">
        <f>SUM('ACWP by JOB'!D56)</f>
        <v>193.31329825010403</v>
      </c>
      <c r="F59" s="289">
        <f t="shared" si="4"/>
        <v>0.9993935666891889</v>
      </c>
      <c r="G59" s="333">
        <f t="shared" si="5"/>
        <v>0.7651322966857524</v>
      </c>
      <c r="H59" s="298">
        <f t="shared" si="6"/>
        <v>-0.08975213000005056</v>
      </c>
      <c r="I59" s="334">
        <f t="shared" si="7"/>
        <v>-45.40305038010408</v>
      </c>
    </row>
    <row r="60" spans="1:9" s="1" customFormat="1" ht="12.75">
      <c r="A60" s="267"/>
      <c r="B60" s="4" t="s">
        <v>295</v>
      </c>
      <c r="C60" s="11">
        <f>SUM('BCWS by JOB'!E57)</f>
        <v>84</v>
      </c>
      <c r="D60" s="11">
        <f>SUM('BCWP by JOB'!D57)</f>
        <v>75.26736</v>
      </c>
      <c r="E60" s="11">
        <f>SUM('ACWP by JOB'!D57)</f>
        <v>81.55410772351456</v>
      </c>
      <c r="F60" s="289">
        <f t="shared" si="4"/>
        <v>0.89604</v>
      </c>
      <c r="G60" s="260">
        <f t="shared" si="5"/>
        <v>0.9229131689500184</v>
      </c>
      <c r="H60" s="298">
        <f t="shared" si="6"/>
        <v>-8.732640000000004</v>
      </c>
      <c r="I60" s="268">
        <f t="shared" si="7"/>
        <v>-6.286747723514566</v>
      </c>
    </row>
    <row r="61" spans="1:9" s="1" customFormat="1" ht="12.75">
      <c r="A61" s="267"/>
      <c r="B61" s="4" t="s">
        <v>296</v>
      </c>
      <c r="C61" s="11">
        <f>SUM('BCWS by JOB'!E58)</f>
        <v>19</v>
      </c>
      <c r="D61" s="11">
        <f>SUM('BCWP by JOB'!D58)</f>
        <v>18.8142</v>
      </c>
      <c r="E61" s="11">
        <f>SUM('ACWP by JOB'!D58)</f>
        <v>38.88051420224431</v>
      </c>
      <c r="F61" s="289">
        <f t="shared" si="4"/>
        <v>0.9902210526315789</v>
      </c>
      <c r="G61" s="260">
        <f t="shared" si="5"/>
        <v>0.48389792126036185</v>
      </c>
      <c r="H61" s="298">
        <f t="shared" si="6"/>
        <v>-0.1858000000000004</v>
      </c>
      <c r="I61" s="268">
        <f t="shared" si="7"/>
        <v>-20.066314202244314</v>
      </c>
    </row>
    <row r="62" spans="1:9" s="28" customFormat="1" ht="12.75">
      <c r="A62" s="269"/>
      <c r="B62" s="35" t="s">
        <v>297</v>
      </c>
      <c r="C62" s="11">
        <f>SUM('BCWS by JOB'!E59)</f>
        <v>8</v>
      </c>
      <c r="D62" s="11">
        <f>SUM('BCWP by JOB'!D59)</f>
        <v>0</v>
      </c>
      <c r="E62" s="275">
        <f>SUM('ACWP by JOB'!D59)</f>
        <v>0</v>
      </c>
      <c r="F62" s="288">
        <f t="shared" si="4"/>
        <v>0</v>
      </c>
      <c r="G62" s="262" t="e">
        <f t="shared" si="5"/>
        <v>#DIV/0!</v>
      </c>
      <c r="H62" s="297">
        <f t="shared" si="6"/>
        <v>-8</v>
      </c>
      <c r="I62" s="270">
        <f t="shared" si="7"/>
        <v>0</v>
      </c>
    </row>
    <row r="63" spans="1:9" s="309" customFormat="1" ht="15.75">
      <c r="A63" s="302"/>
      <c r="B63" s="303"/>
      <c r="C63" s="310">
        <f>SUM('BCWS by JOB'!E60)</f>
        <v>2147</v>
      </c>
      <c r="D63" s="310">
        <f>SUM(D37:D62)</f>
        <v>1938.64609184</v>
      </c>
      <c r="E63" s="304">
        <f>SUM('ACWP by JOB'!D60)</f>
        <v>1659.2606533122737</v>
      </c>
      <c r="F63" s="305">
        <f>+D63/C63</f>
        <v>0.9029557949883559</v>
      </c>
      <c r="G63" s="306">
        <f>+D63/E63</f>
        <v>1.168379475503145</v>
      </c>
      <c r="H63" s="307">
        <f t="shared" si="6"/>
        <v>-208.35390815999995</v>
      </c>
      <c r="I63" s="308">
        <f>+D63-E63</f>
        <v>279.38543852772636</v>
      </c>
    </row>
    <row r="64" spans="1:9" s="1" customFormat="1" ht="12.75">
      <c r="A64" s="4"/>
      <c r="B64" s="4"/>
      <c r="C64" s="11"/>
      <c r="D64" s="11"/>
      <c r="E64" s="11"/>
      <c r="F64" s="289"/>
      <c r="G64" s="260"/>
      <c r="H64" s="298"/>
      <c r="I64" s="261"/>
    </row>
    <row r="65" spans="1:9" s="1" customFormat="1" ht="12.75">
      <c r="A65" s="4" t="s">
        <v>271</v>
      </c>
      <c r="B65" s="4" t="s">
        <v>213</v>
      </c>
      <c r="C65" s="11">
        <f>SUM('BCWS by JOB'!E62)</f>
        <v>-104</v>
      </c>
      <c r="D65" s="11">
        <f>SUM('BCWP by JOB'!D62)</f>
        <v>-104.1</v>
      </c>
      <c r="E65" s="11">
        <f>SUM('ACWP by JOB'!D62)</f>
        <v>-104.10269</v>
      </c>
      <c r="F65" s="289">
        <f aca="true" t="shared" si="8" ref="F65:F77">+D65/C65</f>
        <v>1.0009615384615385</v>
      </c>
      <c r="G65" s="260">
        <f aca="true" t="shared" si="9" ref="G65:G77">+D65/E65</f>
        <v>0.9999741601297718</v>
      </c>
      <c r="H65" s="298">
        <f aca="true" t="shared" si="10" ref="H65:H78">+D65-C65</f>
        <v>-0.09999999999999432</v>
      </c>
      <c r="I65" s="261">
        <f aca="true" t="shared" si="11" ref="I65:I77">+D65-E65</f>
        <v>0.0026900000000011914</v>
      </c>
    </row>
    <row r="66" spans="1:9" s="1" customFormat="1" ht="12.75">
      <c r="A66" s="4"/>
      <c r="B66" s="4" t="s">
        <v>214</v>
      </c>
      <c r="C66" s="11">
        <f>SUM('BCWS by JOB'!E63)</f>
        <v>0</v>
      </c>
      <c r="D66" s="11">
        <f>SUM('BCWP by JOB'!D63)</f>
        <v>0</v>
      </c>
      <c r="E66" s="11">
        <f>SUM('ACWP by JOB'!D63)</f>
        <v>0</v>
      </c>
      <c r="F66" s="289" t="e">
        <f t="shared" si="8"/>
        <v>#DIV/0!</v>
      </c>
      <c r="G66" s="260" t="e">
        <f t="shared" si="9"/>
        <v>#DIV/0!</v>
      </c>
      <c r="H66" s="298">
        <f t="shared" si="10"/>
        <v>0</v>
      </c>
      <c r="I66" s="261">
        <f t="shared" si="11"/>
        <v>0</v>
      </c>
    </row>
    <row r="67" spans="1:9" s="1" customFormat="1" ht="12.75">
      <c r="A67" s="4"/>
      <c r="B67" s="4" t="s">
        <v>215</v>
      </c>
      <c r="C67" s="11">
        <f>SUM('BCWS by JOB'!E64)</f>
        <v>0</v>
      </c>
      <c r="D67" s="11">
        <f>SUM('BCWP by JOB'!D64)</f>
        <v>0</v>
      </c>
      <c r="E67" s="11">
        <f>SUM('ACWP by JOB'!D64)</f>
        <v>0</v>
      </c>
      <c r="F67" s="289" t="e">
        <f t="shared" si="8"/>
        <v>#DIV/0!</v>
      </c>
      <c r="G67" s="260" t="e">
        <f t="shared" si="9"/>
        <v>#DIV/0!</v>
      </c>
      <c r="H67" s="298">
        <f t="shared" si="10"/>
        <v>0</v>
      </c>
      <c r="I67" s="261">
        <f t="shared" si="11"/>
        <v>0</v>
      </c>
    </row>
    <row r="68" spans="1:9" s="1" customFormat="1" ht="12.75">
      <c r="A68" s="4"/>
      <c r="B68" s="4" t="s">
        <v>216</v>
      </c>
      <c r="C68" s="11">
        <f>SUM('BCWS by JOB'!E65)</f>
        <v>0</v>
      </c>
      <c r="D68" s="11">
        <f>SUM('BCWP by JOB'!D65)</f>
        <v>0</v>
      </c>
      <c r="E68" s="11">
        <f>SUM('ACWP by JOB'!D65)</f>
        <v>-0.19880888004660685</v>
      </c>
      <c r="F68" s="289" t="e">
        <f t="shared" si="8"/>
        <v>#DIV/0!</v>
      </c>
      <c r="G68" s="260">
        <f t="shared" si="9"/>
        <v>0</v>
      </c>
      <c r="H68" s="298">
        <f t="shared" si="10"/>
        <v>0</v>
      </c>
      <c r="I68" s="261">
        <f t="shared" si="11"/>
        <v>0.19880888004660685</v>
      </c>
    </row>
    <row r="69" spans="1:9" s="1" customFormat="1" ht="12.75">
      <c r="A69" s="4"/>
      <c r="B69" s="4" t="s">
        <v>217</v>
      </c>
      <c r="C69" s="11">
        <f>SUM('BCWS by JOB'!E66)</f>
        <v>0</v>
      </c>
      <c r="D69" s="11">
        <f>SUM('BCWP by JOB'!D66)</f>
        <v>0</v>
      </c>
      <c r="E69" s="11">
        <f>SUM('ACWP by JOB'!D66)</f>
        <v>0</v>
      </c>
      <c r="F69" s="289" t="e">
        <f t="shared" si="8"/>
        <v>#DIV/0!</v>
      </c>
      <c r="G69" s="260" t="e">
        <f t="shared" si="9"/>
        <v>#DIV/0!</v>
      </c>
      <c r="H69" s="298">
        <f t="shared" si="10"/>
        <v>0</v>
      </c>
      <c r="I69" s="261">
        <f t="shared" si="11"/>
        <v>0</v>
      </c>
    </row>
    <row r="70" spans="1:9" s="1" customFormat="1" ht="12.75">
      <c r="A70" s="4"/>
      <c r="B70" s="4" t="s">
        <v>218</v>
      </c>
      <c r="C70" s="11">
        <f>SUM('BCWS by JOB'!E67)</f>
        <v>0</v>
      </c>
      <c r="D70" s="11">
        <f>SUM('BCWP by JOB'!D67)</f>
        <v>0</v>
      </c>
      <c r="E70" s="11">
        <f>SUM('ACWP by JOB'!D67)</f>
        <v>0</v>
      </c>
      <c r="F70" s="289" t="e">
        <f t="shared" si="8"/>
        <v>#DIV/0!</v>
      </c>
      <c r="G70" s="260" t="e">
        <f t="shared" si="9"/>
        <v>#DIV/0!</v>
      </c>
      <c r="H70" s="298">
        <f t="shared" si="10"/>
        <v>0</v>
      </c>
      <c r="I70" s="261">
        <f t="shared" si="11"/>
        <v>0</v>
      </c>
    </row>
    <row r="71" spans="1:9" s="1" customFormat="1" ht="12.75">
      <c r="A71" s="4"/>
      <c r="B71" s="4" t="s">
        <v>219</v>
      </c>
      <c r="C71" s="11">
        <f>SUM('BCWS by JOB'!E68)</f>
        <v>0</v>
      </c>
      <c r="D71" s="11">
        <f>SUM('BCWP by JOB'!D68)</f>
        <v>0</v>
      </c>
      <c r="E71" s="11">
        <f>SUM('ACWP by JOB'!D68)</f>
        <v>0</v>
      </c>
      <c r="F71" s="289" t="e">
        <f t="shared" si="8"/>
        <v>#DIV/0!</v>
      </c>
      <c r="G71" s="260" t="e">
        <f t="shared" si="9"/>
        <v>#DIV/0!</v>
      </c>
      <c r="H71" s="298">
        <f t="shared" si="10"/>
        <v>0</v>
      </c>
      <c r="I71" s="261">
        <f t="shared" si="11"/>
        <v>0</v>
      </c>
    </row>
    <row r="72" spans="1:9" s="1" customFormat="1" ht="12.75">
      <c r="A72" s="4"/>
      <c r="B72" s="4" t="s">
        <v>220</v>
      </c>
      <c r="C72" s="11">
        <f>SUM('BCWS by JOB'!E69)</f>
        <v>0</v>
      </c>
      <c r="D72" s="11">
        <f>SUM('BCWP by JOB'!D69)</f>
        <v>0</v>
      </c>
      <c r="E72" s="11">
        <f>SUM('ACWP by JOB'!D69)</f>
        <v>0</v>
      </c>
      <c r="F72" s="289" t="e">
        <f t="shared" si="8"/>
        <v>#DIV/0!</v>
      </c>
      <c r="G72" s="260" t="e">
        <f t="shared" si="9"/>
        <v>#DIV/0!</v>
      </c>
      <c r="H72" s="298">
        <f t="shared" si="10"/>
        <v>0</v>
      </c>
      <c r="I72" s="261">
        <f t="shared" si="11"/>
        <v>0</v>
      </c>
    </row>
    <row r="73" spans="1:9" s="1" customFormat="1" ht="12.75">
      <c r="A73" s="4"/>
      <c r="B73" s="4" t="s">
        <v>221</v>
      </c>
      <c r="C73" s="11">
        <f>SUM('BCWS by JOB'!E70)</f>
        <v>0</v>
      </c>
      <c r="D73" s="11">
        <f>SUM('BCWP by JOB'!D70)</f>
        <v>0</v>
      </c>
      <c r="E73" s="11">
        <f>SUM('ACWP by JOB'!D70)</f>
        <v>0</v>
      </c>
      <c r="F73" s="289" t="e">
        <f t="shared" si="8"/>
        <v>#DIV/0!</v>
      </c>
      <c r="G73" s="260" t="e">
        <f t="shared" si="9"/>
        <v>#DIV/0!</v>
      </c>
      <c r="H73" s="298">
        <f t="shared" si="10"/>
        <v>0</v>
      </c>
      <c r="I73" s="261">
        <f t="shared" si="11"/>
        <v>0</v>
      </c>
    </row>
    <row r="74" spans="1:9" s="1" customFormat="1" ht="12.75">
      <c r="A74" s="4"/>
      <c r="B74" s="4" t="s">
        <v>222</v>
      </c>
      <c r="C74" s="11">
        <f>SUM('BCWS by JOB'!E71)</f>
        <v>0</v>
      </c>
      <c r="D74" s="11">
        <f>SUM('BCWP by JOB'!D71)</f>
        <v>0</v>
      </c>
      <c r="E74" s="11">
        <f>SUM('ACWP by JOB'!D71)</f>
        <v>0</v>
      </c>
      <c r="F74" s="289" t="e">
        <f t="shared" si="8"/>
        <v>#DIV/0!</v>
      </c>
      <c r="G74" s="260" t="e">
        <f t="shared" si="9"/>
        <v>#DIV/0!</v>
      </c>
      <c r="H74" s="298">
        <f t="shared" si="10"/>
        <v>0</v>
      </c>
      <c r="I74" s="261">
        <f t="shared" si="11"/>
        <v>0</v>
      </c>
    </row>
    <row r="75" spans="1:9" s="1" customFormat="1" ht="12.75">
      <c r="A75" s="4"/>
      <c r="B75" s="4" t="s">
        <v>223</v>
      </c>
      <c r="C75" s="11">
        <f>SUM('BCWS by JOB'!E72)</f>
        <v>5</v>
      </c>
      <c r="D75" s="11">
        <f>SUM('BCWP by JOB'!D72)</f>
        <v>5.72324358</v>
      </c>
      <c r="E75" s="11">
        <f>SUM('ACWP by JOB'!D72)</f>
        <v>0</v>
      </c>
      <c r="F75" s="289">
        <f t="shared" si="8"/>
        <v>1.144648716</v>
      </c>
      <c r="G75" s="260" t="e">
        <f t="shared" si="9"/>
        <v>#DIV/0!</v>
      </c>
      <c r="H75" s="298">
        <f t="shared" si="10"/>
        <v>0.7232435800000001</v>
      </c>
      <c r="I75" s="261">
        <f t="shared" si="11"/>
        <v>5.72324358</v>
      </c>
    </row>
    <row r="76" spans="1:9" s="28" customFormat="1" ht="12.75">
      <c r="A76" s="27"/>
      <c r="B76" s="27" t="s">
        <v>224</v>
      </c>
      <c r="C76" s="275">
        <f>SUM('BCWS by JOB'!E73)</f>
        <v>0</v>
      </c>
      <c r="D76" s="275">
        <f>SUM('BCWP by JOB'!D73)</f>
        <v>0</v>
      </c>
      <c r="E76" s="11">
        <f>SUM('ACWP by JOB'!D73)</f>
        <v>0</v>
      </c>
      <c r="F76" s="289" t="e">
        <f t="shared" si="8"/>
        <v>#DIV/0!</v>
      </c>
      <c r="G76" s="260" t="e">
        <f t="shared" si="9"/>
        <v>#DIV/0!</v>
      </c>
      <c r="H76" s="298">
        <f t="shared" si="10"/>
        <v>0</v>
      </c>
      <c r="I76" s="261">
        <f t="shared" si="11"/>
        <v>0</v>
      </c>
    </row>
    <row r="77" spans="3:9" s="309" customFormat="1" ht="16.5" thickBot="1">
      <c r="C77" s="312">
        <f>SUM('BCWS by JOB'!E74)</f>
        <v>-99</v>
      </c>
      <c r="D77" s="312">
        <f>SUM('BCWP by JOB'!D74)</f>
        <v>-98.37675641999999</v>
      </c>
      <c r="E77" s="313">
        <f>SUM('ACWP by JOB'!D74)</f>
        <v>-104.30149888004661</v>
      </c>
      <c r="F77" s="314">
        <f t="shared" si="8"/>
        <v>0.9937046103030303</v>
      </c>
      <c r="G77" s="315">
        <f t="shared" si="9"/>
        <v>0.9431959988718815</v>
      </c>
      <c r="H77" s="316">
        <f t="shared" si="10"/>
        <v>0.6232435800000076</v>
      </c>
      <c r="I77" s="317">
        <f t="shared" si="11"/>
        <v>5.924742460046616</v>
      </c>
    </row>
    <row r="78" spans="1:9" s="1" customFormat="1" ht="27.75" customHeight="1" thickBot="1">
      <c r="A78" s="351"/>
      <c r="B78" s="352"/>
      <c r="C78" s="353">
        <f>SUM(C77,C63,C35,C8)</f>
        <v>4745</v>
      </c>
      <c r="D78" s="353">
        <f>SUM(D77,D63,D35,D8)</f>
        <v>4429.0134102</v>
      </c>
      <c r="E78" s="353">
        <f>SUM(E77,E63,E35,E8)</f>
        <v>3976.844562535117</v>
      </c>
      <c r="F78" s="354">
        <f>+D78/C78</f>
        <v>0.9334064088935722</v>
      </c>
      <c r="G78" s="355">
        <f>+D78/E78</f>
        <v>1.1137004075856158</v>
      </c>
      <c r="H78" s="356">
        <f t="shared" si="10"/>
        <v>-315.9865897999998</v>
      </c>
      <c r="I78" s="357">
        <f>+D78-E78</f>
        <v>452.1688476648833</v>
      </c>
    </row>
    <row r="79" spans="2:9" ht="15">
      <c r="B79" s="291" t="s">
        <v>136</v>
      </c>
      <c r="C79" s="292">
        <f>SUM(C56,C55,C45:C46,C50,C6)</f>
        <v>1208</v>
      </c>
      <c r="D79" s="292">
        <f>SUM(D56,D55,D45:D46,D50,D6)</f>
        <v>1030.5551068199998</v>
      </c>
      <c r="E79" s="292">
        <f>SUM(E56,E55,E45:E46,E50,E6)</f>
        <v>810.3585876727493</v>
      </c>
      <c r="F79" s="293">
        <f>+D79/C79</f>
        <v>0.8531085321357614</v>
      </c>
      <c r="G79" s="294">
        <f>+D79/E79</f>
        <v>1.2717272606188181</v>
      </c>
      <c r="H79" s="294"/>
      <c r="I79" s="295">
        <f>+D79-E79</f>
        <v>220.19651914725046</v>
      </c>
    </row>
    <row r="80" spans="2:9" ht="15">
      <c r="B80" s="291" t="s">
        <v>137</v>
      </c>
      <c r="C80" s="292">
        <f>+C78-C79</f>
        <v>3537</v>
      </c>
      <c r="D80" s="292">
        <f>+D78-D79</f>
        <v>3398.4583033800004</v>
      </c>
      <c r="E80" s="292">
        <f>+E78-E79</f>
        <v>3166.4859748623676</v>
      </c>
      <c r="F80" s="293">
        <f>+D80/C80</f>
        <v>0.9608307332145888</v>
      </c>
      <c r="G80" s="294">
        <f>+D80/E80</f>
        <v>1.0732585997093247</v>
      </c>
      <c r="H80" s="294"/>
      <c r="I80" s="295">
        <f>+D80-E80</f>
        <v>231.97232851763283</v>
      </c>
    </row>
    <row r="81" spans="2:9" ht="15">
      <c r="B81" s="343" t="s">
        <v>12</v>
      </c>
      <c r="C81" s="276">
        <f>SUM(C55,C46,C17:C18,C13)</f>
        <v>2400</v>
      </c>
      <c r="D81" s="276">
        <f>SUM(D55,D46,D17:D18,D13)</f>
        <v>1914.4549979199999</v>
      </c>
      <c r="E81" s="276">
        <f>SUM(E55,E46,E17:E18,E13)</f>
        <v>1440.3025674521118</v>
      </c>
      <c r="F81" s="339">
        <f>+D81/C81</f>
        <v>0.7976895824666667</v>
      </c>
      <c r="G81" s="340">
        <f>+D81/E81</f>
        <v>1.3292033501729164</v>
      </c>
      <c r="H81" s="341">
        <f>+D81-C81</f>
        <v>-485.54500208000013</v>
      </c>
      <c r="I81" s="342">
        <f>+D81-E81</f>
        <v>474.15243046788805</v>
      </c>
    </row>
    <row r="82" spans="2:9" ht="15">
      <c r="B82" s="343" t="s">
        <v>13</v>
      </c>
      <c r="C82" s="276">
        <f>SUM(C59,C48,C15:C17,C6)</f>
        <v>686</v>
      </c>
      <c r="D82" s="276">
        <f>SUM(D59,D48,D15:D17,D6)</f>
        <v>597.81964589</v>
      </c>
      <c r="E82" s="276">
        <f>SUM(E59,E48,E15:E17,E6)</f>
        <v>1086.1899594294641</v>
      </c>
      <c r="F82" s="339">
        <f>+D82/C82</f>
        <v>0.8714572097521865</v>
      </c>
      <c r="G82" s="340">
        <f>+D82/E82</f>
        <v>0.5503822243063384</v>
      </c>
      <c r="H82" s="341">
        <f>+D82-C82</f>
        <v>-88.18035411000005</v>
      </c>
      <c r="I82" s="342">
        <f>+D82-E82</f>
        <v>-488.3703135394642</v>
      </c>
    </row>
    <row r="83" ht="12.75">
      <c r="E83" s="11"/>
    </row>
    <row r="84" ht="12.75">
      <c r="E84" s="11"/>
    </row>
    <row r="85" ht="12.75">
      <c r="E85" s="11"/>
    </row>
    <row r="86" ht="12.75">
      <c r="E86" s="11"/>
    </row>
    <row r="87" ht="12.75">
      <c r="E87" s="11"/>
    </row>
    <row r="88" ht="12.75">
      <c r="E88" s="11"/>
    </row>
    <row r="89" ht="12.75">
      <c r="E89" s="11"/>
    </row>
    <row r="90" ht="12.75">
      <c r="E90" s="11"/>
    </row>
    <row r="91" ht="12.75">
      <c r="E91" s="11"/>
    </row>
    <row r="92" ht="12.75">
      <c r="E92" s="11"/>
    </row>
    <row r="93" ht="12.75"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</sheetData>
  <conditionalFormatting sqref="F19:F34">
    <cfRule type="expression" priority="1" dxfId="0" stopIfTrue="1">
      <formula>ISERROR(F19:F34)</formula>
    </cfRule>
  </conditionalFormatting>
  <conditionalFormatting sqref="G19:G21">
    <cfRule type="expression" priority="2" dxfId="0" stopIfTrue="1">
      <formula>ISERROR(G19:G76)</formula>
    </cfRule>
  </conditionalFormatting>
  <conditionalFormatting sqref="G22">
    <cfRule type="expression" priority="3" dxfId="0" stopIfTrue="1">
      <formula>ISERROR(G22:G78)</formula>
    </cfRule>
  </conditionalFormatting>
  <conditionalFormatting sqref="F38:F40">
    <cfRule type="expression" priority="4" dxfId="0" stopIfTrue="1">
      <formula>ISERROR(F38:F76)</formula>
    </cfRule>
  </conditionalFormatting>
  <conditionalFormatting sqref="F41">
    <cfRule type="expression" priority="5" dxfId="0" stopIfTrue="1">
      <formula>ISERROR(F41:F78)</formula>
    </cfRule>
  </conditionalFormatting>
  <conditionalFormatting sqref="G27">
    <cfRule type="expression" priority="6" dxfId="0" stopIfTrue="1">
      <formula>ISERROR(G27:G80)</formula>
    </cfRule>
  </conditionalFormatting>
  <conditionalFormatting sqref="G28">
    <cfRule type="expression" priority="7" dxfId="0" stopIfTrue="1">
      <formula>ISERROR(G28:G80)</formula>
    </cfRule>
  </conditionalFormatting>
  <conditionalFormatting sqref="F46">
    <cfRule type="expression" priority="8" dxfId="0" stopIfTrue="1">
      <formula>ISERROR(F46:F80)</formula>
    </cfRule>
  </conditionalFormatting>
  <conditionalFormatting sqref="F47">
    <cfRule type="expression" priority="9" dxfId="0" stopIfTrue="1">
      <formula>ISERROR(F47:F80)</formula>
    </cfRule>
  </conditionalFormatting>
  <conditionalFormatting sqref="G23:G25">
    <cfRule type="expression" priority="10" dxfId="0" stopIfTrue="1">
      <formula>ISERROR(G23:G78)</formula>
    </cfRule>
  </conditionalFormatting>
  <conditionalFormatting sqref="G26">
    <cfRule type="expression" priority="11" dxfId="0" stopIfTrue="1">
      <formula>ISERROR(G26:G80)</formula>
    </cfRule>
  </conditionalFormatting>
  <conditionalFormatting sqref="G29:G76">
    <cfRule type="expression" priority="12" dxfId="0" stopIfTrue="1">
      <formula>ISERROR(G29:G80)</formula>
    </cfRule>
  </conditionalFormatting>
  <conditionalFormatting sqref="F42:F44">
    <cfRule type="expression" priority="13" dxfId="0" stopIfTrue="1">
      <formula>ISERROR(F42:F78)</formula>
    </cfRule>
  </conditionalFormatting>
  <conditionalFormatting sqref="F45">
    <cfRule type="expression" priority="14" dxfId="0" stopIfTrue="1">
      <formula>ISERROR(F45:F80)</formula>
    </cfRule>
  </conditionalFormatting>
  <conditionalFormatting sqref="F48:F76">
    <cfRule type="expression" priority="15" dxfId="0" stopIfTrue="1">
      <formula>ISERROR(F48:F80)</formula>
    </cfRule>
  </conditionalFormatting>
  <conditionalFormatting sqref="F77:F78">
    <cfRule type="expression" priority="16" dxfId="0" stopIfTrue="1">
      <formula>ISERROR($F$5:$F$78)</formula>
    </cfRule>
  </conditionalFormatting>
  <conditionalFormatting sqref="F5:G18">
    <cfRule type="expression" priority="17" dxfId="0" stopIfTrue="1">
      <formula>ISERROR($F$5:$G$76)</formula>
    </cfRule>
  </conditionalFormatting>
  <conditionalFormatting sqref="E33">
    <cfRule type="expression" priority="18" dxfId="0" stopIfTrue="1">
      <formula>ISERROR($F$19:$G$35)</formula>
    </cfRule>
  </conditionalFormatting>
  <conditionalFormatting sqref="F35:F37">
    <cfRule type="expression" priority="19" dxfId="0" stopIfTrue="1">
      <formula>ISERROR($F$22:$F$35)</formula>
    </cfRule>
  </conditionalFormatting>
  <printOptions gridLines="1"/>
  <pageMargins left="0.27" right="0.21" top="0.31" bottom="0.36" header="0.21" footer="0.17"/>
  <pageSetup fitToHeight="1" fitToWidth="1" horizontalDpi="600" verticalDpi="600" orientation="portrait" scale="72"/>
  <headerFooter alignWithMargins="0">
    <oddFooter>&amp;C&amp;F                    &amp;A             &amp;D    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8"/>
  <sheetViews>
    <sheetView zoomScale="75" zoomScaleNormal="75" workbookViewId="0" topLeftCell="A1">
      <selection activeCell="N52" sqref="N52"/>
    </sheetView>
  </sheetViews>
  <sheetFormatPr defaultColWidth="9.140625" defaultRowHeight="12.75"/>
  <cols>
    <col min="1" max="1" width="46.421875" style="100" customWidth="1"/>
    <col min="2" max="2" width="13.8515625" style="100" customWidth="1"/>
    <col min="3" max="3" width="12.7109375" style="100" customWidth="1"/>
    <col min="4" max="4" width="21.00390625" style="100" customWidth="1"/>
    <col min="5" max="5" width="22.421875" style="100" customWidth="1"/>
    <col min="6" max="6" width="19.421875" style="100" customWidth="1"/>
    <col min="7" max="7" width="14.00390625" style="100" customWidth="1"/>
    <col min="8" max="8" width="3.140625" style="100" customWidth="1"/>
    <col min="9" max="9" width="5.28125" style="100" customWidth="1"/>
    <col min="10" max="10" width="7.140625" style="100" customWidth="1"/>
    <col min="11" max="11" width="8.7109375" style="100" customWidth="1"/>
    <col min="12" max="12" width="2.7109375" style="100" customWidth="1"/>
    <col min="13" max="13" width="6.00390625" style="418" customWidth="1"/>
    <col min="14" max="14" width="5.00390625" style="100" customWidth="1"/>
    <col min="15" max="16" width="13.140625" style="100" customWidth="1"/>
    <col min="17" max="17" width="9.421875" style="100" customWidth="1"/>
    <col min="18" max="16384" width="13.140625" style="100" customWidth="1"/>
  </cols>
  <sheetData>
    <row r="1" spans="1:21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11"/>
      <c r="N1" s="39"/>
      <c r="O1" s="39"/>
      <c r="P1" s="39"/>
      <c r="Q1" s="39"/>
      <c r="R1" s="39"/>
      <c r="S1"/>
      <c r="T1"/>
      <c r="U1"/>
    </row>
    <row r="2" spans="1:21" ht="18.75">
      <c r="A2" s="40" t="s">
        <v>93</v>
      </c>
      <c r="B2" s="41"/>
      <c r="C2" s="41"/>
      <c r="D2" s="42"/>
      <c r="E2" s="42"/>
      <c r="F2" s="42"/>
      <c r="G2" s="43"/>
      <c r="H2" s="44" t="s">
        <v>419</v>
      </c>
      <c r="I2" s="39"/>
      <c r="J2" s="39"/>
      <c r="K2" s="39"/>
      <c r="L2" s="39"/>
      <c r="M2" s="411"/>
      <c r="N2" s="39"/>
      <c r="O2" s="39"/>
      <c r="P2" s="39"/>
      <c r="Q2" s="39"/>
      <c r="R2" s="39"/>
      <c r="S2"/>
      <c r="T2"/>
      <c r="U2"/>
    </row>
    <row r="3" spans="1:21" ht="16.5" thickBot="1">
      <c r="A3" s="519" t="s">
        <v>551</v>
      </c>
      <c r="B3" s="520"/>
      <c r="C3" s="520"/>
      <c r="D3" s="521"/>
      <c r="E3" s="45" t="s">
        <v>549</v>
      </c>
      <c r="F3" s="46" t="s">
        <v>553</v>
      </c>
      <c r="G3" s="47" t="s">
        <v>550</v>
      </c>
      <c r="H3" s="44"/>
      <c r="I3" s="39"/>
      <c r="J3" s="39"/>
      <c r="K3" s="39"/>
      <c r="L3" s="39"/>
      <c r="M3" s="411"/>
      <c r="N3" s="39"/>
      <c r="O3" s="39"/>
      <c r="P3" s="39"/>
      <c r="Q3" s="39"/>
      <c r="R3" s="39"/>
      <c r="S3"/>
      <c r="T3"/>
      <c r="U3"/>
    </row>
    <row r="4" spans="1:21" ht="20.25">
      <c r="A4" s="250" t="s">
        <v>138</v>
      </c>
      <c r="B4" s="48"/>
      <c r="C4" s="48"/>
      <c r="D4" s="48"/>
      <c r="E4" s="251" t="s">
        <v>89</v>
      </c>
      <c r="F4" s="49"/>
      <c r="G4" s="252">
        <v>39293</v>
      </c>
      <c r="H4" s="50"/>
      <c r="I4" s="51"/>
      <c r="J4" s="51"/>
      <c r="K4" s="51"/>
      <c r="L4" s="51"/>
      <c r="M4" s="412"/>
      <c r="N4" s="51"/>
      <c r="O4" s="51"/>
      <c r="P4" s="51"/>
      <c r="Q4" s="51"/>
      <c r="R4" s="51"/>
      <c r="S4"/>
      <c r="T4"/>
      <c r="U4"/>
    </row>
    <row r="5" spans="1:21" ht="12.75">
      <c r="A5" s="219"/>
      <c r="B5" s="244"/>
      <c r="C5" s="207"/>
      <c r="D5" s="212"/>
      <c r="E5" s="213"/>
      <c r="F5" s="207"/>
      <c r="G5" s="220"/>
      <c r="H5" s="39"/>
      <c r="I5" s="39"/>
      <c r="J5" s="39"/>
      <c r="K5" s="39"/>
      <c r="L5" s="39"/>
      <c r="M5" s="411"/>
      <c r="N5" s="39"/>
      <c r="O5" s="39"/>
      <c r="P5" s="39"/>
      <c r="Q5" s="39"/>
      <c r="R5" s="39"/>
      <c r="S5"/>
      <c r="T5"/>
      <c r="U5"/>
    </row>
    <row r="6" spans="1:21" ht="6" customHeight="1" thickBot="1">
      <c r="A6" s="522"/>
      <c r="B6" s="523"/>
      <c r="C6" s="523"/>
      <c r="D6" s="523"/>
      <c r="E6" s="204"/>
      <c r="F6" s="53"/>
      <c r="G6" s="54"/>
      <c r="H6" s="39"/>
      <c r="I6" s="39"/>
      <c r="J6" s="39"/>
      <c r="K6" s="39"/>
      <c r="L6" s="39"/>
      <c r="M6" s="411"/>
      <c r="N6" s="39"/>
      <c r="O6" s="39"/>
      <c r="P6" s="39"/>
      <c r="Q6" s="39"/>
      <c r="R6" s="55"/>
      <c r="S6"/>
      <c r="T6"/>
      <c r="U6"/>
    </row>
    <row r="7" spans="1:21" ht="4.5" customHeight="1" thickBot="1">
      <c r="A7" s="524"/>
      <c r="B7" s="524"/>
      <c r="C7" s="524"/>
      <c r="D7" s="525"/>
      <c r="E7" s="524"/>
      <c r="F7" s="525"/>
      <c r="G7" s="525"/>
      <c r="H7"/>
      <c r="I7"/>
      <c r="J7"/>
      <c r="K7"/>
      <c r="L7"/>
      <c r="M7" s="413"/>
      <c r="N7"/>
      <c r="O7"/>
      <c r="P7"/>
      <c r="Q7"/>
      <c r="R7"/>
      <c r="S7"/>
      <c r="T7"/>
      <c r="U7"/>
    </row>
    <row r="8" spans="1:21" ht="14.25">
      <c r="A8" s="513" t="s">
        <v>533</v>
      </c>
      <c r="B8" s="514"/>
      <c r="C8" s="514"/>
      <c r="D8" s="515"/>
      <c r="E8" s="515"/>
      <c r="F8" s="515"/>
      <c r="G8" s="516"/>
      <c r="H8"/>
      <c r="I8"/>
      <c r="J8"/>
      <c r="K8"/>
      <c r="L8"/>
      <c r="M8" s="413"/>
      <c r="N8"/>
      <c r="O8"/>
      <c r="P8"/>
      <c r="Q8"/>
      <c r="R8"/>
      <c r="S8"/>
      <c r="T8"/>
      <c r="U8"/>
    </row>
    <row r="9" spans="1:21" ht="12.75">
      <c r="A9" s="486"/>
      <c r="B9" s="487"/>
      <c r="C9" s="487"/>
      <c r="D9" s="459"/>
      <c r="E9" s="459"/>
      <c r="F9" s="459"/>
      <c r="G9" s="488"/>
      <c r="H9"/>
      <c r="I9"/>
      <c r="J9"/>
      <c r="K9"/>
      <c r="L9"/>
      <c r="M9" s="413"/>
      <c r="N9"/>
      <c r="O9"/>
      <c r="P9"/>
      <c r="Q9"/>
      <c r="R9"/>
      <c r="S9"/>
      <c r="T9"/>
      <c r="U9"/>
    </row>
    <row r="10" spans="1:21" ht="12.75">
      <c r="A10" s="486"/>
      <c r="B10" s="487"/>
      <c r="C10" s="487"/>
      <c r="D10" s="459"/>
      <c r="E10" s="459"/>
      <c r="F10" s="459"/>
      <c r="G10" s="488"/>
      <c r="H10"/>
      <c r="I10"/>
      <c r="J10"/>
      <c r="K10"/>
      <c r="L10"/>
      <c r="M10" s="413"/>
      <c r="N10"/>
      <c r="O10"/>
      <c r="P10"/>
      <c r="Q10"/>
      <c r="R10"/>
      <c r="S10"/>
      <c r="T10"/>
      <c r="U10"/>
    </row>
    <row r="11" spans="1:21" ht="12.75">
      <c r="A11" s="486"/>
      <c r="B11" s="487"/>
      <c r="C11" s="487"/>
      <c r="D11" s="459"/>
      <c r="E11" s="459"/>
      <c r="F11" s="459"/>
      <c r="G11" s="488"/>
      <c r="H11"/>
      <c r="I11"/>
      <c r="J11"/>
      <c r="K11"/>
      <c r="L11"/>
      <c r="M11" s="413"/>
      <c r="N11"/>
      <c r="O11"/>
      <c r="P11"/>
      <c r="Q11"/>
      <c r="R11"/>
      <c r="S11"/>
      <c r="T11"/>
      <c r="U11"/>
    </row>
    <row r="12" spans="1:21" ht="12.75">
      <c r="A12" s="489"/>
      <c r="B12" s="459"/>
      <c r="C12" s="459"/>
      <c r="D12" s="459"/>
      <c r="E12" s="459"/>
      <c r="F12" s="459"/>
      <c r="G12" s="488"/>
      <c r="H12"/>
      <c r="I12"/>
      <c r="J12"/>
      <c r="K12"/>
      <c r="L12"/>
      <c r="M12" s="413"/>
      <c r="N12"/>
      <c r="O12"/>
      <c r="P12"/>
      <c r="Q12"/>
      <c r="R12"/>
      <c r="S12"/>
      <c r="T12"/>
      <c r="U12"/>
    </row>
    <row r="13" spans="1:21" ht="12.75">
      <c r="A13" s="489"/>
      <c r="B13" s="459"/>
      <c r="C13" s="459"/>
      <c r="D13" s="459"/>
      <c r="E13" s="459"/>
      <c r="F13" s="459"/>
      <c r="G13" s="488"/>
      <c r="H13"/>
      <c r="I13"/>
      <c r="J13"/>
      <c r="K13"/>
      <c r="L13"/>
      <c r="M13" s="413"/>
      <c r="N13"/>
      <c r="O13"/>
      <c r="P13"/>
      <c r="Q13"/>
      <c r="R13"/>
      <c r="S13"/>
      <c r="T13"/>
      <c r="U13"/>
    </row>
    <row r="14" spans="1:21" ht="12.75">
      <c r="A14" s="517"/>
      <c r="B14" s="463"/>
      <c r="C14" s="463"/>
      <c r="D14" s="463"/>
      <c r="E14" s="463"/>
      <c r="F14" s="463"/>
      <c r="G14" s="518"/>
      <c r="H14"/>
      <c r="I14"/>
      <c r="J14"/>
      <c r="K14"/>
      <c r="L14"/>
      <c r="M14" s="413"/>
      <c r="N14"/>
      <c r="O14"/>
      <c r="P14"/>
      <c r="Q14"/>
      <c r="R14"/>
      <c r="S14"/>
      <c r="T14"/>
      <c r="U14"/>
    </row>
    <row r="15" spans="1:21" ht="14.25">
      <c r="A15" s="482" t="s">
        <v>534</v>
      </c>
      <c r="B15" s="483"/>
      <c r="C15" s="483"/>
      <c r="D15" s="484"/>
      <c r="E15" s="484"/>
      <c r="F15" s="484"/>
      <c r="G15" s="485"/>
      <c r="H15"/>
      <c r="I15"/>
      <c r="J15"/>
      <c r="K15"/>
      <c r="L15"/>
      <c r="M15" s="413"/>
      <c r="N15"/>
      <c r="O15"/>
      <c r="P15"/>
      <c r="Q15"/>
      <c r="R15"/>
      <c r="S15"/>
      <c r="T15"/>
      <c r="U15"/>
    </row>
    <row r="16" spans="1:21" ht="12.75">
      <c r="A16" s="486"/>
      <c r="B16" s="487"/>
      <c r="C16" s="487"/>
      <c r="D16" s="459"/>
      <c r="E16" s="459"/>
      <c r="F16" s="459"/>
      <c r="G16" s="488"/>
      <c r="H16"/>
      <c r="I16"/>
      <c r="J16"/>
      <c r="K16"/>
      <c r="L16"/>
      <c r="M16" s="413"/>
      <c r="N16"/>
      <c r="O16"/>
      <c r="P16"/>
      <c r="Q16"/>
      <c r="R16"/>
      <c r="S16"/>
      <c r="T16"/>
      <c r="U16"/>
    </row>
    <row r="17" spans="1:21" ht="12.75">
      <c r="A17" s="486"/>
      <c r="B17" s="487"/>
      <c r="C17" s="487"/>
      <c r="D17" s="459"/>
      <c r="E17" s="459"/>
      <c r="F17" s="459"/>
      <c r="G17" s="488"/>
      <c r="H17"/>
      <c r="I17"/>
      <c r="J17"/>
      <c r="K17"/>
      <c r="L17"/>
      <c r="M17" s="413"/>
      <c r="N17"/>
      <c r="O17"/>
      <c r="P17"/>
      <c r="Q17"/>
      <c r="R17"/>
      <c r="S17"/>
      <c r="T17"/>
      <c r="U17"/>
    </row>
    <row r="18" spans="1:21" ht="12.75">
      <c r="A18" s="486"/>
      <c r="B18" s="487"/>
      <c r="C18" s="487"/>
      <c r="D18" s="459"/>
      <c r="E18" s="459"/>
      <c r="F18" s="459"/>
      <c r="G18" s="488"/>
      <c r="H18"/>
      <c r="I18"/>
      <c r="J18"/>
      <c r="K18"/>
      <c r="L18"/>
      <c r="M18" s="413"/>
      <c r="N18"/>
      <c r="O18"/>
      <c r="P18"/>
      <c r="Q18"/>
      <c r="R18"/>
      <c r="S18"/>
      <c r="T18"/>
      <c r="U18"/>
    </row>
    <row r="19" spans="1:21" ht="12.75">
      <c r="A19" s="486"/>
      <c r="B19" s="487"/>
      <c r="C19" s="487"/>
      <c r="D19" s="459"/>
      <c r="E19" s="459"/>
      <c r="F19" s="459"/>
      <c r="G19" s="488"/>
      <c r="H19"/>
      <c r="I19"/>
      <c r="J19"/>
      <c r="K19"/>
      <c r="L19"/>
      <c r="M19" s="413"/>
      <c r="N19"/>
      <c r="O19"/>
      <c r="P19"/>
      <c r="Q19"/>
      <c r="R19"/>
      <c r="S19"/>
      <c r="T19"/>
      <c r="U19"/>
    </row>
    <row r="20" spans="1:21" ht="12.75">
      <c r="A20" s="489"/>
      <c r="B20" s="459"/>
      <c r="C20" s="459"/>
      <c r="D20" s="459"/>
      <c r="E20" s="459"/>
      <c r="F20" s="459"/>
      <c r="G20" s="488"/>
      <c r="H20"/>
      <c r="I20"/>
      <c r="J20"/>
      <c r="K20"/>
      <c r="L20"/>
      <c r="M20" s="413"/>
      <c r="N20"/>
      <c r="O20"/>
      <c r="P20"/>
      <c r="Q20"/>
      <c r="R20"/>
      <c r="S20"/>
      <c r="T20"/>
      <c r="U20"/>
    </row>
    <row r="21" spans="1:21" ht="12.75">
      <c r="A21" s="489"/>
      <c r="B21" s="459"/>
      <c r="C21" s="459"/>
      <c r="D21" s="459"/>
      <c r="E21" s="459"/>
      <c r="F21" s="459"/>
      <c r="G21" s="488"/>
      <c r="H21"/>
      <c r="I21"/>
      <c r="J21"/>
      <c r="K21"/>
      <c r="L21"/>
      <c r="M21" s="413"/>
      <c r="N21"/>
      <c r="O21"/>
      <c r="P21"/>
      <c r="Q21"/>
      <c r="R21"/>
      <c r="S21"/>
      <c r="T21"/>
      <c r="U21"/>
    </row>
    <row r="22" spans="1:21" ht="12.75">
      <c r="A22" s="517"/>
      <c r="B22" s="463"/>
      <c r="C22" s="463"/>
      <c r="D22" s="463"/>
      <c r="E22" s="463"/>
      <c r="F22" s="463"/>
      <c r="G22" s="518"/>
      <c r="H22"/>
      <c r="I22"/>
      <c r="J22"/>
      <c r="K22"/>
      <c r="L22"/>
      <c r="M22" s="413"/>
      <c r="N22"/>
      <c r="O22"/>
      <c r="P22"/>
      <c r="Q22"/>
      <c r="R22"/>
      <c r="S22"/>
      <c r="T22"/>
      <c r="U22"/>
    </row>
    <row r="23" spans="1:21" ht="14.25">
      <c r="A23" s="482" t="s">
        <v>548</v>
      </c>
      <c r="B23" s="483"/>
      <c r="C23" s="483"/>
      <c r="D23" s="484"/>
      <c r="E23" s="484"/>
      <c r="F23" s="484"/>
      <c r="G23" s="485"/>
      <c r="H23"/>
      <c r="I23"/>
      <c r="J23"/>
      <c r="K23"/>
      <c r="L23"/>
      <c r="M23" s="413"/>
      <c r="N23"/>
      <c r="O23"/>
      <c r="P23"/>
      <c r="Q23"/>
      <c r="R23"/>
      <c r="S23"/>
      <c r="T23"/>
      <c r="U23"/>
    </row>
    <row r="24" spans="1:21" ht="12.75">
      <c r="A24" s="486"/>
      <c r="B24" s="487"/>
      <c r="C24" s="487"/>
      <c r="D24" s="459"/>
      <c r="E24" s="459"/>
      <c r="F24" s="459"/>
      <c r="G24" s="488"/>
      <c r="H24"/>
      <c r="I24"/>
      <c r="J24"/>
      <c r="K24"/>
      <c r="L24"/>
      <c r="M24" s="413"/>
      <c r="N24"/>
      <c r="O24"/>
      <c r="P24"/>
      <c r="Q24"/>
      <c r="R24"/>
      <c r="S24"/>
      <c r="T24"/>
      <c r="U24"/>
    </row>
    <row r="25" spans="1:21" ht="12.75">
      <c r="A25" s="486"/>
      <c r="B25" s="487"/>
      <c r="C25" s="487"/>
      <c r="D25" s="459"/>
      <c r="E25" s="459"/>
      <c r="F25" s="459"/>
      <c r="G25" s="488"/>
      <c r="H25" s="39"/>
      <c r="I25" s="39"/>
      <c r="J25" s="39"/>
      <c r="K25" s="39"/>
      <c r="L25" s="39"/>
      <c r="M25" s="411"/>
      <c r="N25" s="39"/>
      <c r="O25" s="39"/>
      <c r="P25" s="39"/>
      <c r="Q25" s="39"/>
      <c r="R25" s="39"/>
      <c r="S25" s="39"/>
      <c r="T25" s="39"/>
      <c r="U25" s="39"/>
    </row>
    <row r="26" spans="1:21" ht="12.75">
      <c r="A26" s="486"/>
      <c r="B26" s="487"/>
      <c r="C26" s="487"/>
      <c r="D26" s="459"/>
      <c r="E26" s="459"/>
      <c r="F26" s="459"/>
      <c r="G26" s="488"/>
      <c r="H26" s="39"/>
      <c r="I26" s="39"/>
      <c r="J26" s="39"/>
      <c r="K26" s="39"/>
      <c r="L26" s="39"/>
      <c r="M26" s="411"/>
      <c r="N26" s="39"/>
      <c r="O26" s="39"/>
      <c r="P26" s="39"/>
      <c r="Q26" s="39"/>
      <c r="R26" s="39"/>
      <c r="S26" s="39"/>
      <c r="T26" s="39"/>
      <c r="U26" s="39"/>
    </row>
    <row r="27" spans="1:21" ht="12.75">
      <c r="A27" s="486"/>
      <c r="B27" s="487"/>
      <c r="C27" s="487"/>
      <c r="D27" s="459"/>
      <c r="E27" s="459"/>
      <c r="F27" s="459"/>
      <c r="G27" s="488"/>
      <c r="H27" s="39"/>
      <c r="I27" s="39"/>
      <c r="J27" s="39"/>
      <c r="K27" s="39"/>
      <c r="L27" s="39"/>
      <c r="M27" s="411"/>
      <c r="N27" s="39"/>
      <c r="O27" s="39"/>
      <c r="P27" s="39"/>
      <c r="Q27" s="39"/>
      <c r="R27" s="39"/>
      <c r="S27" s="39"/>
      <c r="T27" s="39"/>
      <c r="U27" s="39"/>
    </row>
    <row r="28" spans="1:21" ht="12.75">
      <c r="A28" s="489"/>
      <c r="B28" s="459"/>
      <c r="C28" s="459"/>
      <c r="D28" s="459"/>
      <c r="E28" s="459"/>
      <c r="F28" s="459"/>
      <c r="G28" s="488"/>
      <c r="H28" s="39"/>
      <c r="I28" s="39"/>
      <c r="J28" s="39"/>
      <c r="K28" s="39"/>
      <c r="L28" s="39"/>
      <c r="M28" s="411"/>
      <c r="N28" s="39"/>
      <c r="O28" s="39"/>
      <c r="P28" s="39"/>
      <c r="Q28" s="39"/>
      <c r="R28" s="39"/>
      <c r="S28" s="39"/>
      <c r="T28" s="39"/>
      <c r="U28" s="39"/>
    </row>
    <row r="29" spans="1:21" ht="12.75">
      <c r="A29" s="489"/>
      <c r="B29" s="459"/>
      <c r="C29" s="459"/>
      <c r="D29" s="459"/>
      <c r="E29" s="459"/>
      <c r="F29" s="459"/>
      <c r="G29" s="488"/>
      <c r="H29" s="39"/>
      <c r="I29" s="39"/>
      <c r="J29" s="39"/>
      <c r="K29" s="39"/>
      <c r="L29" s="39"/>
      <c r="M29" s="411"/>
      <c r="N29" s="39"/>
      <c r="O29" s="39"/>
      <c r="P29" s="39"/>
      <c r="Q29" s="39"/>
      <c r="R29" s="39"/>
      <c r="S29" s="39"/>
      <c r="T29" s="39"/>
      <c r="U29" s="39"/>
    </row>
    <row r="30" spans="1:21" ht="13.5" thickBot="1">
      <c r="A30" s="490"/>
      <c r="B30" s="491"/>
      <c r="C30" s="491"/>
      <c r="D30" s="491"/>
      <c r="E30" s="491"/>
      <c r="F30" s="491"/>
      <c r="G30" s="492"/>
      <c r="H30" s="39"/>
      <c r="I30" s="39"/>
      <c r="J30" s="39"/>
      <c r="K30" s="39"/>
      <c r="L30" s="39"/>
      <c r="M30" s="411"/>
      <c r="N30" s="39"/>
      <c r="O30" s="39"/>
      <c r="P30" s="39"/>
      <c r="Q30" s="39"/>
      <c r="R30" s="39"/>
      <c r="S30" s="39"/>
      <c r="T30" s="39"/>
      <c r="U30" s="39"/>
    </row>
    <row r="31" spans="1:21" ht="6.75" customHeight="1" thickBot="1">
      <c r="A31" s="56"/>
      <c r="B31" s="56"/>
      <c r="C31" s="56"/>
      <c r="D31" s="56"/>
      <c r="E31" s="56"/>
      <c r="F31" s="56"/>
      <c r="G31" s="56"/>
      <c r="H31" s="39"/>
      <c r="I31" s="39"/>
      <c r="J31" s="39"/>
      <c r="K31" s="39"/>
      <c r="L31" s="39"/>
      <c r="M31" s="411"/>
      <c r="N31" s="39"/>
      <c r="O31" s="39"/>
      <c r="P31" s="39"/>
      <c r="Q31" s="39"/>
      <c r="R31" s="39"/>
      <c r="S31" s="39"/>
      <c r="T31" s="39"/>
      <c r="U31" s="39"/>
    </row>
    <row r="32" spans="1:21" ht="15.75" customHeight="1" thickBot="1">
      <c r="A32" s="493" t="s">
        <v>318</v>
      </c>
      <c r="B32" s="494"/>
      <c r="C32" s="494"/>
      <c r="D32" s="495"/>
      <c r="E32" s="495"/>
      <c r="F32" s="495"/>
      <c r="G32" s="496"/>
      <c r="H32" s="39"/>
      <c r="I32" s="39"/>
      <c r="J32" s="39"/>
      <c r="K32" s="39"/>
      <c r="L32" s="39"/>
      <c r="M32" s="411"/>
      <c r="N32" s="39"/>
      <c r="O32" s="39"/>
      <c r="P32" s="39"/>
      <c r="Q32" s="39"/>
      <c r="R32" s="39"/>
      <c r="S32" s="39"/>
      <c r="T32" s="39"/>
      <c r="U32" s="39"/>
    </row>
    <row r="33" spans="1:41" ht="13.5" thickBot="1">
      <c r="A33" s="367" t="s">
        <v>552</v>
      </c>
      <c r="B33" s="368" t="s">
        <v>425</v>
      </c>
      <c r="C33" s="368" t="s">
        <v>486</v>
      </c>
      <c r="D33" s="358" t="s">
        <v>94</v>
      </c>
      <c r="E33" s="358" t="s">
        <v>95</v>
      </c>
      <c r="F33" s="358" t="s">
        <v>101</v>
      </c>
      <c r="G33" s="359" t="s">
        <v>363</v>
      </c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39"/>
      <c r="AC33" s="52" t="s">
        <v>583</v>
      </c>
      <c r="AD33" s="52" t="s">
        <v>584</v>
      </c>
      <c r="AE33" s="52" t="s">
        <v>585</v>
      </c>
      <c r="AF33" s="52"/>
      <c r="AG33" s="414" t="s">
        <v>586</v>
      </c>
      <c r="AH33" s="52" t="s">
        <v>587</v>
      </c>
      <c r="AI33" s="52" t="s">
        <v>104</v>
      </c>
      <c r="AJ33" s="52" t="s">
        <v>105</v>
      </c>
      <c r="AK33" s="300" t="s">
        <v>588</v>
      </c>
      <c r="AL33" s="52" t="s">
        <v>589</v>
      </c>
      <c r="AM33" s="52" t="s">
        <v>18</v>
      </c>
      <c r="AN33" s="52" t="s">
        <v>18</v>
      </c>
      <c r="AO33" s="39"/>
    </row>
    <row r="34" spans="1:41" ht="12.75">
      <c r="A34" s="442" t="s">
        <v>38</v>
      </c>
      <c r="B34" s="443">
        <v>8205</v>
      </c>
      <c r="C34" s="443" t="s">
        <v>591</v>
      </c>
      <c r="D34" s="444">
        <v>39325</v>
      </c>
      <c r="E34" s="444">
        <v>39346</v>
      </c>
      <c r="F34" s="439"/>
      <c r="G34" s="440">
        <v>3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39" t="s">
        <v>25</v>
      </c>
      <c r="AC34" s="52" t="s">
        <v>108</v>
      </c>
      <c r="AD34" s="52" t="s">
        <v>590</v>
      </c>
      <c r="AE34" s="52">
        <v>3</v>
      </c>
      <c r="AF34" s="52"/>
      <c r="AG34" s="414">
        <v>8205</v>
      </c>
      <c r="AH34" s="52" t="s">
        <v>591</v>
      </c>
      <c r="AI34" s="52" t="s">
        <v>109</v>
      </c>
      <c r="AJ34" s="300">
        <v>39325</v>
      </c>
      <c r="AK34" s="408" t="s">
        <v>110</v>
      </c>
      <c r="AL34" s="300">
        <v>39346</v>
      </c>
      <c r="AM34" s="300">
        <v>-14</v>
      </c>
      <c r="AN34" s="52">
        <v>-14</v>
      </c>
      <c r="AO34" s="39"/>
    </row>
    <row r="35" spans="1:41" ht="12.75">
      <c r="A35" s="445" t="s">
        <v>39</v>
      </c>
      <c r="B35" s="446">
        <v>1806</v>
      </c>
      <c r="C35" s="446" t="s">
        <v>593</v>
      </c>
      <c r="D35" s="447">
        <v>39336</v>
      </c>
      <c r="E35" s="447">
        <v>39358</v>
      </c>
      <c r="F35" s="363"/>
      <c r="G35" s="66">
        <v>3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39" t="s">
        <v>25</v>
      </c>
      <c r="AC35" s="52" t="s">
        <v>111</v>
      </c>
      <c r="AD35" s="52" t="s">
        <v>592</v>
      </c>
      <c r="AE35" s="52">
        <v>3</v>
      </c>
      <c r="AF35" s="52"/>
      <c r="AG35" s="414">
        <v>1806</v>
      </c>
      <c r="AH35" s="52" t="s">
        <v>593</v>
      </c>
      <c r="AI35" s="52" t="s">
        <v>112</v>
      </c>
      <c r="AJ35" s="300">
        <v>39336</v>
      </c>
      <c r="AK35" s="408" t="s">
        <v>113</v>
      </c>
      <c r="AL35" s="300">
        <v>39358</v>
      </c>
      <c r="AM35" s="300">
        <v>-16</v>
      </c>
      <c r="AN35" s="52">
        <v>-16</v>
      </c>
      <c r="AO35" s="39"/>
    </row>
    <row r="36" spans="1:41" ht="12.75">
      <c r="A36" s="423" t="s">
        <v>40</v>
      </c>
      <c r="B36" s="424">
        <v>1421</v>
      </c>
      <c r="C36" s="424" t="s">
        <v>594</v>
      </c>
      <c r="D36" s="425">
        <v>39281</v>
      </c>
      <c r="E36" s="426" t="s">
        <v>117</v>
      </c>
      <c r="F36" s="389"/>
      <c r="G36" s="66">
        <v>3</v>
      </c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39" t="s">
        <v>25</v>
      </c>
      <c r="AC36" s="52" t="s">
        <v>114</v>
      </c>
      <c r="AD36" s="52" t="s">
        <v>115</v>
      </c>
      <c r="AE36" s="52">
        <v>3</v>
      </c>
      <c r="AF36" s="52"/>
      <c r="AG36" s="414">
        <v>1421</v>
      </c>
      <c r="AH36" s="52" t="s">
        <v>594</v>
      </c>
      <c r="AI36" s="395">
        <v>39268</v>
      </c>
      <c r="AJ36" s="300">
        <v>39281</v>
      </c>
      <c r="AK36" s="408" t="s">
        <v>116</v>
      </c>
      <c r="AL36" s="52" t="s">
        <v>117</v>
      </c>
      <c r="AM36" s="52">
        <v>12</v>
      </c>
      <c r="AN36" s="52">
        <v>12</v>
      </c>
      <c r="AO36" s="39"/>
    </row>
    <row r="37" spans="1:41" ht="12.75">
      <c r="A37" s="445" t="s">
        <v>41</v>
      </c>
      <c r="B37" s="446">
        <v>1806</v>
      </c>
      <c r="C37" s="446" t="s">
        <v>593</v>
      </c>
      <c r="D37" s="447">
        <v>39336</v>
      </c>
      <c r="E37" s="447">
        <v>39367</v>
      </c>
      <c r="F37" s="363"/>
      <c r="G37" s="66">
        <v>3</v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39" t="s">
        <v>25</v>
      </c>
      <c r="AC37" s="52" t="s">
        <v>118</v>
      </c>
      <c r="AD37" s="52" t="s">
        <v>595</v>
      </c>
      <c r="AE37" s="52">
        <v>3</v>
      </c>
      <c r="AF37" s="52"/>
      <c r="AG37" s="414">
        <v>1806</v>
      </c>
      <c r="AH37" s="52" t="s">
        <v>593</v>
      </c>
      <c r="AI37" s="52" t="s">
        <v>112</v>
      </c>
      <c r="AJ37" s="300">
        <v>39336</v>
      </c>
      <c r="AK37" s="408" t="s">
        <v>119</v>
      </c>
      <c r="AL37" s="300">
        <v>39367</v>
      </c>
      <c r="AM37" s="300">
        <v>-23</v>
      </c>
      <c r="AN37" s="52">
        <v>-23</v>
      </c>
      <c r="AO37" s="39"/>
    </row>
    <row r="38" spans="1:41" ht="12.75">
      <c r="A38" s="281" t="s">
        <v>42</v>
      </c>
      <c r="B38" s="421">
        <v>1416</v>
      </c>
      <c r="C38" s="421" t="s">
        <v>594</v>
      </c>
      <c r="D38" s="63">
        <v>39407</v>
      </c>
      <c r="E38" s="63">
        <v>39407</v>
      </c>
      <c r="F38" s="364"/>
      <c r="G38" s="66">
        <v>3</v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39" t="s">
        <v>25</v>
      </c>
      <c r="AC38" s="52" t="s">
        <v>120</v>
      </c>
      <c r="AD38" s="52" t="s">
        <v>597</v>
      </c>
      <c r="AE38" s="52">
        <v>3</v>
      </c>
      <c r="AF38" s="52"/>
      <c r="AG38" s="414">
        <v>1416</v>
      </c>
      <c r="AH38" s="52" t="s">
        <v>594</v>
      </c>
      <c r="AI38" s="300">
        <v>39295</v>
      </c>
      <c r="AJ38" s="300">
        <v>39407</v>
      </c>
      <c r="AK38" s="408" t="s">
        <v>119</v>
      </c>
      <c r="AL38" s="300">
        <v>39407</v>
      </c>
      <c r="AM38" s="300">
        <v>0</v>
      </c>
      <c r="AN38" s="52">
        <v>0</v>
      </c>
      <c r="AO38" s="39"/>
    </row>
    <row r="39" spans="1:41" ht="12.75">
      <c r="A39" s="423" t="s">
        <v>43</v>
      </c>
      <c r="B39" s="424">
        <v>1803</v>
      </c>
      <c r="C39" s="424" t="s">
        <v>381</v>
      </c>
      <c r="D39" s="425">
        <v>39276</v>
      </c>
      <c r="E39" s="426" t="s">
        <v>107</v>
      </c>
      <c r="F39" s="389"/>
      <c r="G39" s="66">
        <v>3</v>
      </c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39" t="s">
        <v>25</v>
      </c>
      <c r="AC39" s="52" t="s">
        <v>379</v>
      </c>
      <c r="AD39" s="52" t="s">
        <v>578</v>
      </c>
      <c r="AE39" s="52">
        <v>3</v>
      </c>
      <c r="AF39" s="52"/>
      <c r="AG39" s="414">
        <v>1803</v>
      </c>
      <c r="AH39" s="52" t="s">
        <v>381</v>
      </c>
      <c r="AI39" s="52" t="s">
        <v>380</v>
      </c>
      <c r="AJ39" s="300">
        <v>39276</v>
      </c>
      <c r="AK39" s="300" t="s">
        <v>106</v>
      </c>
      <c r="AL39" s="52" t="s">
        <v>107</v>
      </c>
      <c r="AM39" s="52">
        <v>-2</v>
      </c>
      <c r="AN39" s="52">
        <v>-2</v>
      </c>
      <c r="AO39" s="39"/>
    </row>
    <row r="40" spans="1:41" ht="12.75">
      <c r="A40" s="423" t="s">
        <v>44</v>
      </c>
      <c r="B40" s="424">
        <v>1501</v>
      </c>
      <c r="C40" s="424" t="s">
        <v>596</v>
      </c>
      <c r="D40" s="425">
        <v>39283</v>
      </c>
      <c r="E40" s="426" t="s">
        <v>123</v>
      </c>
      <c r="F40" s="389"/>
      <c r="G40" s="66">
        <v>3</v>
      </c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39" t="s">
        <v>25</v>
      </c>
      <c r="AC40" s="52" t="s">
        <v>121</v>
      </c>
      <c r="AD40" s="52" t="s">
        <v>19</v>
      </c>
      <c r="AE40" s="52">
        <v>3</v>
      </c>
      <c r="AF40" s="52"/>
      <c r="AG40" s="414">
        <v>1501</v>
      </c>
      <c r="AH40" s="52" t="s">
        <v>596</v>
      </c>
      <c r="AI40" s="52" t="s">
        <v>122</v>
      </c>
      <c r="AJ40" s="300">
        <v>39283</v>
      </c>
      <c r="AK40" s="300" t="s">
        <v>123</v>
      </c>
      <c r="AL40" s="52" t="s">
        <v>123</v>
      </c>
      <c r="AM40" s="52">
        <v>0</v>
      </c>
      <c r="AN40" s="52">
        <v>0</v>
      </c>
      <c r="AO40" s="73"/>
    </row>
    <row r="41" spans="1:41" ht="12.75">
      <c r="A41" s="423" t="s">
        <v>45</v>
      </c>
      <c r="B41" s="424">
        <v>3101</v>
      </c>
      <c r="C41" s="424" t="s">
        <v>383</v>
      </c>
      <c r="D41" s="425">
        <v>39331</v>
      </c>
      <c r="E41" s="426" t="s">
        <v>17</v>
      </c>
      <c r="F41" s="389"/>
      <c r="G41" s="66">
        <v>3</v>
      </c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39" t="s">
        <v>25</v>
      </c>
      <c r="AC41" s="52" t="s">
        <v>382</v>
      </c>
      <c r="AD41" s="52" t="s">
        <v>27</v>
      </c>
      <c r="AE41" s="52">
        <v>3</v>
      </c>
      <c r="AF41" s="52"/>
      <c r="AG41" s="414">
        <v>3101</v>
      </c>
      <c r="AH41" s="52" t="s">
        <v>383</v>
      </c>
      <c r="AI41" s="52"/>
      <c r="AJ41" s="300">
        <v>39331</v>
      </c>
      <c r="AK41" s="300"/>
      <c r="AL41" s="52" t="s">
        <v>17</v>
      </c>
      <c r="AM41" s="52">
        <v>19</v>
      </c>
      <c r="AN41" s="52">
        <v>19</v>
      </c>
      <c r="AO41" s="39"/>
    </row>
    <row r="42" spans="1:41" ht="14.25">
      <c r="A42" s="429" t="s">
        <v>46</v>
      </c>
      <c r="B42" s="431">
        <v>1431</v>
      </c>
      <c r="C42" s="431" t="s">
        <v>385</v>
      </c>
      <c r="D42" s="430">
        <v>39345</v>
      </c>
      <c r="E42" s="430">
        <v>39349</v>
      </c>
      <c r="F42" s="438">
        <v>39446</v>
      </c>
      <c r="G42" s="434">
        <v>2</v>
      </c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366"/>
      <c r="Y42" s="366"/>
      <c r="Z42" s="366"/>
      <c r="AA42" s="366"/>
      <c r="AB42" s="39" t="s">
        <v>25</v>
      </c>
      <c r="AC42" s="52" t="s">
        <v>384</v>
      </c>
      <c r="AD42" s="52" t="s">
        <v>576</v>
      </c>
      <c r="AE42" s="52">
        <v>2</v>
      </c>
      <c r="AF42" s="52"/>
      <c r="AG42" s="415">
        <v>1431</v>
      </c>
      <c r="AH42" s="52" t="s">
        <v>385</v>
      </c>
      <c r="AI42" s="300">
        <v>39345</v>
      </c>
      <c r="AJ42" s="300"/>
      <c r="AK42" s="300">
        <v>39349</v>
      </c>
      <c r="AL42" s="300"/>
      <c r="AM42" s="52">
        <v>-2</v>
      </c>
      <c r="AN42" s="52">
        <v>-2</v>
      </c>
      <c r="AO42" s="39"/>
    </row>
    <row r="43" spans="1:41" ht="12.75">
      <c r="A43" s="281" t="s">
        <v>47</v>
      </c>
      <c r="B43" s="421">
        <v>8205</v>
      </c>
      <c r="C43" s="421" t="s">
        <v>591</v>
      </c>
      <c r="D43" s="63">
        <v>39370</v>
      </c>
      <c r="E43" s="63">
        <v>39388</v>
      </c>
      <c r="F43" s="363"/>
      <c r="G43" s="66">
        <v>3</v>
      </c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39" t="s">
        <v>25</v>
      </c>
      <c r="AC43" s="52" t="s">
        <v>125</v>
      </c>
      <c r="AD43" s="52" t="s">
        <v>598</v>
      </c>
      <c r="AE43" s="52">
        <v>3</v>
      </c>
      <c r="AF43" s="52"/>
      <c r="AG43" s="414">
        <v>8205</v>
      </c>
      <c r="AH43" s="52" t="s">
        <v>591</v>
      </c>
      <c r="AI43" s="300">
        <v>39329</v>
      </c>
      <c r="AJ43" s="300">
        <v>39370</v>
      </c>
      <c r="AK43" s="300">
        <v>39349</v>
      </c>
      <c r="AL43" s="300">
        <v>39388</v>
      </c>
      <c r="AM43" s="300">
        <v>-14</v>
      </c>
      <c r="AN43" s="52">
        <v>-14</v>
      </c>
      <c r="AO43" s="39"/>
    </row>
    <row r="44" spans="1:41" ht="12.75">
      <c r="A44" s="281" t="s">
        <v>48</v>
      </c>
      <c r="B44" s="421">
        <v>1416</v>
      </c>
      <c r="C44" s="421" t="s">
        <v>594</v>
      </c>
      <c r="D44" s="63">
        <v>39392</v>
      </c>
      <c r="E44" s="63">
        <v>39392</v>
      </c>
      <c r="F44" s="363"/>
      <c r="G44" s="66">
        <v>3</v>
      </c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421"/>
      <c r="Y44" s="421"/>
      <c r="Z44" s="421"/>
      <c r="AA44" s="421"/>
      <c r="AB44" s="39" t="s">
        <v>25</v>
      </c>
      <c r="AC44" s="52" t="s">
        <v>127</v>
      </c>
      <c r="AD44" s="52" t="s">
        <v>601</v>
      </c>
      <c r="AE44" s="52">
        <v>3</v>
      </c>
      <c r="AF44" s="52"/>
      <c r="AG44" s="414">
        <v>1416</v>
      </c>
      <c r="AH44" s="52" t="s">
        <v>594</v>
      </c>
      <c r="AI44" s="52" t="s">
        <v>128</v>
      </c>
      <c r="AJ44" s="300">
        <v>39392</v>
      </c>
      <c r="AK44" s="300" t="s">
        <v>128</v>
      </c>
      <c r="AL44" s="300">
        <v>39392</v>
      </c>
      <c r="AM44" s="300">
        <v>0</v>
      </c>
      <c r="AN44" s="52">
        <v>0</v>
      </c>
      <c r="AO44" s="73"/>
    </row>
    <row r="45" spans="1:41" ht="14.25">
      <c r="A45" s="448" t="s">
        <v>58</v>
      </c>
      <c r="B45" s="449">
        <v>1421</v>
      </c>
      <c r="C45" s="449" t="s">
        <v>594</v>
      </c>
      <c r="D45" s="450">
        <v>39329</v>
      </c>
      <c r="E45" s="450" t="s">
        <v>21</v>
      </c>
      <c r="F45" s="438">
        <v>39416</v>
      </c>
      <c r="G45" s="434">
        <v>2</v>
      </c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21"/>
      <c r="Y45" s="421"/>
      <c r="Z45" s="421"/>
      <c r="AA45" s="421"/>
      <c r="AB45" s="39" t="s">
        <v>25</v>
      </c>
      <c r="AC45" s="52" t="s">
        <v>124</v>
      </c>
      <c r="AD45" s="52" t="s">
        <v>20</v>
      </c>
      <c r="AE45" s="52">
        <v>2</v>
      </c>
      <c r="AF45" s="52"/>
      <c r="AG45" s="415">
        <v>1421</v>
      </c>
      <c r="AH45" s="52" t="s">
        <v>594</v>
      </c>
      <c r="AI45" s="52"/>
      <c r="AJ45" s="300">
        <v>39329</v>
      </c>
      <c r="AK45" s="300"/>
      <c r="AL45" s="52" t="s">
        <v>21</v>
      </c>
      <c r="AM45" s="52">
        <v>-23</v>
      </c>
      <c r="AN45" s="52">
        <v>-23</v>
      </c>
      <c r="AO45" s="39"/>
    </row>
    <row r="46" spans="1:41" ht="14.25">
      <c r="A46" s="429" t="s">
        <v>50</v>
      </c>
      <c r="B46" s="432">
        <v>1302</v>
      </c>
      <c r="C46" s="432" t="s">
        <v>600</v>
      </c>
      <c r="D46" s="430">
        <v>39427</v>
      </c>
      <c r="E46" s="430">
        <v>39374</v>
      </c>
      <c r="F46" s="438">
        <v>39537</v>
      </c>
      <c r="G46" s="434">
        <v>2</v>
      </c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21"/>
      <c r="Y46" s="421"/>
      <c r="Z46" s="421"/>
      <c r="AA46" s="421"/>
      <c r="AB46" s="39" t="s">
        <v>25</v>
      </c>
      <c r="AC46" s="52" t="s">
        <v>129</v>
      </c>
      <c r="AD46" s="52" t="s">
        <v>462</v>
      </c>
      <c r="AE46" s="52">
        <v>2</v>
      </c>
      <c r="AF46" s="52"/>
      <c r="AG46" s="415">
        <v>1302</v>
      </c>
      <c r="AH46" s="52" t="s">
        <v>600</v>
      </c>
      <c r="AI46" s="52"/>
      <c r="AJ46" s="300">
        <v>39427</v>
      </c>
      <c r="AK46" s="300"/>
      <c r="AL46" s="300">
        <v>39374</v>
      </c>
      <c r="AM46" s="300">
        <v>35</v>
      </c>
      <c r="AN46" s="52">
        <v>35</v>
      </c>
      <c r="AO46" s="39"/>
    </row>
    <row r="47" spans="1:41" ht="14.25">
      <c r="A47" s="429" t="s">
        <v>51</v>
      </c>
      <c r="B47" s="431">
        <v>1361</v>
      </c>
      <c r="C47" s="431" t="s">
        <v>600</v>
      </c>
      <c r="D47" s="430">
        <v>39353</v>
      </c>
      <c r="E47" s="430">
        <v>39374</v>
      </c>
      <c r="F47" s="438">
        <v>39447</v>
      </c>
      <c r="G47" s="434">
        <v>2</v>
      </c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283"/>
      <c r="Y47" s="283"/>
      <c r="Z47" s="283"/>
      <c r="AA47" s="283"/>
      <c r="AB47" s="39" t="s">
        <v>25</v>
      </c>
      <c r="AC47" s="52" t="s">
        <v>126</v>
      </c>
      <c r="AD47" s="52" t="s">
        <v>599</v>
      </c>
      <c r="AE47" s="52">
        <v>2</v>
      </c>
      <c r="AF47" s="52"/>
      <c r="AG47" s="416">
        <v>1361</v>
      </c>
      <c r="AH47" s="52" t="s">
        <v>600</v>
      </c>
      <c r="AI47" s="52"/>
      <c r="AJ47" s="300">
        <v>39353</v>
      </c>
      <c r="AK47" s="300"/>
      <c r="AL47" s="300">
        <v>39374</v>
      </c>
      <c r="AM47" s="300">
        <v>-15</v>
      </c>
      <c r="AN47" s="52">
        <v>-15</v>
      </c>
      <c r="AO47" s="39"/>
    </row>
    <row r="48" spans="1:41" ht="12.75">
      <c r="A48" s="281" t="s">
        <v>52</v>
      </c>
      <c r="B48" s="421">
        <v>1803</v>
      </c>
      <c r="C48" s="421" t="s">
        <v>381</v>
      </c>
      <c r="D48" s="63">
        <v>39407</v>
      </c>
      <c r="E48" s="63">
        <v>39384</v>
      </c>
      <c r="F48" s="363"/>
      <c r="G48" s="66">
        <v>3</v>
      </c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421"/>
      <c r="Y48" s="421"/>
      <c r="Z48" s="421"/>
      <c r="AA48" s="421"/>
      <c r="AB48" s="39" t="s">
        <v>25</v>
      </c>
      <c r="AC48" s="52" t="s">
        <v>386</v>
      </c>
      <c r="AD48" s="52" t="s">
        <v>387</v>
      </c>
      <c r="AE48" s="52">
        <v>3</v>
      </c>
      <c r="AF48" s="52"/>
      <c r="AG48" s="414">
        <v>1803</v>
      </c>
      <c r="AH48" s="52" t="s">
        <v>381</v>
      </c>
      <c r="AI48" s="52"/>
      <c r="AJ48" s="300">
        <v>39407</v>
      </c>
      <c r="AK48" s="300"/>
      <c r="AL48" s="300">
        <v>39384</v>
      </c>
      <c r="AM48" s="300">
        <v>17</v>
      </c>
      <c r="AN48" s="52">
        <v>17</v>
      </c>
      <c r="AO48" s="39"/>
    </row>
    <row r="49" spans="1:41" ht="12.75">
      <c r="A49" s="281" t="s">
        <v>53</v>
      </c>
      <c r="B49" s="421">
        <v>8205</v>
      </c>
      <c r="C49" s="421" t="s">
        <v>591</v>
      </c>
      <c r="D49" s="63">
        <v>39493</v>
      </c>
      <c r="E49" s="63">
        <v>39513</v>
      </c>
      <c r="F49" s="364"/>
      <c r="G49" s="66">
        <v>3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421"/>
      <c r="Y49" s="421"/>
      <c r="Z49" s="421"/>
      <c r="AA49" s="421"/>
      <c r="AB49" s="39" t="s">
        <v>25</v>
      </c>
      <c r="AC49" s="52" t="s">
        <v>130</v>
      </c>
      <c r="AD49" s="52" t="s">
        <v>602</v>
      </c>
      <c r="AE49" s="52">
        <v>3</v>
      </c>
      <c r="AF49" s="52"/>
      <c r="AG49" s="414">
        <v>8205</v>
      </c>
      <c r="AH49" s="52" t="s">
        <v>591</v>
      </c>
      <c r="AI49" s="300">
        <v>39371</v>
      </c>
      <c r="AJ49" s="300">
        <v>39493</v>
      </c>
      <c r="AK49" s="300">
        <v>39391</v>
      </c>
      <c r="AL49" s="300">
        <v>39513</v>
      </c>
      <c r="AM49" s="300">
        <v>-14</v>
      </c>
      <c r="AN49" s="52">
        <v>-14</v>
      </c>
      <c r="AO49" s="73"/>
    </row>
    <row r="50" spans="1:41" ht="12.75">
      <c r="A50" s="281" t="s">
        <v>54</v>
      </c>
      <c r="B50" s="421">
        <v>1361</v>
      </c>
      <c r="C50" s="421" t="s">
        <v>600</v>
      </c>
      <c r="D50" s="63">
        <v>39409</v>
      </c>
      <c r="E50" s="63">
        <v>39409</v>
      </c>
      <c r="F50" s="364"/>
      <c r="G50" s="66">
        <v>3</v>
      </c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421"/>
      <c r="Y50" s="421"/>
      <c r="Z50" s="421"/>
      <c r="AA50" s="421"/>
      <c r="AB50" s="39" t="s">
        <v>25</v>
      </c>
      <c r="AC50" s="52" t="s">
        <v>131</v>
      </c>
      <c r="AD50" s="52" t="s">
        <v>603</v>
      </c>
      <c r="AE50" s="52">
        <v>3</v>
      </c>
      <c r="AF50" s="52"/>
      <c r="AG50" s="414">
        <v>1361</v>
      </c>
      <c r="AH50" s="52" t="s">
        <v>600</v>
      </c>
      <c r="AI50" s="52" t="s">
        <v>132</v>
      </c>
      <c r="AJ50" s="300">
        <v>39409</v>
      </c>
      <c r="AK50" s="300" t="s">
        <v>132</v>
      </c>
      <c r="AL50" s="300">
        <v>39409</v>
      </c>
      <c r="AM50" s="300">
        <v>0</v>
      </c>
      <c r="AN50" s="52">
        <v>0</v>
      </c>
      <c r="AO50" s="73"/>
    </row>
    <row r="51" spans="1:41" ht="12.75">
      <c r="A51" s="281" t="s">
        <v>55</v>
      </c>
      <c r="B51" s="421">
        <v>1302</v>
      </c>
      <c r="C51" s="421" t="s">
        <v>600</v>
      </c>
      <c r="D51" s="63">
        <v>39531</v>
      </c>
      <c r="E51" s="63">
        <v>39436</v>
      </c>
      <c r="F51" s="364"/>
      <c r="G51" s="66">
        <v>3</v>
      </c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421"/>
      <c r="Y51" s="421"/>
      <c r="Z51" s="421"/>
      <c r="AA51" s="421"/>
      <c r="AB51" s="39" t="s">
        <v>25</v>
      </c>
      <c r="AC51" s="52" t="s">
        <v>133</v>
      </c>
      <c r="AD51" s="52" t="s">
        <v>22</v>
      </c>
      <c r="AE51" s="52">
        <v>3</v>
      </c>
      <c r="AF51" s="52"/>
      <c r="AG51" s="414">
        <v>1302</v>
      </c>
      <c r="AH51" s="52" t="s">
        <v>600</v>
      </c>
      <c r="AI51" s="300">
        <v>39528</v>
      </c>
      <c r="AJ51" s="300">
        <v>39531</v>
      </c>
      <c r="AK51" s="300">
        <v>39435</v>
      </c>
      <c r="AL51" s="300">
        <v>39436</v>
      </c>
      <c r="AM51" s="300">
        <v>60</v>
      </c>
      <c r="AN51" s="52">
        <v>60</v>
      </c>
      <c r="AO51" s="39"/>
    </row>
    <row r="52" spans="1:41" ht="12.75">
      <c r="A52" s="281" t="s">
        <v>56</v>
      </c>
      <c r="B52" s="283">
        <v>1416</v>
      </c>
      <c r="C52" s="283" t="s">
        <v>594</v>
      </c>
      <c r="D52" s="63">
        <v>39461</v>
      </c>
      <c r="E52" s="63">
        <v>39472</v>
      </c>
      <c r="F52" s="364"/>
      <c r="G52" s="66">
        <v>3</v>
      </c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366"/>
      <c r="Y52" s="366"/>
      <c r="Z52" s="366"/>
      <c r="AA52" s="366"/>
      <c r="AB52" s="39" t="s">
        <v>25</v>
      </c>
      <c r="AC52" s="52" t="s">
        <v>134</v>
      </c>
      <c r="AD52" s="52" t="s">
        <v>463</v>
      </c>
      <c r="AE52" s="283">
        <v>3</v>
      </c>
      <c r="AF52" s="283"/>
      <c r="AG52" s="417">
        <v>1416</v>
      </c>
      <c r="AH52" s="300" t="s">
        <v>594</v>
      </c>
      <c r="AI52" s="63">
        <v>39430</v>
      </c>
      <c r="AJ52" s="363">
        <v>39461</v>
      </c>
      <c r="AK52" s="63">
        <v>39454</v>
      </c>
      <c r="AL52" s="300">
        <v>39472</v>
      </c>
      <c r="AM52" s="300">
        <v>-9</v>
      </c>
      <c r="AN52" s="52">
        <v>-9</v>
      </c>
      <c r="AO52" s="39"/>
    </row>
    <row r="53" spans="1:41" ht="13.5" thickBot="1">
      <c r="A53" s="435" t="s">
        <v>57</v>
      </c>
      <c r="B53" s="422">
        <v>1702</v>
      </c>
      <c r="C53" s="422" t="s">
        <v>596</v>
      </c>
      <c r="D53" s="436">
        <v>39412</v>
      </c>
      <c r="E53" s="436">
        <v>39482</v>
      </c>
      <c r="F53" s="441"/>
      <c r="G53" s="437">
        <v>3</v>
      </c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52"/>
      <c r="Y53" s="52"/>
      <c r="Z53" s="52"/>
      <c r="AA53" s="52"/>
      <c r="AB53" s="39" t="s">
        <v>25</v>
      </c>
      <c r="AC53" s="52" t="s">
        <v>23</v>
      </c>
      <c r="AD53" s="52" t="s">
        <v>29</v>
      </c>
      <c r="AE53" s="52">
        <v>3</v>
      </c>
      <c r="AF53" s="52"/>
      <c r="AG53" s="414">
        <v>1702</v>
      </c>
      <c r="AH53" s="300" t="s">
        <v>596</v>
      </c>
      <c r="AI53" s="300">
        <v>39412</v>
      </c>
      <c r="AJ53" s="363">
        <v>39412</v>
      </c>
      <c r="AK53" s="300">
        <v>39482</v>
      </c>
      <c r="AL53" s="300">
        <v>39482</v>
      </c>
      <c r="AM53" s="300">
        <v>-41</v>
      </c>
      <c r="AN53" s="52">
        <v>-41</v>
      </c>
      <c r="AO53" s="39"/>
    </row>
    <row r="54" spans="1:41" ht="4.5" customHeight="1" thickBo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85"/>
      <c r="AC54" s="52" t="s">
        <v>135</v>
      </c>
      <c r="AD54" s="52" t="s">
        <v>24</v>
      </c>
      <c r="AE54" s="52">
        <v>3</v>
      </c>
      <c r="AF54" s="52"/>
      <c r="AG54" s="414">
        <v>1421</v>
      </c>
      <c r="AH54" s="300" t="s">
        <v>594</v>
      </c>
      <c r="AI54" s="52"/>
      <c r="AJ54" s="363">
        <v>39454</v>
      </c>
      <c r="AK54" s="300"/>
      <c r="AL54" s="410">
        <v>39485</v>
      </c>
      <c r="AM54" s="410">
        <v>-23</v>
      </c>
      <c r="AN54" s="4">
        <v>-23</v>
      </c>
      <c r="AO54" s="39"/>
    </row>
    <row r="55" spans="1:41" ht="15">
      <c r="A55" s="80"/>
      <c r="B55" s="81"/>
      <c r="C55" s="81"/>
      <c r="D55" s="82" t="s">
        <v>98</v>
      </c>
      <c r="E55" s="83"/>
      <c r="F55" s="83"/>
      <c r="G55" s="8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85"/>
      <c r="AC55" s="52" t="s">
        <v>30</v>
      </c>
      <c r="AD55" s="52" t="s">
        <v>31</v>
      </c>
      <c r="AE55" s="52">
        <v>3</v>
      </c>
      <c r="AF55" s="52"/>
      <c r="AG55" s="414">
        <v>1501</v>
      </c>
      <c r="AH55" s="300" t="s">
        <v>596</v>
      </c>
      <c r="AI55" s="300">
        <v>39346</v>
      </c>
      <c r="AJ55" s="363">
        <v>39346</v>
      </c>
      <c r="AK55" s="300">
        <v>39499</v>
      </c>
      <c r="AL55" s="410">
        <v>39499</v>
      </c>
      <c r="AM55" s="410">
        <v>-100</v>
      </c>
      <c r="AN55" s="4">
        <v>-100</v>
      </c>
      <c r="AO55"/>
    </row>
    <row r="56" spans="1:41" ht="12.75">
      <c r="A56" s="497"/>
      <c r="B56" s="498"/>
      <c r="C56" s="498"/>
      <c r="D56" s="499"/>
      <c r="E56" s="221"/>
      <c r="F56" s="86" t="s">
        <v>96</v>
      </c>
      <c r="G56" s="86" t="s">
        <v>97</v>
      </c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85"/>
      <c r="AC56" s="52" t="s">
        <v>32</v>
      </c>
      <c r="AD56" s="52" t="s">
        <v>33</v>
      </c>
      <c r="AE56" s="52">
        <v>2</v>
      </c>
      <c r="AF56" s="52"/>
      <c r="AG56" s="414">
        <v>1352</v>
      </c>
      <c r="AH56" s="300" t="s">
        <v>600</v>
      </c>
      <c r="AI56" s="301"/>
      <c r="AJ56" s="364">
        <v>39595</v>
      </c>
      <c r="AK56" s="300"/>
      <c r="AL56" s="410">
        <v>39510</v>
      </c>
      <c r="AM56" s="410">
        <v>60</v>
      </c>
      <c r="AN56" s="4">
        <v>60</v>
      </c>
      <c r="AO56"/>
    </row>
    <row r="57" spans="1:41" ht="15">
      <c r="A57" s="500"/>
      <c r="B57" s="501"/>
      <c r="C57" s="501"/>
      <c r="D57" s="502"/>
      <c r="E57" s="87" t="s">
        <v>538</v>
      </c>
      <c r="F57" s="197">
        <f>SUM('BCWS by JOB'!$I$108)</f>
        <v>4745</v>
      </c>
      <c r="G57" s="222">
        <f>SUM('BCWS by JOB'!I83:I86)</f>
        <v>1364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433"/>
      <c r="Y57" s="433"/>
      <c r="Z57" s="433"/>
      <c r="AA57" s="433"/>
      <c r="AB57" s="85"/>
      <c r="AC57" s="52" t="s">
        <v>388</v>
      </c>
      <c r="AD57" s="52" t="s">
        <v>28</v>
      </c>
      <c r="AE57" s="283">
        <v>3</v>
      </c>
      <c r="AF57" s="283"/>
      <c r="AG57" s="417">
        <v>1810</v>
      </c>
      <c r="AH57" s="300" t="s">
        <v>389</v>
      </c>
      <c r="AI57" s="63">
        <v>39479</v>
      </c>
      <c r="AJ57" s="363">
        <v>39484</v>
      </c>
      <c r="AK57" s="63">
        <v>39511</v>
      </c>
      <c r="AL57" s="410">
        <v>39514</v>
      </c>
      <c r="AM57" s="410">
        <v>-22</v>
      </c>
      <c r="AN57" s="4">
        <v>-22</v>
      </c>
      <c r="AO57"/>
    </row>
    <row r="58" spans="1:41" ht="15">
      <c r="A58" s="500"/>
      <c r="B58" s="501"/>
      <c r="C58" s="501"/>
      <c r="D58" s="502"/>
      <c r="E58" s="87" t="s">
        <v>539</v>
      </c>
      <c r="F58" s="197">
        <f>SUM('BCWS by JOB'!$I$109)</f>
        <v>4429.0134102</v>
      </c>
      <c r="G58" s="222">
        <f>+'BCWS by JOB'!I109-'BCWS by JOB'!H109</f>
        <v>1243.0134102000002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433"/>
      <c r="Y58" s="433"/>
      <c r="Z58" s="433"/>
      <c r="AA58" s="433"/>
      <c r="AB58" s="85"/>
      <c r="AC58" s="52" t="s">
        <v>34</v>
      </c>
      <c r="AD58" s="52" t="s">
        <v>35</v>
      </c>
      <c r="AE58" s="52">
        <v>3</v>
      </c>
      <c r="AF58" s="52"/>
      <c r="AG58" s="414">
        <v>8205</v>
      </c>
      <c r="AH58" s="300" t="s">
        <v>591</v>
      </c>
      <c r="AI58" s="300">
        <v>39496</v>
      </c>
      <c r="AJ58" s="363">
        <v>39608</v>
      </c>
      <c r="AK58" s="300">
        <v>39514</v>
      </c>
      <c r="AL58" s="410">
        <v>39626</v>
      </c>
      <c r="AM58" s="410">
        <v>-14</v>
      </c>
      <c r="AN58" s="4">
        <v>-14</v>
      </c>
      <c r="AO58"/>
    </row>
    <row r="59" spans="1:41" ht="15">
      <c r="A59" s="500"/>
      <c r="B59" s="501"/>
      <c r="C59" s="501"/>
      <c r="D59" s="502"/>
      <c r="E59" s="87" t="s">
        <v>540</v>
      </c>
      <c r="F59" s="197">
        <f>SUM('BCWS by JOB'!$I$110)</f>
        <v>3976.844562535116</v>
      </c>
      <c r="G59" s="222">
        <f>SUM('ACWP by JOB'!I76)</f>
        <v>1462.7869999999998</v>
      </c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433"/>
      <c r="Y59" s="433"/>
      <c r="Z59" s="433"/>
      <c r="AA59" s="433"/>
      <c r="AB59" s="85"/>
      <c r="AC59" s="52" t="s">
        <v>36</v>
      </c>
      <c r="AD59" s="52" t="s">
        <v>37</v>
      </c>
      <c r="AE59" s="52">
        <v>2</v>
      </c>
      <c r="AF59" s="52"/>
      <c r="AG59" s="414">
        <v>1702</v>
      </c>
      <c r="AH59" s="300" t="s">
        <v>596</v>
      </c>
      <c r="AI59" s="300"/>
      <c r="AJ59" s="363">
        <v>39482</v>
      </c>
      <c r="AK59" s="300"/>
      <c r="AL59" s="410">
        <v>39534</v>
      </c>
      <c r="AM59" s="410">
        <v>-38</v>
      </c>
      <c r="AN59" s="4">
        <v>-38</v>
      </c>
      <c r="AO59"/>
    </row>
    <row r="60" spans="1:41" ht="15">
      <c r="A60" s="500"/>
      <c r="B60" s="501"/>
      <c r="C60" s="501"/>
      <c r="D60" s="502"/>
      <c r="E60" s="87" t="s">
        <v>541</v>
      </c>
      <c r="F60" s="197">
        <f>+F58-F59</f>
        <v>452.1688476648842</v>
      </c>
      <c r="G60" s="223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52"/>
      <c r="Y60" s="52"/>
      <c r="Z60" s="52"/>
      <c r="AA60" s="52"/>
      <c r="AB60" s="85"/>
      <c r="AG60" s="418"/>
      <c r="AO60"/>
    </row>
    <row r="61" spans="1:21" ht="15">
      <c r="A61" s="500"/>
      <c r="B61" s="501"/>
      <c r="C61" s="501"/>
      <c r="D61" s="502"/>
      <c r="E61" s="87" t="s">
        <v>542</v>
      </c>
      <c r="F61" s="197">
        <f>+F58-F57</f>
        <v>-315.9865897999998</v>
      </c>
      <c r="G61" s="223"/>
      <c r="H61" s="52"/>
      <c r="I61" s="407"/>
      <c r="J61" s="407"/>
      <c r="K61" s="366"/>
      <c r="L61" s="366"/>
      <c r="M61" s="419"/>
      <c r="N61" s="409"/>
      <c r="O61" s="63"/>
      <c r="P61" s="364"/>
      <c r="Q61" s="366"/>
      <c r="R61" s="4"/>
      <c r="S61" s="4"/>
      <c r="T61" s="4"/>
      <c r="U61"/>
    </row>
    <row r="62" spans="1:21" ht="12.75">
      <c r="A62" s="500"/>
      <c r="B62" s="501"/>
      <c r="C62" s="501"/>
      <c r="D62" s="502"/>
      <c r="E62" s="87" t="s">
        <v>543</v>
      </c>
      <c r="F62" s="284">
        <f>+F58/F59</f>
        <v>1.1137004075856163</v>
      </c>
      <c r="G62" s="285">
        <f>+G58/G59</f>
        <v>0.8497569435604776</v>
      </c>
      <c r="H62" s="52"/>
      <c r="I62" s="52"/>
      <c r="J62" s="52"/>
      <c r="K62" s="52"/>
      <c r="L62" s="52"/>
      <c r="M62" s="414"/>
      <c r="N62" s="300"/>
      <c r="O62" s="300"/>
      <c r="P62" s="363"/>
      <c r="Q62" s="52"/>
      <c r="R62" s="4"/>
      <c r="S62" s="4"/>
      <c r="T62" s="4"/>
      <c r="U62"/>
    </row>
    <row r="63" spans="1:21" ht="12.75">
      <c r="A63" s="500"/>
      <c r="B63" s="501"/>
      <c r="C63" s="501"/>
      <c r="D63" s="502"/>
      <c r="E63" s="87" t="s">
        <v>544</v>
      </c>
      <c r="F63" s="284">
        <f>+F58/F57</f>
        <v>0.9334064088935722</v>
      </c>
      <c r="G63" s="285">
        <f>+G58/G57</f>
        <v>0.911300154105572</v>
      </c>
      <c r="H63" s="85"/>
      <c r="I63" s="52"/>
      <c r="J63" s="52"/>
      <c r="K63" s="52"/>
      <c r="L63" s="52"/>
      <c r="M63" s="414"/>
      <c r="N63" s="300"/>
      <c r="O63" s="300"/>
      <c r="P63" s="363"/>
      <c r="Q63" s="52"/>
      <c r="R63" s="4"/>
      <c r="S63" s="4"/>
      <c r="T63" s="4"/>
      <c r="U63"/>
    </row>
    <row r="64" spans="1:21" ht="15">
      <c r="A64" s="500"/>
      <c r="B64" s="501"/>
      <c r="C64" s="501"/>
      <c r="D64" s="502"/>
      <c r="E64" s="87" t="s">
        <v>536</v>
      </c>
      <c r="F64" s="197">
        <f>SUM('BCWS by JOB'!A83:A86)</f>
        <v>117733.138</v>
      </c>
      <c r="G64" s="224"/>
      <c r="H64" s="85"/>
      <c r="I64" s="52"/>
      <c r="J64" s="52"/>
      <c r="K64" s="52"/>
      <c r="L64" s="52"/>
      <c r="M64" s="414"/>
      <c r="N64" s="300"/>
      <c r="O64" s="300"/>
      <c r="P64" s="363"/>
      <c r="Q64" s="52"/>
      <c r="R64" s="4"/>
      <c r="S64" s="4"/>
      <c r="T64" s="4"/>
      <c r="U64"/>
    </row>
    <row r="65" spans="1:21" ht="15">
      <c r="A65" s="500"/>
      <c r="B65" s="501"/>
      <c r="C65" s="501"/>
      <c r="D65" s="502"/>
      <c r="E65" s="87" t="s">
        <v>537</v>
      </c>
      <c r="F65" s="198"/>
      <c r="G65" s="224"/>
      <c r="H65" s="85"/>
      <c r="I65" s="52"/>
      <c r="J65" s="52"/>
      <c r="K65" s="52"/>
      <c r="L65" s="52"/>
      <c r="M65" s="414"/>
      <c r="N65" s="300"/>
      <c r="O65" s="300"/>
      <c r="P65" s="363"/>
      <c r="Q65" s="52"/>
      <c r="R65" s="4"/>
      <c r="S65" s="4"/>
      <c r="T65" s="4"/>
      <c r="U65"/>
    </row>
    <row r="66" spans="1:21" ht="12.75">
      <c r="A66" s="500"/>
      <c r="B66" s="501"/>
      <c r="C66" s="501"/>
      <c r="D66" s="502"/>
      <c r="E66" s="225" t="s">
        <v>535</v>
      </c>
      <c r="F66" s="226"/>
      <c r="G66" s="227"/>
      <c r="H66" s="85"/>
      <c r="I66" s="52"/>
      <c r="J66" s="52"/>
      <c r="K66" s="283"/>
      <c r="L66" s="283"/>
      <c r="M66" s="417"/>
      <c r="N66" s="300"/>
      <c r="O66" s="63"/>
      <c r="P66" s="363"/>
      <c r="Q66" s="283"/>
      <c r="R66" s="4"/>
      <c r="S66" s="4"/>
      <c r="T66" s="4"/>
      <c r="U66"/>
    </row>
    <row r="67" spans="1:21" ht="12.75">
      <c r="A67" s="500"/>
      <c r="B67" s="501"/>
      <c r="C67" s="501"/>
      <c r="D67" s="502"/>
      <c r="E67" s="89" t="s">
        <v>545</v>
      </c>
      <c r="F67" s="506"/>
      <c r="G67" s="507"/>
      <c r="H67" s="85"/>
      <c r="I67" s="52"/>
      <c r="J67" s="52"/>
      <c r="K67" s="52"/>
      <c r="L67" s="52"/>
      <c r="M67" s="414"/>
      <c r="N67" s="300"/>
      <c r="O67" s="300"/>
      <c r="P67" s="363"/>
      <c r="Q67" s="52"/>
      <c r="R67" s="4"/>
      <c r="S67" s="4"/>
      <c r="T67" s="4"/>
      <c r="U67"/>
    </row>
    <row r="68" spans="1:21" ht="12.75">
      <c r="A68" s="500"/>
      <c r="B68" s="501"/>
      <c r="C68" s="501"/>
      <c r="D68" s="502"/>
      <c r="E68" s="508"/>
      <c r="F68" s="477"/>
      <c r="G68" s="509"/>
      <c r="H68" s="85"/>
      <c r="I68" s="52"/>
      <c r="J68" s="52"/>
      <c r="K68" s="52"/>
      <c r="L68" s="52"/>
      <c r="M68" s="414"/>
      <c r="N68" s="300"/>
      <c r="O68" s="300"/>
      <c r="P68" s="364"/>
      <c r="Q68" s="52"/>
      <c r="R68" s="4"/>
      <c r="S68" s="4"/>
      <c r="T68" s="4"/>
      <c r="U68"/>
    </row>
    <row r="69" spans="1:21" ht="12.75">
      <c r="A69" s="503"/>
      <c r="B69" s="504"/>
      <c r="C69" s="504"/>
      <c r="D69" s="505"/>
      <c r="E69" s="510"/>
      <c r="F69" s="511"/>
      <c r="G69" s="512"/>
      <c r="H69" s="39"/>
      <c r="I69" s="52"/>
      <c r="J69" s="52"/>
      <c r="K69" s="52"/>
      <c r="L69" s="52"/>
      <c r="M69" s="414"/>
      <c r="N69" s="300"/>
      <c r="O69" s="300"/>
      <c r="P69" s="364"/>
      <c r="Q69" s="52"/>
      <c r="R69" s="4"/>
      <c r="S69" s="4"/>
      <c r="T69" s="4"/>
      <c r="U69"/>
    </row>
    <row r="70" spans="1:21" ht="12.75">
      <c r="A70" s="465" t="s">
        <v>99</v>
      </c>
      <c r="B70" s="466"/>
      <c r="C70" s="466"/>
      <c r="D70" s="467"/>
      <c r="E70" s="467"/>
      <c r="F70" s="467"/>
      <c r="G70" s="468"/>
      <c r="H70" s="39"/>
      <c r="I70" s="52"/>
      <c r="J70" s="52"/>
      <c r="K70" s="52"/>
      <c r="L70" s="52"/>
      <c r="M70" s="414"/>
      <c r="N70" s="300"/>
      <c r="O70" s="300"/>
      <c r="P70" s="363"/>
      <c r="Q70" s="52"/>
      <c r="R70" s="4"/>
      <c r="S70" s="4"/>
      <c r="T70" s="4"/>
      <c r="U70"/>
    </row>
    <row r="71" spans="1:21" ht="12.75">
      <c r="A71" s="469" t="s">
        <v>554</v>
      </c>
      <c r="B71" s="470"/>
      <c r="C71" s="470"/>
      <c r="D71" s="471"/>
      <c r="E71" s="90" t="s">
        <v>555</v>
      </c>
      <c r="F71" s="91"/>
      <c r="G71" s="92"/>
      <c r="H71" s="39"/>
      <c r="I71" s="52"/>
      <c r="J71" s="52"/>
      <c r="K71" s="52"/>
      <c r="L71" s="52"/>
      <c r="M71" s="414"/>
      <c r="N71" s="300"/>
      <c r="O71" s="300"/>
      <c r="P71" s="363"/>
      <c r="Q71" s="52"/>
      <c r="R71" s="4"/>
      <c r="S71" s="4"/>
      <c r="T71" s="4"/>
      <c r="U71"/>
    </row>
    <row r="72" spans="1:21" ht="12.75">
      <c r="A72" s="472"/>
      <c r="B72" s="473"/>
      <c r="C72" s="473"/>
      <c r="D72" s="474"/>
      <c r="E72" s="473"/>
      <c r="F72" s="474"/>
      <c r="G72" s="453"/>
      <c r="H72" s="39"/>
      <c r="I72" s="52"/>
      <c r="J72" s="52"/>
      <c r="K72" s="52"/>
      <c r="L72" s="52"/>
      <c r="M72" s="414"/>
      <c r="N72" s="300"/>
      <c r="O72" s="300"/>
      <c r="P72" s="363"/>
      <c r="Q72" s="52"/>
      <c r="R72" s="4"/>
      <c r="S72" s="4"/>
      <c r="T72" s="4"/>
      <c r="U72"/>
    </row>
    <row r="73" spans="1:21" ht="12.75">
      <c r="A73" s="475"/>
      <c r="B73" s="476"/>
      <c r="C73" s="476"/>
      <c r="D73" s="477"/>
      <c r="E73" s="476"/>
      <c r="F73" s="477"/>
      <c r="G73" s="454"/>
      <c r="H73" s="39"/>
      <c r="I73" s="52"/>
      <c r="J73" s="52"/>
      <c r="K73" s="52"/>
      <c r="L73" s="52"/>
      <c r="M73" s="414"/>
      <c r="N73" s="300"/>
      <c r="O73" s="300"/>
      <c r="P73" s="363"/>
      <c r="Q73" s="52"/>
      <c r="R73" s="4"/>
      <c r="S73" s="4"/>
      <c r="T73" s="4"/>
      <c r="U73"/>
    </row>
    <row r="74" spans="1:21" ht="12.75">
      <c r="A74" s="475"/>
      <c r="B74" s="476"/>
      <c r="C74" s="476"/>
      <c r="D74" s="477"/>
      <c r="E74" s="476"/>
      <c r="F74" s="477"/>
      <c r="G74" s="454"/>
      <c r="H74" s="39"/>
      <c r="I74" s="52"/>
      <c r="J74" s="52"/>
      <c r="K74" s="283"/>
      <c r="L74" s="283"/>
      <c r="M74" s="417"/>
      <c r="N74" s="300"/>
      <c r="O74" s="63"/>
      <c r="P74" s="363"/>
      <c r="Q74" s="283"/>
      <c r="R74" s="4"/>
      <c r="S74" s="4"/>
      <c r="T74" s="4"/>
      <c r="U74"/>
    </row>
    <row r="75" spans="1:21" ht="12.75">
      <c r="A75" s="475"/>
      <c r="B75" s="476"/>
      <c r="C75" s="476"/>
      <c r="D75" s="477"/>
      <c r="E75" s="476"/>
      <c r="F75" s="477"/>
      <c r="G75" s="454"/>
      <c r="H75" s="39"/>
      <c r="I75" s="52"/>
      <c r="J75" s="52"/>
      <c r="K75" s="52"/>
      <c r="L75" s="52"/>
      <c r="M75" s="414"/>
      <c r="N75" s="300"/>
      <c r="O75" s="300"/>
      <c r="P75" s="363"/>
      <c r="Q75" s="52"/>
      <c r="R75" s="4"/>
      <c r="S75" s="4"/>
      <c r="T75" s="4"/>
      <c r="U75"/>
    </row>
    <row r="76" spans="1:21" ht="12.75">
      <c r="A76" s="478"/>
      <c r="B76" s="477"/>
      <c r="C76" s="477"/>
      <c r="D76" s="477"/>
      <c r="E76" s="477"/>
      <c r="F76" s="477"/>
      <c r="G76" s="454"/>
      <c r="H76" s="85"/>
      <c r="I76" s="52"/>
      <c r="J76" s="52"/>
      <c r="K76" s="52"/>
      <c r="L76" s="52"/>
      <c r="M76" s="414"/>
      <c r="N76" s="300"/>
      <c r="O76" s="300"/>
      <c r="P76" s="363"/>
      <c r="Q76" s="52"/>
      <c r="R76" s="4"/>
      <c r="S76" s="4"/>
      <c r="T76" s="4"/>
      <c r="U76"/>
    </row>
    <row r="77" spans="1:21" ht="12.75">
      <c r="A77" s="478"/>
      <c r="B77" s="477"/>
      <c r="C77" s="477"/>
      <c r="D77" s="477"/>
      <c r="E77" s="477"/>
      <c r="F77" s="477"/>
      <c r="G77" s="454"/>
      <c r="H77" s="85"/>
      <c r="I77" s="52"/>
      <c r="J77" s="52"/>
      <c r="K77" s="52"/>
      <c r="L77" s="52"/>
      <c r="M77" s="414"/>
      <c r="N77" s="300"/>
      <c r="O77" s="300"/>
      <c r="P77" s="363"/>
      <c r="Q77" s="4"/>
      <c r="R77" s="4"/>
      <c r="S77" s="4"/>
      <c r="T77" s="4"/>
      <c r="U77"/>
    </row>
    <row r="78" spans="1:21" ht="13.5" thickBot="1">
      <c r="A78" s="479"/>
      <c r="B78" s="480"/>
      <c r="C78" s="480"/>
      <c r="D78" s="480"/>
      <c r="E78" s="480"/>
      <c r="F78" s="480"/>
      <c r="G78" s="481"/>
      <c r="H78" s="39"/>
      <c r="I78" s="52"/>
      <c r="J78" s="52"/>
      <c r="K78" s="52"/>
      <c r="L78" s="52"/>
      <c r="M78" s="414"/>
      <c r="N78" s="300"/>
      <c r="O78" s="300"/>
      <c r="P78" s="363"/>
      <c r="Q78" s="4"/>
      <c r="R78" s="4"/>
      <c r="S78" s="4"/>
      <c r="T78" s="4"/>
      <c r="U78"/>
    </row>
    <row r="79" spans="1:21" ht="17.25" customHeight="1" thickBot="1">
      <c r="A79" s="56"/>
      <c r="B79" s="56"/>
      <c r="C79" s="56"/>
      <c r="D79" s="56"/>
      <c r="E79" s="56"/>
      <c r="F79" s="56"/>
      <c r="G79" s="56"/>
      <c r="H79" s="39"/>
      <c r="I79" s="4"/>
      <c r="J79" s="4"/>
      <c r="K79" s="4"/>
      <c r="L79" s="4"/>
      <c r="M79" s="420"/>
      <c r="N79" s="4"/>
      <c r="O79" s="4"/>
      <c r="P79" s="4"/>
      <c r="Q79" s="4"/>
      <c r="R79" s="4"/>
      <c r="S79" s="4"/>
      <c r="T79" s="4"/>
      <c r="U79"/>
    </row>
    <row r="80" spans="1:21" ht="14.25">
      <c r="A80" s="93" t="s">
        <v>547</v>
      </c>
      <c r="B80" s="94"/>
      <c r="C80" s="94"/>
      <c r="D80" s="95"/>
      <c r="E80" s="96"/>
      <c r="F80" s="97"/>
      <c r="G80" s="98"/>
      <c r="H80" s="39"/>
      <c r="I80" s="4"/>
      <c r="J80" s="4"/>
      <c r="K80" s="4"/>
      <c r="L80" s="4"/>
      <c r="M80" s="420"/>
      <c r="N80" s="4"/>
      <c r="O80" s="4"/>
      <c r="P80" s="4"/>
      <c r="Q80" s="4"/>
      <c r="R80" s="4"/>
      <c r="S80" s="4"/>
      <c r="T80" s="4"/>
      <c r="U80"/>
    </row>
    <row r="81" spans="1:21" ht="12.75">
      <c r="A81" s="228" t="s">
        <v>100</v>
      </c>
      <c r="B81" s="229"/>
      <c r="C81" s="229"/>
      <c r="D81" s="231" t="s">
        <v>546</v>
      </c>
      <c r="E81" s="232" t="s">
        <v>102</v>
      </c>
      <c r="F81" s="233"/>
      <c r="G81" s="234"/>
      <c r="H81" s="39"/>
      <c r="I81" s="4"/>
      <c r="J81" s="4"/>
      <c r="K81" s="4"/>
      <c r="L81" s="4"/>
      <c r="M81" s="420"/>
      <c r="N81" s="4"/>
      <c r="O81" s="4"/>
      <c r="P81" s="4"/>
      <c r="Q81" s="4"/>
      <c r="R81" s="4"/>
      <c r="S81" s="4"/>
      <c r="T81" s="4"/>
      <c r="U81"/>
    </row>
    <row r="82" spans="1:21" ht="12.75">
      <c r="A82" s="455"/>
      <c r="B82" s="230"/>
      <c r="C82" s="230"/>
      <c r="D82" s="455"/>
      <c r="E82" s="455"/>
      <c r="F82" s="457"/>
      <c r="G82" s="458"/>
      <c r="H82" s="39"/>
      <c r="I82" s="4"/>
      <c r="J82" s="4"/>
      <c r="K82" s="4"/>
      <c r="L82" s="4"/>
      <c r="M82" s="420"/>
      <c r="N82" s="4"/>
      <c r="O82" s="4"/>
      <c r="P82" s="4"/>
      <c r="Q82" s="4"/>
      <c r="R82" s="4"/>
      <c r="S82" s="4"/>
      <c r="T82" s="4"/>
      <c r="U82"/>
    </row>
    <row r="83" spans="1:21" ht="12.75">
      <c r="A83" s="456"/>
      <c r="B83" s="57"/>
      <c r="C83" s="57"/>
      <c r="D83" s="456"/>
      <c r="E83" s="456"/>
      <c r="F83" s="459"/>
      <c r="G83" s="460"/>
      <c r="H83" s="39"/>
      <c r="I83"/>
      <c r="J83"/>
      <c r="K83"/>
      <c r="L83"/>
      <c r="M83" s="413"/>
      <c r="N83"/>
      <c r="O83"/>
      <c r="P83"/>
      <c r="Q83"/>
      <c r="R83"/>
      <c r="S83"/>
      <c r="T83"/>
      <c r="U83"/>
    </row>
    <row r="84" spans="1:21" ht="12.75">
      <c r="A84" s="461"/>
      <c r="B84" s="99"/>
      <c r="C84" s="99"/>
      <c r="D84" s="461"/>
      <c r="E84" s="461"/>
      <c r="F84" s="459"/>
      <c r="G84" s="460"/>
      <c r="H84"/>
      <c r="I84"/>
      <c r="J84"/>
      <c r="K84"/>
      <c r="L84"/>
      <c r="M84" s="413"/>
      <c r="N84"/>
      <c r="O84"/>
      <c r="P84"/>
      <c r="Q84"/>
      <c r="R84"/>
      <c r="S84"/>
      <c r="T84"/>
      <c r="U84"/>
    </row>
    <row r="85" spans="1:21" ht="12.75">
      <c r="A85" s="462"/>
      <c r="B85" s="58"/>
      <c r="C85" s="58"/>
      <c r="D85" s="462"/>
      <c r="E85" s="462"/>
      <c r="F85" s="463"/>
      <c r="G85" s="464"/>
      <c r="H85"/>
      <c r="I85"/>
      <c r="J85"/>
      <c r="K85"/>
      <c r="L85"/>
      <c r="M85" s="413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 s="413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 s="413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 s="413"/>
      <c r="N88"/>
      <c r="O88"/>
      <c r="P88"/>
      <c r="Q88"/>
      <c r="R88"/>
      <c r="S88"/>
      <c r="T88"/>
      <c r="U88"/>
    </row>
  </sheetData>
  <mergeCells count="24">
    <mergeCell ref="A3:D3"/>
    <mergeCell ref="A6:D6"/>
    <mergeCell ref="A7:D7"/>
    <mergeCell ref="E7:G7"/>
    <mergeCell ref="A8:G8"/>
    <mergeCell ref="A9:G14"/>
    <mergeCell ref="A15:G15"/>
    <mergeCell ref="A16:G22"/>
    <mergeCell ref="A23:G23"/>
    <mergeCell ref="A24:G30"/>
    <mergeCell ref="A32:G32"/>
    <mergeCell ref="A56:D69"/>
    <mergeCell ref="F67:G67"/>
    <mergeCell ref="E68:G69"/>
    <mergeCell ref="A70:G70"/>
    <mergeCell ref="A71:D71"/>
    <mergeCell ref="A72:D78"/>
    <mergeCell ref="E72:G78"/>
    <mergeCell ref="A82:A83"/>
    <mergeCell ref="D82:D83"/>
    <mergeCell ref="E82:G83"/>
    <mergeCell ref="A84:A85"/>
    <mergeCell ref="D84:D85"/>
    <mergeCell ref="E84:G85"/>
  </mergeCells>
  <printOptions/>
  <pageMargins left="0.17" right="0.17" top="0.21" bottom="0.24" header="0.17" footer="0.19"/>
  <pageSetup fitToHeight="1" fitToWidth="1" horizontalDpi="600" verticalDpi="600" orientation="portrait" scale="6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abSelected="1" zoomScale="75" zoomScaleNormal="75" workbookViewId="0" topLeftCell="A1">
      <selection activeCell="A20" sqref="A20:G25"/>
    </sheetView>
  </sheetViews>
  <sheetFormatPr defaultColWidth="9.140625" defaultRowHeight="12.75"/>
  <cols>
    <col min="1" max="1" width="43.7109375" style="100" customWidth="1"/>
    <col min="2" max="2" width="13.8515625" style="100" customWidth="1"/>
    <col min="3" max="3" width="12.7109375" style="100" customWidth="1"/>
    <col min="4" max="4" width="21.00390625" style="100" customWidth="1"/>
    <col min="5" max="5" width="24.421875" style="100" customWidth="1"/>
    <col min="6" max="6" width="17.140625" style="100" customWidth="1"/>
    <col min="7" max="7" width="18.8515625" style="100" customWidth="1"/>
    <col min="8" max="10" width="13.140625" style="100" customWidth="1"/>
    <col min="11" max="11" width="4.8515625" style="100" customWidth="1"/>
    <col min="12" max="12" width="25.8515625" style="100" customWidth="1"/>
    <col min="13" max="13" width="6.421875" style="100" customWidth="1"/>
    <col min="14" max="16" width="15.00390625" style="100" customWidth="1"/>
    <col min="17" max="16384" width="13.140625" style="100" customWidth="1"/>
  </cols>
  <sheetData>
    <row r="1" spans="1:19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  <c r="S1"/>
    </row>
    <row r="2" spans="1:19" ht="18.75">
      <c r="A2" s="40" t="s">
        <v>93</v>
      </c>
      <c r="B2" s="41"/>
      <c r="C2" s="41"/>
      <c r="D2" s="42"/>
      <c r="E2" s="42"/>
      <c r="F2" s="42"/>
      <c r="G2" s="43"/>
      <c r="H2" s="44" t="s">
        <v>419</v>
      </c>
      <c r="I2" s="39"/>
      <c r="J2" s="39"/>
      <c r="K2" s="39"/>
      <c r="L2" s="39"/>
      <c r="M2" s="39"/>
      <c r="N2" s="39"/>
      <c r="O2" s="39"/>
      <c r="P2" s="39"/>
      <c r="Q2"/>
      <c r="R2"/>
      <c r="S2"/>
    </row>
    <row r="3" spans="1:19" s="249" customFormat="1" ht="19.5" thickBot="1">
      <c r="A3" s="526" t="s">
        <v>551</v>
      </c>
      <c r="B3" s="527"/>
      <c r="C3" s="527"/>
      <c r="D3" s="528"/>
      <c r="E3" s="245" t="s">
        <v>403</v>
      </c>
      <c r="F3" s="246" t="s">
        <v>553</v>
      </c>
      <c r="G3" s="247" t="s">
        <v>550</v>
      </c>
      <c r="H3" s="248"/>
      <c r="I3" s="51"/>
      <c r="J3" s="51"/>
      <c r="K3" s="51"/>
      <c r="L3" s="51"/>
      <c r="M3" s="51"/>
      <c r="N3" s="51"/>
      <c r="O3" s="51"/>
      <c r="P3" s="51"/>
      <c r="Q3" s="10"/>
      <c r="R3" s="10"/>
      <c r="S3" s="10"/>
    </row>
    <row r="4" spans="1:19" ht="20.25">
      <c r="A4" s="250" t="s">
        <v>404</v>
      </c>
      <c r="B4" s="48"/>
      <c r="C4" s="48"/>
      <c r="D4" s="48"/>
      <c r="E4" s="251" t="s">
        <v>90</v>
      </c>
      <c r="F4" s="49"/>
      <c r="G4" s="252">
        <v>39324</v>
      </c>
      <c r="H4" s="50"/>
      <c r="I4" s="51"/>
      <c r="J4" s="51"/>
      <c r="K4" s="51"/>
      <c r="L4" s="51"/>
      <c r="M4" s="51"/>
      <c r="N4" s="51"/>
      <c r="O4" s="51"/>
      <c r="P4" s="51"/>
      <c r="Q4"/>
      <c r="R4"/>
      <c r="S4"/>
    </row>
    <row r="5" spans="1:19" ht="15">
      <c r="A5" s="214" t="s">
        <v>532</v>
      </c>
      <c r="B5" s="202" t="s">
        <v>427</v>
      </c>
      <c r="C5" s="203" t="s">
        <v>553</v>
      </c>
      <c r="D5" s="200" t="s">
        <v>532</v>
      </c>
      <c r="E5" s="201"/>
      <c r="F5" s="202" t="s">
        <v>427</v>
      </c>
      <c r="G5" s="215" t="s">
        <v>553</v>
      </c>
      <c r="H5" s="39"/>
      <c r="I5" s="39"/>
      <c r="J5" s="39"/>
      <c r="K5" s="39"/>
      <c r="L5" s="39"/>
      <c r="M5" s="39"/>
      <c r="N5" s="39"/>
      <c r="O5" s="39"/>
      <c r="P5" s="39"/>
      <c r="Q5"/>
      <c r="R5"/>
      <c r="S5"/>
    </row>
    <row r="6" spans="1:19" ht="12.75">
      <c r="A6" s="216" t="s">
        <v>390</v>
      </c>
      <c r="B6" s="242" t="s">
        <v>391</v>
      </c>
      <c r="C6" s="205"/>
      <c r="D6" s="208" t="s">
        <v>398</v>
      </c>
      <c r="E6" s="209"/>
      <c r="F6" s="205" t="s">
        <v>399</v>
      </c>
      <c r="G6" s="217"/>
      <c r="H6" s="39"/>
      <c r="I6" s="39"/>
      <c r="J6" s="39"/>
      <c r="K6" s="39"/>
      <c r="L6" s="39"/>
      <c r="M6" s="39"/>
      <c r="N6" s="39"/>
      <c r="O6" s="39"/>
      <c r="P6" s="39"/>
      <c r="Q6"/>
      <c r="R6"/>
      <c r="S6"/>
    </row>
    <row r="7" spans="1:19" ht="12.75">
      <c r="A7" s="218" t="s">
        <v>392</v>
      </c>
      <c r="B7" s="243" t="s">
        <v>393</v>
      </c>
      <c r="C7" s="206"/>
      <c r="D7" s="210" t="s">
        <v>400</v>
      </c>
      <c r="E7" s="211"/>
      <c r="F7" s="206" t="s">
        <v>383</v>
      </c>
      <c r="G7" s="199"/>
      <c r="H7" s="39"/>
      <c r="I7" s="39"/>
      <c r="J7" s="39"/>
      <c r="K7" s="39"/>
      <c r="L7" s="39"/>
      <c r="M7" s="39"/>
      <c r="N7" s="39"/>
      <c r="O7" s="39"/>
      <c r="P7" s="39"/>
      <c r="Q7"/>
      <c r="R7"/>
      <c r="S7"/>
    </row>
    <row r="8" spans="1:19" ht="12.75">
      <c r="A8" s="218" t="s">
        <v>394</v>
      </c>
      <c r="B8" s="243" t="s">
        <v>381</v>
      </c>
      <c r="C8" s="206"/>
      <c r="D8" s="210" t="s">
        <v>401</v>
      </c>
      <c r="E8" s="211"/>
      <c r="F8" s="206" t="s">
        <v>385</v>
      </c>
      <c r="G8" s="199"/>
      <c r="H8" s="39"/>
      <c r="I8" s="39"/>
      <c r="J8" s="39"/>
      <c r="K8" s="39"/>
      <c r="L8" s="39"/>
      <c r="M8" s="39"/>
      <c r="N8" s="39"/>
      <c r="O8" s="39"/>
      <c r="P8" s="39"/>
      <c r="Q8"/>
      <c r="R8"/>
      <c r="S8"/>
    </row>
    <row r="9" spans="1:19" ht="12.75">
      <c r="A9" s="218" t="s">
        <v>395</v>
      </c>
      <c r="B9" s="243" t="s">
        <v>389</v>
      </c>
      <c r="C9" s="206"/>
      <c r="D9" s="210" t="s">
        <v>402</v>
      </c>
      <c r="E9" s="211"/>
      <c r="F9" s="206" t="s">
        <v>600</v>
      </c>
      <c r="G9" s="199"/>
      <c r="H9" s="39"/>
      <c r="I9" s="39"/>
      <c r="J9" s="39"/>
      <c r="K9" s="39"/>
      <c r="L9" s="39"/>
      <c r="M9" s="39"/>
      <c r="N9" s="39"/>
      <c r="O9" s="39"/>
      <c r="P9" s="39"/>
      <c r="Q9"/>
      <c r="R9"/>
      <c r="S9"/>
    </row>
    <row r="10" spans="1:19" ht="12.75">
      <c r="A10" s="219" t="s">
        <v>396</v>
      </c>
      <c r="B10" s="244" t="s">
        <v>397</v>
      </c>
      <c r="C10" s="207"/>
      <c r="D10" s="212"/>
      <c r="E10" s="213"/>
      <c r="F10" s="207"/>
      <c r="G10" s="220"/>
      <c r="H10" s="39"/>
      <c r="I10" s="39"/>
      <c r="J10" s="39"/>
      <c r="K10" s="39"/>
      <c r="L10" s="39"/>
      <c r="M10" s="39"/>
      <c r="N10" s="39"/>
      <c r="O10" s="39"/>
      <c r="P10" s="39"/>
      <c r="Q10"/>
      <c r="R10"/>
      <c r="S10"/>
    </row>
    <row r="11" spans="1:19" ht="6" customHeight="1" thickBot="1">
      <c r="A11" s="522"/>
      <c r="B11" s="523"/>
      <c r="C11" s="523"/>
      <c r="D11" s="523"/>
      <c r="E11" s="204"/>
      <c r="F11" s="53"/>
      <c r="G11" s="54"/>
      <c r="H11" s="39"/>
      <c r="I11" s="39"/>
      <c r="J11" s="39"/>
      <c r="K11" s="39"/>
      <c r="L11" s="39"/>
      <c r="M11" s="39"/>
      <c r="N11" s="39"/>
      <c r="O11" s="39"/>
      <c r="P11" s="55"/>
      <c r="Q11"/>
      <c r="R11"/>
      <c r="S11"/>
    </row>
    <row r="12" spans="1:19" ht="4.5" customHeight="1" thickBot="1">
      <c r="A12" s="524"/>
      <c r="B12" s="524"/>
      <c r="C12" s="524"/>
      <c r="D12" s="525"/>
      <c r="E12" s="524"/>
      <c r="F12" s="525"/>
      <c r="G12" s="525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513" t="s">
        <v>533</v>
      </c>
      <c r="B13" s="514"/>
      <c r="C13" s="514"/>
      <c r="D13" s="515"/>
      <c r="E13" s="515"/>
      <c r="F13" s="515"/>
      <c r="G13" s="516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486" t="s">
        <v>604</v>
      </c>
      <c r="B14" s="487"/>
      <c r="C14" s="487"/>
      <c r="D14" s="459"/>
      <c r="E14" s="459"/>
      <c r="F14" s="459"/>
      <c r="G14" s="488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486"/>
      <c r="B15" s="487"/>
      <c r="C15" s="487"/>
      <c r="D15" s="459"/>
      <c r="E15" s="459"/>
      <c r="F15" s="459"/>
      <c r="G15" s="488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489"/>
      <c r="B16" s="459"/>
      <c r="C16" s="459"/>
      <c r="D16" s="459"/>
      <c r="E16" s="459"/>
      <c r="F16" s="459"/>
      <c r="G16" s="488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489"/>
      <c r="B17" s="459"/>
      <c r="C17" s="459"/>
      <c r="D17" s="459"/>
      <c r="E17" s="459"/>
      <c r="F17" s="459"/>
      <c r="G17" s="488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517"/>
      <c r="B18" s="463"/>
      <c r="C18" s="463"/>
      <c r="D18" s="463"/>
      <c r="E18" s="463"/>
      <c r="F18" s="463"/>
      <c r="G18" s="518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482" t="s">
        <v>534</v>
      </c>
      <c r="B19" s="483"/>
      <c r="C19" s="483"/>
      <c r="D19" s="484"/>
      <c r="E19" s="484"/>
      <c r="F19" s="484"/>
      <c r="G19" s="485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486" t="s">
        <v>605</v>
      </c>
      <c r="B20" s="487"/>
      <c r="C20" s="487"/>
      <c r="D20" s="459"/>
      <c r="E20" s="459"/>
      <c r="F20" s="459"/>
      <c r="G20" s="488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486"/>
      <c r="B21" s="487"/>
      <c r="C21" s="487"/>
      <c r="D21" s="459"/>
      <c r="E21" s="459"/>
      <c r="F21" s="459"/>
      <c r="G21" s="488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486"/>
      <c r="B22" s="487"/>
      <c r="C22" s="487"/>
      <c r="D22" s="459"/>
      <c r="E22" s="459"/>
      <c r="F22" s="459"/>
      <c r="G22" s="488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489"/>
      <c r="B23" s="459"/>
      <c r="C23" s="459"/>
      <c r="D23" s="459"/>
      <c r="E23" s="459"/>
      <c r="F23" s="459"/>
      <c r="G23" s="488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489"/>
      <c r="B24" s="459"/>
      <c r="C24" s="459"/>
      <c r="D24" s="459"/>
      <c r="E24" s="459"/>
      <c r="F24" s="459"/>
      <c r="G24" s="488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517"/>
      <c r="B25" s="463"/>
      <c r="C25" s="463"/>
      <c r="D25" s="463"/>
      <c r="E25" s="463"/>
      <c r="F25" s="463"/>
      <c r="G25" s="518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482" t="s">
        <v>548</v>
      </c>
      <c r="B26" s="483"/>
      <c r="C26" s="483"/>
      <c r="D26" s="484"/>
      <c r="E26" s="484"/>
      <c r="F26" s="484"/>
      <c r="G26" s="485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486"/>
      <c r="B27" s="487"/>
      <c r="C27" s="487"/>
      <c r="D27" s="459"/>
      <c r="E27" s="459"/>
      <c r="F27" s="459"/>
      <c r="G27" s="488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486"/>
      <c r="B28" s="487"/>
      <c r="C28" s="487"/>
      <c r="D28" s="459"/>
      <c r="E28" s="459"/>
      <c r="F28" s="459"/>
      <c r="G28" s="48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486"/>
      <c r="B29" s="487"/>
      <c r="C29" s="487"/>
      <c r="D29" s="459"/>
      <c r="E29" s="459"/>
      <c r="F29" s="459"/>
      <c r="G29" s="48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6" ht="12.75">
      <c r="A30" s="489"/>
      <c r="B30" s="459"/>
      <c r="C30" s="459"/>
      <c r="D30" s="459"/>
      <c r="E30" s="459"/>
      <c r="F30" s="459"/>
      <c r="G30" s="48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489"/>
      <c r="B31" s="459"/>
      <c r="C31" s="459"/>
      <c r="D31" s="459"/>
      <c r="E31" s="459"/>
      <c r="F31" s="459"/>
      <c r="G31" s="48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thickBot="1">
      <c r="A32" s="490"/>
      <c r="B32" s="491"/>
      <c r="C32" s="491"/>
      <c r="D32" s="491"/>
      <c r="E32" s="491"/>
      <c r="F32" s="491"/>
      <c r="G32" s="49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6.75" customHeight="1" thickBot="1">
      <c r="A33" s="56"/>
      <c r="B33" s="56"/>
      <c r="C33" s="56"/>
      <c r="D33" s="56"/>
      <c r="E33" s="56"/>
      <c r="F33" s="56"/>
      <c r="G33" s="5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5.75" customHeight="1" thickBot="1">
      <c r="A34" s="493" t="s">
        <v>318</v>
      </c>
      <c r="B34" s="494"/>
      <c r="C34" s="494"/>
      <c r="D34" s="495"/>
      <c r="E34" s="495"/>
      <c r="F34" s="495"/>
      <c r="G34" s="49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68" t="s">
        <v>552</v>
      </c>
      <c r="B35" s="368" t="s">
        <v>425</v>
      </c>
      <c r="C35" s="368" t="s">
        <v>486</v>
      </c>
      <c r="D35" s="358" t="s">
        <v>94</v>
      </c>
      <c r="E35" s="358" t="s">
        <v>95</v>
      </c>
      <c r="F35" s="358" t="s">
        <v>101</v>
      </c>
      <c r="G35" s="359" t="s">
        <v>363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35" ht="12.75">
      <c r="A36" s="400"/>
      <c r="B36" s="401"/>
      <c r="C36" s="402"/>
      <c r="D36" s="403"/>
      <c r="E36" s="402"/>
      <c r="F36" s="371"/>
      <c r="G36" s="404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39"/>
      <c r="Y36" s="39" t="s">
        <v>583</v>
      </c>
      <c r="Z36" s="39" t="s">
        <v>584</v>
      </c>
      <c r="AA36" s="39" t="s">
        <v>585</v>
      </c>
      <c r="AB36" s="39" t="s">
        <v>586</v>
      </c>
      <c r="AC36" s="39" t="s">
        <v>587</v>
      </c>
      <c r="AD36" s="39" t="s">
        <v>104</v>
      </c>
      <c r="AE36" s="67" t="s">
        <v>105</v>
      </c>
      <c r="AF36" s="39" t="s">
        <v>588</v>
      </c>
      <c r="AG36" s="39" t="s">
        <v>589</v>
      </c>
      <c r="AH36" s="39" t="s">
        <v>18</v>
      </c>
      <c r="AI36" s="39"/>
    </row>
    <row r="37" spans="1:35" ht="12.75">
      <c r="A37" s="373" t="s">
        <v>43</v>
      </c>
      <c r="B37" s="85">
        <v>1803</v>
      </c>
      <c r="C37" s="85" t="s">
        <v>381</v>
      </c>
      <c r="D37" s="63">
        <v>39276</v>
      </c>
      <c r="E37" s="282" t="s">
        <v>107</v>
      </c>
      <c r="F37" s="363"/>
      <c r="G37" s="374">
        <v>3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39" t="s">
        <v>25</v>
      </c>
      <c r="Y37" s="39" t="s">
        <v>379</v>
      </c>
      <c r="Z37" s="39" t="s">
        <v>578</v>
      </c>
      <c r="AA37" s="39">
        <v>3</v>
      </c>
      <c r="AB37" s="39">
        <v>1803</v>
      </c>
      <c r="AC37" s="39" t="s">
        <v>381</v>
      </c>
      <c r="AD37" s="67" t="s">
        <v>380</v>
      </c>
      <c r="AE37" s="237">
        <v>39276</v>
      </c>
      <c r="AF37" s="39" t="s">
        <v>106</v>
      </c>
      <c r="AG37" s="67" t="s">
        <v>107</v>
      </c>
      <c r="AH37" s="39">
        <v>-2</v>
      </c>
      <c r="AI37" s="39"/>
    </row>
    <row r="38" spans="1:35" ht="12.75">
      <c r="A38" s="373" t="s">
        <v>45</v>
      </c>
      <c r="B38" s="85">
        <v>3101</v>
      </c>
      <c r="C38" s="85" t="s">
        <v>383</v>
      </c>
      <c r="D38" s="63">
        <v>39331</v>
      </c>
      <c r="E38" s="282" t="s">
        <v>17</v>
      </c>
      <c r="F38" s="363"/>
      <c r="G38" s="374">
        <v>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39" t="s">
        <v>25</v>
      </c>
      <c r="Y38" s="39" t="s">
        <v>382</v>
      </c>
      <c r="Z38" s="39" t="s">
        <v>27</v>
      </c>
      <c r="AA38" s="39">
        <v>3</v>
      </c>
      <c r="AB38" s="39">
        <v>3101</v>
      </c>
      <c r="AC38" s="39" t="s">
        <v>383</v>
      </c>
      <c r="AD38" s="67"/>
      <c r="AE38" s="237">
        <v>39331</v>
      </c>
      <c r="AF38" s="39"/>
      <c r="AG38" s="67" t="s">
        <v>17</v>
      </c>
      <c r="AH38" s="39">
        <v>19</v>
      </c>
      <c r="AI38" s="67"/>
    </row>
    <row r="39" spans="1:35" ht="12.75">
      <c r="A39" s="373" t="s">
        <v>46</v>
      </c>
      <c r="B39" s="85">
        <v>1431</v>
      </c>
      <c r="C39" s="100" t="s">
        <v>385</v>
      </c>
      <c r="D39" s="296">
        <v>39345</v>
      </c>
      <c r="E39" s="396">
        <v>39349</v>
      </c>
      <c r="F39" s="364">
        <v>39446</v>
      </c>
      <c r="G39" s="37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39" t="s">
        <v>25</v>
      </c>
      <c r="Y39" s="39" t="s">
        <v>384</v>
      </c>
      <c r="Z39" s="39" t="s">
        <v>576</v>
      </c>
      <c r="AA39" s="39">
        <v>2</v>
      </c>
      <c r="AB39" s="39">
        <v>1431</v>
      </c>
      <c r="AC39" s="100" t="s">
        <v>385</v>
      </c>
      <c r="AD39" s="67">
        <v>39345</v>
      </c>
      <c r="AE39" s="237"/>
      <c r="AF39" s="395">
        <v>39349</v>
      </c>
      <c r="AG39" s="67"/>
      <c r="AH39" s="100">
        <v>-2</v>
      </c>
      <c r="AI39" s="67"/>
    </row>
    <row r="40" spans="1:35" ht="12.75">
      <c r="A40" s="373" t="s">
        <v>52</v>
      </c>
      <c r="B40" s="85">
        <v>1803</v>
      </c>
      <c r="C40" s="85" t="s">
        <v>381</v>
      </c>
      <c r="D40" s="63">
        <v>39407</v>
      </c>
      <c r="E40" s="296">
        <v>39384</v>
      </c>
      <c r="F40" s="363"/>
      <c r="G40" s="374">
        <v>3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39" t="s">
        <v>25</v>
      </c>
      <c r="Y40" s="39" t="s">
        <v>386</v>
      </c>
      <c r="Z40" s="39" t="s">
        <v>387</v>
      </c>
      <c r="AA40" s="39">
        <v>3</v>
      </c>
      <c r="AB40" s="39">
        <v>1803</v>
      </c>
      <c r="AC40" s="39" t="s">
        <v>381</v>
      </c>
      <c r="AD40" s="67"/>
      <c r="AE40" s="237">
        <v>39407</v>
      </c>
      <c r="AF40" s="39"/>
      <c r="AG40" s="67">
        <v>39384</v>
      </c>
      <c r="AH40" s="39">
        <v>17</v>
      </c>
      <c r="AI40" s="67"/>
    </row>
    <row r="41" spans="1:35" ht="12.75">
      <c r="A41" s="373" t="s">
        <v>61</v>
      </c>
      <c r="B41" s="85">
        <v>1810</v>
      </c>
      <c r="C41" s="282" t="s">
        <v>389</v>
      </c>
      <c r="D41" s="296">
        <v>39484</v>
      </c>
      <c r="E41" s="296">
        <v>39514</v>
      </c>
      <c r="F41" s="363"/>
      <c r="G41" s="374">
        <v>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39" t="s">
        <v>25</v>
      </c>
      <c r="Y41" s="39" t="s">
        <v>388</v>
      </c>
      <c r="Z41" s="39" t="s">
        <v>28</v>
      </c>
      <c r="AA41" s="39">
        <v>3</v>
      </c>
      <c r="AB41" s="39">
        <v>1810</v>
      </c>
      <c r="AC41" s="67" t="s">
        <v>389</v>
      </c>
      <c r="AD41" s="67">
        <v>39479</v>
      </c>
      <c r="AE41" s="237">
        <v>39484</v>
      </c>
      <c r="AF41" s="67">
        <v>39511</v>
      </c>
      <c r="AG41" s="67">
        <v>39514</v>
      </c>
      <c r="AH41" s="67">
        <v>-22</v>
      </c>
      <c r="AI41" s="67"/>
    </row>
    <row r="42" spans="1:35" ht="12.75">
      <c r="A42" s="405"/>
      <c r="B42" s="52"/>
      <c r="C42" s="283"/>
      <c r="D42" s="69"/>
      <c r="E42" s="366"/>
      <c r="F42" s="364"/>
      <c r="G42" s="40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9"/>
      <c r="Y42" s="39"/>
      <c r="Z42" s="39"/>
      <c r="AA42" s="39"/>
      <c r="AB42" s="39"/>
      <c r="AC42" s="39"/>
      <c r="AD42" s="39"/>
      <c r="AE42" s="67"/>
      <c r="AF42" s="39"/>
      <c r="AG42" s="67"/>
      <c r="AH42" s="39"/>
      <c r="AI42" s="73"/>
    </row>
    <row r="43" spans="1:35" ht="12.75">
      <c r="A43" s="375"/>
      <c r="B43" s="52"/>
      <c r="C43" s="283"/>
      <c r="D43" s="63"/>
      <c r="E43" s="283"/>
      <c r="F43" s="363"/>
      <c r="G43" s="376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39"/>
      <c r="Y43" s="39"/>
      <c r="Z43" s="39"/>
      <c r="AA43" s="39"/>
      <c r="AB43" s="39"/>
      <c r="AC43" s="39"/>
      <c r="AD43" s="39"/>
      <c r="AE43" s="67"/>
      <c r="AF43" s="39"/>
      <c r="AG43" s="67"/>
      <c r="AH43" s="39"/>
      <c r="AI43" s="67"/>
    </row>
    <row r="44" spans="1:26" ht="12.75">
      <c r="A44" s="375"/>
      <c r="B44" s="52"/>
      <c r="C44" s="283"/>
      <c r="D44" s="63"/>
      <c r="E44" s="283"/>
      <c r="F44" s="363"/>
      <c r="G44" s="37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67"/>
      <c r="V44" s="67"/>
      <c r="W44" s="39"/>
      <c r="X44" s="67"/>
      <c r="Y44" s="39"/>
      <c r="Z44" s="67"/>
    </row>
    <row r="45" spans="1:26" ht="12.75">
      <c r="A45" s="375"/>
      <c r="B45" s="52"/>
      <c r="C45" s="283"/>
      <c r="D45" s="63"/>
      <c r="E45" s="283"/>
      <c r="F45" s="363"/>
      <c r="G45" s="37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7"/>
      <c r="V45" s="67"/>
      <c r="W45" s="67"/>
      <c r="X45" s="67"/>
      <c r="Y45" s="67"/>
      <c r="Z45" s="67"/>
    </row>
    <row r="46" spans="1:26" ht="12.75">
      <c r="A46" s="405"/>
      <c r="B46" s="52"/>
      <c r="C46" s="283"/>
      <c r="D46" s="69"/>
      <c r="E46" s="366"/>
      <c r="F46" s="364"/>
      <c r="G46" s="40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67"/>
      <c r="W46" s="39"/>
      <c r="X46" s="39"/>
      <c r="Y46" s="39"/>
      <c r="Z46" s="73"/>
    </row>
    <row r="47" spans="1:26" ht="12.75">
      <c r="A47" s="375"/>
      <c r="B47" s="52"/>
      <c r="C47" s="283"/>
      <c r="D47" s="63"/>
      <c r="E47" s="365"/>
      <c r="F47" s="363"/>
      <c r="G47" s="37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67"/>
      <c r="V47" s="67"/>
      <c r="W47" s="39"/>
      <c r="X47" s="39"/>
      <c r="Y47" s="39"/>
      <c r="Z47" s="39"/>
    </row>
    <row r="48" spans="1:26" ht="12.75">
      <c r="A48" s="375"/>
      <c r="B48" s="52"/>
      <c r="C48" s="283"/>
      <c r="D48" s="63"/>
      <c r="E48" s="283"/>
      <c r="F48" s="363"/>
      <c r="G48" s="37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67"/>
      <c r="W48" s="39"/>
      <c r="X48" s="39"/>
      <c r="Y48" s="39"/>
      <c r="Z48" s="39"/>
    </row>
    <row r="49" spans="1:26" ht="12.75">
      <c r="A49" s="377"/>
      <c r="B49" s="378"/>
      <c r="C49" s="379"/>
      <c r="D49" s="380"/>
      <c r="E49" s="381"/>
      <c r="F49" s="382"/>
      <c r="G49" s="383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67"/>
      <c r="W49" s="39"/>
      <c r="X49" s="39"/>
      <c r="Y49" s="39"/>
      <c r="Z49" s="73"/>
    </row>
    <row r="50" spans="1:26" ht="13.5" thickBot="1">
      <c r="A50" s="369"/>
      <c r="B50" s="370"/>
      <c r="C50" s="370"/>
      <c r="D50" s="398"/>
      <c r="E50" s="52"/>
      <c r="F50" s="397"/>
      <c r="G50" s="39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4.5" customHeight="1" thickBot="1">
      <c r="A51" s="52"/>
      <c r="B51" s="52"/>
      <c r="C51" s="52"/>
      <c r="D51" s="52"/>
      <c r="E51" s="52"/>
      <c r="F51" s="52"/>
      <c r="G51" s="5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5">
      <c r="A52" s="80"/>
      <c r="B52" s="81"/>
      <c r="C52" s="81"/>
      <c r="D52" s="82" t="s">
        <v>98</v>
      </c>
      <c r="E52" s="83"/>
      <c r="F52" s="83"/>
      <c r="G52" s="84"/>
      <c r="H52" s="85"/>
      <c r="I52" s="85"/>
      <c r="J52" s="85"/>
      <c r="K52" s="85"/>
      <c r="L52" s="85"/>
      <c r="M52" s="85"/>
      <c r="N52" s="85"/>
      <c r="O52" s="85"/>
      <c r="P52" s="85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497"/>
      <c r="B53" s="498"/>
      <c r="C53" s="498"/>
      <c r="D53" s="499"/>
      <c r="E53" s="221"/>
      <c r="F53" s="86" t="s">
        <v>96</v>
      </c>
      <c r="G53" s="86" t="s">
        <v>97</v>
      </c>
      <c r="H53" s="85"/>
      <c r="I53" s="85"/>
      <c r="J53" s="85"/>
      <c r="K53" s="85"/>
      <c r="L53" s="85"/>
      <c r="M53" s="85"/>
      <c r="N53" s="85"/>
      <c r="O53" s="85"/>
      <c r="P53" s="85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5">
      <c r="A54" s="500"/>
      <c r="B54" s="501"/>
      <c r="C54" s="501"/>
      <c r="D54" s="502"/>
      <c r="E54" s="87" t="s">
        <v>538</v>
      </c>
      <c r="F54" s="197">
        <f>SUM('COST PERFORMANCE BY RLM &amp; JOB'!C35)</f>
        <v>2300</v>
      </c>
      <c r="G54" s="222">
        <f>SUM('BCWS by JOB'!$I$32)</f>
        <v>762</v>
      </c>
      <c r="H54" s="85"/>
      <c r="I54" s="85"/>
      <c r="J54" s="85"/>
      <c r="K54" s="85"/>
      <c r="L54" s="85"/>
      <c r="M54" s="85"/>
      <c r="N54" s="85"/>
      <c r="O54" s="85"/>
      <c r="P54" s="85"/>
      <c r="Q54"/>
      <c r="R54"/>
      <c r="S54"/>
      <c r="T54"/>
      <c r="U54"/>
      <c r="V54"/>
      <c r="W54"/>
      <c r="X54"/>
      <c r="Y54"/>
      <c r="Z54"/>
    </row>
    <row r="55" spans="1:19" ht="15">
      <c r="A55" s="500"/>
      <c r="B55" s="501"/>
      <c r="C55" s="501"/>
      <c r="D55" s="502"/>
      <c r="E55" s="87" t="s">
        <v>539</v>
      </c>
      <c r="F55" s="197">
        <f>SUM('COST PERFORMANCE BY RLM &amp; JOB'!D35)</f>
        <v>2191.76516807</v>
      </c>
      <c r="G55" s="222">
        <f>+'BCWS by JOB'!I97-'BCWS by JOB'!H97</f>
        <v>744.7651680700001</v>
      </c>
      <c r="H55" s="85"/>
      <c r="I55" s="85"/>
      <c r="J55"/>
      <c r="K55"/>
      <c r="L55"/>
      <c r="M55"/>
      <c r="N55"/>
      <c r="O55"/>
      <c r="P55"/>
      <c r="Q55"/>
      <c r="R55"/>
      <c r="S55"/>
    </row>
    <row r="56" spans="1:19" ht="15">
      <c r="A56" s="500"/>
      <c r="B56" s="501"/>
      <c r="C56" s="501"/>
      <c r="D56" s="502"/>
      <c r="E56" s="87" t="s">
        <v>540</v>
      </c>
      <c r="F56" s="197">
        <f>SUM('COST PERFORMANCE BY RLM &amp; JOB'!E35)</f>
        <v>2004.993819234342</v>
      </c>
      <c r="G56" s="222">
        <f>SUM('ACWP by JOB'!I32)</f>
        <v>702.093</v>
      </c>
      <c r="H56" s="85"/>
      <c r="I56" s="85"/>
      <c r="J56"/>
      <c r="K56"/>
      <c r="L56"/>
      <c r="M56"/>
      <c r="N56"/>
      <c r="O56"/>
      <c r="P56"/>
      <c r="Q56"/>
      <c r="R56"/>
      <c r="S56"/>
    </row>
    <row r="57" spans="1:19" ht="12.75">
      <c r="A57" s="500"/>
      <c r="B57" s="501"/>
      <c r="C57" s="501"/>
      <c r="D57" s="502"/>
      <c r="E57" s="87" t="s">
        <v>541</v>
      </c>
      <c r="F57" s="277">
        <f>+F55-F56</f>
        <v>186.77134883565805</v>
      </c>
      <c r="G57" s="223"/>
      <c r="H57" s="85"/>
      <c r="I57" s="85"/>
      <c r="J57"/>
      <c r="K57"/>
      <c r="L57"/>
      <c r="M57"/>
      <c r="N57"/>
      <c r="O57"/>
      <c r="P57"/>
      <c r="Q57"/>
      <c r="R57"/>
      <c r="S57"/>
    </row>
    <row r="58" spans="1:19" ht="12.75">
      <c r="A58" s="500"/>
      <c r="B58" s="501"/>
      <c r="C58" s="501"/>
      <c r="D58" s="502"/>
      <c r="E58" s="87" t="s">
        <v>542</v>
      </c>
      <c r="F58" s="277">
        <f>+F55-F54</f>
        <v>-108.23483192999993</v>
      </c>
      <c r="G58" s="223"/>
      <c r="H58" s="85"/>
      <c r="I58" s="85"/>
      <c r="J58"/>
      <c r="K58"/>
      <c r="L58"/>
      <c r="M58"/>
      <c r="N58"/>
      <c r="O58"/>
      <c r="P58"/>
      <c r="Q58"/>
      <c r="R58"/>
      <c r="S58"/>
    </row>
    <row r="59" spans="1:19" ht="12.75">
      <c r="A59" s="500"/>
      <c r="B59" s="501"/>
      <c r="C59" s="501"/>
      <c r="D59" s="502"/>
      <c r="E59" s="87" t="s">
        <v>543</v>
      </c>
      <c r="F59" s="279">
        <f>+F55/F56</f>
        <v>1.0931530795975128</v>
      </c>
      <c r="G59" s="280">
        <f>+G55/G56</f>
        <v>1.0607785123480795</v>
      </c>
      <c r="H59" s="85"/>
      <c r="I59" s="85"/>
      <c r="J59"/>
      <c r="K59"/>
      <c r="L59"/>
      <c r="M59"/>
      <c r="N59"/>
      <c r="O59"/>
      <c r="P59"/>
      <c r="Q59"/>
      <c r="R59"/>
      <c r="S59"/>
    </row>
    <row r="60" spans="1:19" ht="12.75">
      <c r="A60" s="500"/>
      <c r="B60" s="501"/>
      <c r="C60" s="501"/>
      <c r="D60" s="502"/>
      <c r="E60" s="87" t="s">
        <v>544</v>
      </c>
      <c r="F60" s="279">
        <f>+F55/F54</f>
        <v>0.9529413774217391</v>
      </c>
      <c r="G60" s="280">
        <f>+G55/G54</f>
        <v>0.9773821103280841</v>
      </c>
      <c r="H60" s="85"/>
      <c r="I60" s="85"/>
      <c r="J60"/>
      <c r="K60"/>
      <c r="L60"/>
      <c r="M60"/>
      <c r="N60"/>
      <c r="O60"/>
      <c r="P60"/>
      <c r="Q60"/>
      <c r="R60"/>
      <c r="S60"/>
    </row>
    <row r="61" spans="1:19" ht="15">
      <c r="A61" s="500"/>
      <c r="B61" s="501"/>
      <c r="C61" s="501"/>
      <c r="D61" s="502"/>
      <c r="E61" s="87" t="s">
        <v>536</v>
      </c>
      <c r="F61" s="197">
        <f>SUM('BCWS by JOB'!A84)</f>
        <v>45111.331000000006</v>
      </c>
      <c r="G61" s="224"/>
      <c r="H61" s="85"/>
      <c r="I61" s="85"/>
      <c r="J61"/>
      <c r="K61"/>
      <c r="L61"/>
      <c r="M61"/>
      <c r="N61"/>
      <c r="O61"/>
      <c r="P61"/>
      <c r="Q61"/>
      <c r="R61"/>
      <c r="S61"/>
    </row>
    <row r="62" spans="1:19" ht="15">
      <c r="A62" s="500"/>
      <c r="B62" s="501"/>
      <c r="C62" s="501"/>
      <c r="D62" s="502"/>
      <c r="E62" s="87" t="s">
        <v>537</v>
      </c>
      <c r="F62" s="198"/>
      <c r="G62" s="224"/>
      <c r="H62" s="85"/>
      <c r="I62" s="85"/>
      <c r="J62"/>
      <c r="K62"/>
      <c r="L62"/>
      <c r="M62"/>
      <c r="N62"/>
      <c r="O62"/>
      <c r="P62"/>
      <c r="Q62"/>
      <c r="R62"/>
      <c r="S62"/>
    </row>
    <row r="63" spans="1:19" ht="12.75">
      <c r="A63" s="500"/>
      <c r="B63" s="501"/>
      <c r="C63" s="501"/>
      <c r="D63" s="502"/>
      <c r="E63" s="225" t="s">
        <v>535</v>
      </c>
      <c r="F63" s="226"/>
      <c r="G63" s="227"/>
      <c r="H63" s="85"/>
      <c r="I63" s="85"/>
      <c r="J63"/>
      <c r="K63"/>
      <c r="L63"/>
      <c r="M63"/>
      <c r="N63"/>
      <c r="O63"/>
      <c r="P63"/>
      <c r="Q63"/>
      <c r="R63"/>
      <c r="S63"/>
    </row>
    <row r="64" spans="1:19" ht="12.75">
      <c r="A64" s="500"/>
      <c r="B64" s="501"/>
      <c r="C64" s="501"/>
      <c r="D64" s="502"/>
      <c r="E64" s="89" t="s">
        <v>545</v>
      </c>
      <c r="F64" s="506"/>
      <c r="G64" s="507"/>
      <c r="H64" s="85"/>
      <c r="I64" s="85"/>
      <c r="J64"/>
      <c r="K64"/>
      <c r="L64"/>
      <c r="M64"/>
      <c r="N64"/>
      <c r="O64"/>
      <c r="P64"/>
      <c r="Q64"/>
      <c r="R64"/>
      <c r="S64"/>
    </row>
    <row r="65" spans="1:19" ht="12.75">
      <c r="A65" s="500"/>
      <c r="B65" s="501"/>
      <c r="C65" s="501"/>
      <c r="D65" s="502"/>
      <c r="E65" s="508"/>
      <c r="F65" s="477"/>
      <c r="G65" s="509"/>
      <c r="H65" s="85"/>
      <c r="I65" s="85"/>
      <c r="J65"/>
      <c r="K65"/>
      <c r="L65"/>
      <c r="M65"/>
      <c r="N65"/>
      <c r="O65"/>
      <c r="P65"/>
      <c r="Q65"/>
      <c r="R65"/>
      <c r="S65"/>
    </row>
    <row r="66" spans="1:19" ht="12.75">
      <c r="A66" s="500"/>
      <c r="B66" s="501"/>
      <c r="C66" s="501"/>
      <c r="D66" s="502"/>
      <c r="E66" s="508"/>
      <c r="F66" s="477"/>
      <c r="G66" s="509"/>
      <c r="H66" s="85"/>
      <c r="I66" s="85"/>
      <c r="J66"/>
      <c r="K66"/>
      <c r="L66"/>
      <c r="M66"/>
      <c r="N66"/>
      <c r="O66"/>
      <c r="P66"/>
      <c r="Q66"/>
      <c r="R66"/>
      <c r="S66"/>
    </row>
    <row r="67" spans="1:19" ht="12.75">
      <c r="A67" s="503"/>
      <c r="B67" s="504"/>
      <c r="C67" s="504"/>
      <c r="D67" s="505"/>
      <c r="E67" s="510"/>
      <c r="F67" s="511"/>
      <c r="G67" s="512"/>
      <c r="H67" s="85"/>
      <c r="I67" s="85"/>
      <c r="J67"/>
      <c r="K67"/>
      <c r="L67"/>
      <c r="M67"/>
      <c r="N67"/>
      <c r="O67"/>
      <c r="P67"/>
      <c r="Q67"/>
      <c r="R67"/>
      <c r="S67"/>
    </row>
    <row r="68" spans="1:19" ht="12.75">
      <c r="A68" s="465" t="s">
        <v>99</v>
      </c>
      <c r="B68" s="466"/>
      <c r="C68" s="466"/>
      <c r="D68" s="467"/>
      <c r="E68" s="467"/>
      <c r="F68" s="467"/>
      <c r="G68" s="468"/>
      <c r="H68" s="85"/>
      <c r="I68" s="39"/>
      <c r="J68"/>
      <c r="K68"/>
      <c r="L68"/>
      <c r="M68"/>
      <c r="N68"/>
      <c r="O68"/>
      <c r="P68"/>
      <c r="Q68"/>
      <c r="R68"/>
      <c r="S68"/>
    </row>
    <row r="69" spans="1:19" ht="12.75">
      <c r="A69" s="469" t="s">
        <v>554</v>
      </c>
      <c r="B69" s="470"/>
      <c r="C69" s="470"/>
      <c r="D69" s="471"/>
      <c r="E69" s="90" t="s">
        <v>555</v>
      </c>
      <c r="F69" s="91"/>
      <c r="G69" s="92"/>
      <c r="H69" s="39"/>
      <c r="I69" s="39"/>
      <c r="J69"/>
      <c r="K69"/>
      <c r="L69"/>
      <c r="M69"/>
      <c r="N69"/>
      <c r="O69"/>
      <c r="P69"/>
      <c r="Q69"/>
      <c r="R69"/>
      <c r="S69"/>
    </row>
    <row r="70" spans="1:19" ht="12.75">
      <c r="A70" s="472"/>
      <c r="B70" s="473"/>
      <c r="C70" s="473"/>
      <c r="D70" s="474"/>
      <c r="E70" s="473"/>
      <c r="F70" s="474"/>
      <c r="G70" s="453"/>
      <c r="H70" s="39"/>
      <c r="I70" s="39"/>
      <c r="J70"/>
      <c r="K70"/>
      <c r="L70"/>
      <c r="M70"/>
      <c r="N70"/>
      <c r="O70"/>
      <c r="P70"/>
      <c r="Q70"/>
      <c r="R70"/>
      <c r="S70"/>
    </row>
    <row r="71" spans="1:19" ht="12.75">
      <c r="A71" s="475"/>
      <c r="B71" s="476"/>
      <c r="C71" s="476"/>
      <c r="D71" s="477"/>
      <c r="E71" s="476"/>
      <c r="F71" s="477"/>
      <c r="G71" s="454"/>
      <c r="H71" s="39"/>
      <c r="I71" s="39"/>
      <c r="J71"/>
      <c r="K71"/>
      <c r="L71"/>
      <c r="M71"/>
      <c r="N71"/>
      <c r="O71"/>
      <c r="P71"/>
      <c r="Q71"/>
      <c r="R71"/>
      <c r="S71"/>
    </row>
    <row r="72" spans="1:19" ht="12.75">
      <c r="A72" s="475"/>
      <c r="B72" s="476"/>
      <c r="C72" s="476"/>
      <c r="D72" s="477"/>
      <c r="E72" s="476"/>
      <c r="F72" s="477"/>
      <c r="G72" s="454"/>
      <c r="H72" s="39"/>
      <c r="I72" s="39"/>
      <c r="J72"/>
      <c r="K72"/>
      <c r="L72"/>
      <c r="M72"/>
      <c r="N72"/>
      <c r="O72"/>
      <c r="P72"/>
      <c r="Q72"/>
      <c r="R72"/>
      <c r="S72"/>
    </row>
    <row r="73" spans="1:19" ht="12.75">
      <c r="A73" s="478"/>
      <c r="B73" s="477"/>
      <c r="C73" s="477"/>
      <c r="D73" s="477"/>
      <c r="E73" s="477"/>
      <c r="F73" s="477"/>
      <c r="G73" s="454"/>
      <c r="H73" s="39"/>
      <c r="I73"/>
      <c r="J73"/>
      <c r="K73"/>
      <c r="L73"/>
      <c r="M73"/>
      <c r="N73"/>
      <c r="O73"/>
      <c r="P73"/>
      <c r="Q73"/>
      <c r="R73"/>
      <c r="S73"/>
    </row>
    <row r="74" spans="1:19" ht="12.75">
      <c r="A74" s="478"/>
      <c r="B74" s="477"/>
      <c r="C74" s="477"/>
      <c r="D74" s="477"/>
      <c r="E74" s="477"/>
      <c r="F74" s="477"/>
      <c r="G74" s="454"/>
      <c r="H74" s="39"/>
      <c r="I74"/>
      <c r="J74"/>
      <c r="K74"/>
      <c r="L74"/>
      <c r="M74"/>
      <c r="N74"/>
      <c r="O74"/>
      <c r="P74"/>
      <c r="Q74"/>
      <c r="R74"/>
      <c r="S74"/>
    </row>
    <row r="75" spans="1:19" ht="13.5" thickBot="1">
      <c r="A75" s="479"/>
      <c r="B75" s="480"/>
      <c r="C75" s="480"/>
      <c r="D75" s="480"/>
      <c r="E75" s="480"/>
      <c r="F75" s="480"/>
      <c r="G75" s="481"/>
      <c r="H75" s="85"/>
      <c r="I75"/>
      <c r="J75"/>
      <c r="K75"/>
      <c r="L75"/>
      <c r="M75"/>
      <c r="N75"/>
      <c r="O75"/>
      <c r="P75"/>
      <c r="Q75"/>
      <c r="R75"/>
      <c r="S75"/>
    </row>
    <row r="76" spans="1:19" ht="4.5" customHeight="1" thickBot="1">
      <c r="A76" s="56"/>
      <c r="B76" s="56"/>
      <c r="C76" s="56"/>
      <c r="D76" s="56"/>
      <c r="E76" s="56"/>
      <c r="F76" s="56"/>
      <c r="G76" s="56"/>
      <c r="H76" s="85"/>
      <c r="I76"/>
      <c r="J76"/>
      <c r="K76"/>
      <c r="L76"/>
      <c r="M76"/>
      <c r="N76"/>
      <c r="O76"/>
      <c r="P76"/>
      <c r="Q76"/>
      <c r="R76"/>
      <c r="S76"/>
    </row>
    <row r="77" spans="1:19" ht="14.25">
      <c r="A77" s="93" t="s">
        <v>547</v>
      </c>
      <c r="B77" s="94"/>
      <c r="C77" s="94"/>
      <c r="D77" s="95"/>
      <c r="E77" s="96"/>
      <c r="F77" s="97"/>
      <c r="G77" s="98"/>
      <c r="H77" s="39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228" t="s">
        <v>100</v>
      </c>
      <c r="B78" s="229"/>
      <c r="C78" s="229"/>
      <c r="D78" s="231" t="s">
        <v>546</v>
      </c>
      <c r="E78" s="232" t="s">
        <v>102</v>
      </c>
      <c r="F78" s="233"/>
      <c r="G78" s="234"/>
      <c r="H78" s="39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455"/>
      <c r="B79" s="230"/>
      <c r="C79" s="230"/>
      <c r="D79" s="455"/>
      <c r="E79" s="455"/>
      <c r="F79" s="457"/>
      <c r="G79" s="458"/>
      <c r="H79" s="39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461"/>
      <c r="B80" s="99"/>
      <c r="C80" s="99"/>
      <c r="D80" s="461"/>
      <c r="E80" s="461"/>
      <c r="F80" s="459"/>
      <c r="G80" s="460"/>
      <c r="H80" s="39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456"/>
      <c r="B81" s="57"/>
      <c r="C81" s="57"/>
      <c r="D81" s="456"/>
      <c r="E81" s="456"/>
      <c r="F81" s="459"/>
      <c r="G81" s="460"/>
      <c r="H81" s="39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461"/>
      <c r="B82" s="99"/>
      <c r="C82" s="99"/>
      <c r="D82" s="461"/>
      <c r="E82" s="461"/>
      <c r="F82" s="459"/>
      <c r="G82" s="460"/>
      <c r="H82" s="39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462"/>
      <c r="B83" s="58"/>
      <c r="C83" s="58"/>
      <c r="D83" s="462"/>
      <c r="E83" s="462"/>
      <c r="F83" s="463"/>
      <c r="G83" s="464"/>
      <c r="H83" s="39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</sheetData>
  <mergeCells count="24">
    <mergeCell ref="A79:A81"/>
    <mergeCell ref="D79:D81"/>
    <mergeCell ref="E79:G81"/>
    <mergeCell ref="A82:A83"/>
    <mergeCell ref="D82:D83"/>
    <mergeCell ref="E82:G83"/>
    <mergeCell ref="A68:G68"/>
    <mergeCell ref="A69:D69"/>
    <mergeCell ref="A70:D75"/>
    <mergeCell ref="E70:G75"/>
    <mergeCell ref="A26:G26"/>
    <mergeCell ref="A27:G32"/>
    <mergeCell ref="A34:G34"/>
    <mergeCell ref="A53:D67"/>
    <mergeCell ref="F64:G64"/>
    <mergeCell ref="E65:G67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1" bottom="0.3" header="0.17" footer="0.18"/>
  <pageSetup fitToHeight="1" fitToWidth="1" horizontalDpi="600" verticalDpi="600" orientation="portrait" scale="70" r:id="rId2"/>
  <headerFooter alignWithMargins="0">
    <oddFooter>&amp;R&amp;F     &amp;A   &amp;D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75" zoomScaleNormal="75" workbookViewId="0" topLeftCell="A1">
      <selection activeCell="J35" sqref="J35:S43"/>
    </sheetView>
  </sheetViews>
  <sheetFormatPr defaultColWidth="9.140625" defaultRowHeight="12.75"/>
  <cols>
    <col min="1" max="1" width="43.7109375" style="100" customWidth="1"/>
    <col min="2" max="2" width="13.8515625" style="100" customWidth="1"/>
    <col min="3" max="3" width="12.7109375" style="100" customWidth="1"/>
    <col min="4" max="4" width="21.00390625" style="100" customWidth="1"/>
    <col min="5" max="5" width="22.421875" style="100" customWidth="1"/>
    <col min="6" max="6" width="19.421875" style="100" customWidth="1"/>
    <col min="7" max="7" width="18.28125" style="100" customWidth="1"/>
    <col min="8" max="16384" width="13.140625" style="100" customWidth="1"/>
  </cols>
  <sheetData>
    <row r="1" spans="1:19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  <c r="S1"/>
    </row>
    <row r="2" spans="1:19" ht="18.75">
      <c r="A2" s="40" t="s">
        <v>93</v>
      </c>
      <c r="B2" s="41"/>
      <c r="C2" s="41"/>
      <c r="D2" s="42"/>
      <c r="E2" s="42"/>
      <c r="F2" s="42"/>
      <c r="G2" s="43"/>
      <c r="H2" s="44" t="s">
        <v>419</v>
      </c>
      <c r="I2" s="39"/>
      <c r="J2" s="39"/>
      <c r="K2" s="39"/>
      <c r="L2" s="39"/>
      <c r="M2" s="39"/>
      <c r="N2" s="39"/>
      <c r="O2" s="39"/>
      <c r="P2" s="39"/>
      <c r="Q2"/>
      <c r="R2"/>
      <c r="S2"/>
    </row>
    <row r="3" spans="1:19" ht="16.5" thickBot="1">
      <c r="A3" s="519" t="s">
        <v>551</v>
      </c>
      <c r="B3" s="520"/>
      <c r="C3" s="520"/>
      <c r="D3" s="521"/>
      <c r="E3" s="45" t="s">
        <v>549</v>
      </c>
      <c r="F3" s="46" t="s">
        <v>553</v>
      </c>
      <c r="G3" s="47" t="s">
        <v>550</v>
      </c>
      <c r="H3" s="44"/>
      <c r="I3" s="39"/>
      <c r="J3" s="39"/>
      <c r="K3" s="39"/>
      <c r="L3" s="39"/>
      <c r="M3" s="39"/>
      <c r="N3" s="39"/>
      <c r="O3" s="39"/>
      <c r="P3" s="39"/>
      <c r="Q3"/>
      <c r="R3"/>
      <c r="S3"/>
    </row>
    <row r="4" spans="1:19" ht="20.25">
      <c r="A4" s="250" t="s">
        <v>405</v>
      </c>
      <c r="B4" s="48"/>
      <c r="C4" s="48"/>
      <c r="D4" s="48"/>
      <c r="E4" s="251" t="s">
        <v>89</v>
      </c>
      <c r="F4" s="49"/>
      <c r="G4" s="252">
        <v>39324</v>
      </c>
      <c r="H4" s="50"/>
      <c r="I4" s="51"/>
      <c r="J4" s="51"/>
      <c r="K4" s="51"/>
      <c r="L4" s="51"/>
      <c r="M4" s="51"/>
      <c r="N4" s="51"/>
      <c r="O4" s="51"/>
      <c r="P4" s="51"/>
      <c r="Q4"/>
      <c r="R4"/>
      <c r="S4"/>
    </row>
    <row r="5" spans="1:19" ht="15">
      <c r="A5" s="214" t="s">
        <v>532</v>
      </c>
      <c r="B5" s="202" t="s">
        <v>427</v>
      </c>
      <c r="C5" s="203" t="s">
        <v>553</v>
      </c>
      <c r="D5" s="200" t="s">
        <v>532</v>
      </c>
      <c r="E5" s="201"/>
      <c r="F5" s="202" t="s">
        <v>427</v>
      </c>
      <c r="G5" s="215" t="s">
        <v>553</v>
      </c>
      <c r="H5" s="39"/>
      <c r="I5" s="39"/>
      <c r="J5" s="39"/>
      <c r="K5" s="39"/>
      <c r="L5" s="39"/>
      <c r="M5" s="39"/>
      <c r="N5" s="39"/>
      <c r="O5" s="39"/>
      <c r="P5" s="39"/>
      <c r="Q5"/>
      <c r="R5"/>
      <c r="S5"/>
    </row>
    <row r="6" spans="1:19" ht="12.75">
      <c r="A6" s="216" t="s">
        <v>406</v>
      </c>
      <c r="B6" s="242" t="s">
        <v>410</v>
      </c>
      <c r="C6" s="205"/>
      <c r="D6" s="208"/>
      <c r="E6" s="209"/>
      <c r="F6" s="205"/>
      <c r="G6" s="217"/>
      <c r="H6" s="39"/>
      <c r="I6" s="39"/>
      <c r="J6" s="39"/>
      <c r="K6" s="39"/>
      <c r="L6" s="39"/>
      <c r="M6" s="39"/>
      <c r="N6" s="39"/>
      <c r="O6" s="39"/>
      <c r="P6" s="39"/>
      <c r="Q6"/>
      <c r="R6"/>
      <c r="S6"/>
    </row>
    <row r="7" spans="1:19" ht="12.75">
      <c r="A7" s="218" t="s">
        <v>407</v>
      </c>
      <c r="B7" s="243" t="s">
        <v>411</v>
      </c>
      <c r="C7" s="206"/>
      <c r="D7" s="210"/>
      <c r="E7" s="211"/>
      <c r="F7" s="206"/>
      <c r="G7" s="199"/>
      <c r="H7" s="39"/>
      <c r="I7" s="39"/>
      <c r="J7" s="39"/>
      <c r="K7" s="39"/>
      <c r="L7" s="39"/>
      <c r="M7" s="39"/>
      <c r="N7" s="39"/>
      <c r="O7" s="39"/>
      <c r="P7" s="39"/>
      <c r="Q7"/>
      <c r="R7"/>
      <c r="S7"/>
    </row>
    <row r="8" spans="1:19" ht="12.75">
      <c r="A8" s="218" t="s">
        <v>408</v>
      </c>
      <c r="B8" s="243" t="s">
        <v>409</v>
      </c>
      <c r="C8" s="206"/>
      <c r="D8" s="210"/>
      <c r="E8" s="211"/>
      <c r="F8" s="206"/>
      <c r="G8" s="199"/>
      <c r="H8" s="39"/>
      <c r="I8" s="39"/>
      <c r="J8" s="39"/>
      <c r="K8" s="39"/>
      <c r="L8" s="39"/>
      <c r="M8" s="39"/>
      <c r="N8" s="39"/>
      <c r="O8" s="39"/>
      <c r="P8" s="39"/>
      <c r="Q8"/>
      <c r="R8"/>
      <c r="S8"/>
    </row>
    <row r="9" spans="1:19" ht="12.75">
      <c r="A9" s="218"/>
      <c r="B9" s="243"/>
      <c r="C9" s="206"/>
      <c r="D9" s="210"/>
      <c r="E9" s="211"/>
      <c r="F9" s="206"/>
      <c r="G9" s="199"/>
      <c r="H9" s="39"/>
      <c r="I9" s="39"/>
      <c r="J9" s="39"/>
      <c r="K9" s="39"/>
      <c r="L9" s="39"/>
      <c r="M9" s="39"/>
      <c r="N9" s="39"/>
      <c r="O9" s="39"/>
      <c r="P9" s="39"/>
      <c r="Q9"/>
      <c r="R9"/>
      <c r="S9"/>
    </row>
    <row r="10" spans="1:19" ht="12.75">
      <c r="A10" s="219"/>
      <c r="B10" s="244"/>
      <c r="C10" s="207"/>
      <c r="D10" s="212"/>
      <c r="E10" s="213"/>
      <c r="F10" s="207"/>
      <c r="G10" s="220"/>
      <c r="H10" s="39"/>
      <c r="I10" s="39"/>
      <c r="J10" s="39"/>
      <c r="K10" s="39"/>
      <c r="L10" s="39"/>
      <c r="M10" s="39"/>
      <c r="N10" s="39"/>
      <c r="O10" s="39"/>
      <c r="P10" s="39"/>
      <c r="Q10"/>
      <c r="R10"/>
      <c r="S10"/>
    </row>
    <row r="11" spans="1:19" ht="6" customHeight="1" thickBot="1">
      <c r="A11" s="522"/>
      <c r="B11" s="523"/>
      <c r="C11" s="523"/>
      <c r="D11" s="523"/>
      <c r="E11" s="204"/>
      <c r="F11" s="53"/>
      <c r="G11" s="54"/>
      <c r="H11" s="39"/>
      <c r="I11" s="39"/>
      <c r="J11" s="39"/>
      <c r="K11" s="39"/>
      <c r="L11" s="39"/>
      <c r="M11" s="39"/>
      <c r="N11" s="39"/>
      <c r="O11" s="39"/>
      <c r="P11" s="55"/>
      <c r="Q11"/>
      <c r="R11"/>
      <c r="S11"/>
    </row>
    <row r="12" spans="1:19" ht="4.5" customHeight="1" thickBot="1">
      <c r="A12" s="524"/>
      <c r="B12" s="524"/>
      <c r="C12" s="524"/>
      <c r="D12" s="525"/>
      <c r="E12" s="524"/>
      <c r="F12" s="525"/>
      <c r="G12" s="525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513" t="s">
        <v>533</v>
      </c>
      <c r="B13" s="514"/>
      <c r="C13" s="514"/>
      <c r="D13" s="515"/>
      <c r="E13" s="515"/>
      <c r="F13" s="515"/>
      <c r="G13" s="516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486"/>
      <c r="B14" s="487"/>
      <c r="C14" s="487"/>
      <c r="D14" s="459"/>
      <c r="E14" s="459"/>
      <c r="F14" s="459"/>
      <c r="G14" s="488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486"/>
      <c r="B15" s="487"/>
      <c r="C15" s="487"/>
      <c r="D15" s="459"/>
      <c r="E15" s="459"/>
      <c r="F15" s="459"/>
      <c r="G15" s="488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489"/>
      <c r="B16" s="459"/>
      <c r="C16" s="459"/>
      <c r="D16" s="459"/>
      <c r="E16" s="459"/>
      <c r="F16" s="459"/>
      <c r="G16" s="488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489"/>
      <c r="B17" s="459"/>
      <c r="C17" s="459"/>
      <c r="D17" s="459"/>
      <c r="E17" s="459"/>
      <c r="F17" s="459"/>
      <c r="G17" s="488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517"/>
      <c r="B18" s="463"/>
      <c r="C18" s="463"/>
      <c r="D18" s="463"/>
      <c r="E18" s="463"/>
      <c r="F18" s="463"/>
      <c r="G18" s="518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482" t="s">
        <v>534</v>
      </c>
      <c r="B19" s="483"/>
      <c r="C19" s="483"/>
      <c r="D19" s="484"/>
      <c r="E19" s="484"/>
      <c r="F19" s="484"/>
      <c r="G19" s="485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486"/>
      <c r="B20" s="487"/>
      <c r="C20" s="487"/>
      <c r="D20" s="459"/>
      <c r="E20" s="459"/>
      <c r="F20" s="459"/>
      <c r="G20" s="488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486"/>
      <c r="B21" s="487"/>
      <c r="C21" s="487"/>
      <c r="D21" s="459"/>
      <c r="E21" s="459"/>
      <c r="F21" s="459"/>
      <c r="G21" s="488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486"/>
      <c r="B22" s="487"/>
      <c r="C22" s="487"/>
      <c r="D22" s="459"/>
      <c r="E22" s="459"/>
      <c r="F22" s="459"/>
      <c r="G22" s="488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489"/>
      <c r="B23" s="459"/>
      <c r="C23" s="459"/>
      <c r="D23" s="459"/>
      <c r="E23" s="459"/>
      <c r="F23" s="459"/>
      <c r="G23" s="488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489"/>
      <c r="B24" s="459"/>
      <c r="C24" s="459"/>
      <c r="D24" s="459"/>
      <c r="E24" s="459"/>
      <c r="F24" s="459"/>
      <c r="G24" s="488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517"/>
      <c r="B25" s="463"/>
      <c r="C25" s="463"/>
      <c r="D25" s="463"/>
      <c r="E25" s="463"/>
      <c r="F25" s="463"/>
      <c r="G25" s="518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482" t="s">
        <v>548</v>
      </c>
      <c r="B26" s="483"/>
      <c r="C26" s="483"/>
      <c r="D26" s="484"/>
      <c r="E26" s="484"/>
      <c r="F26" s="484"/>
      <c r="G26" s="485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486"/>
      <c r="B27" s="487"/>
      <c r="C27" s="487"/>
      <c r="D27" s="459"/>
      <c r="E27" s="459"/>
      <c r="F27" s="459"/>
      <c r="G27" s="488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486"/>
      <c r="B28" s="487"/>
      <c r="C28" s="487"/>
      <c r="D28" s="459"/>
      <c r="E28" s="459"/>
      <c r="F28" s="459"/>
      <c r="G28" s="48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486"/>
      <c r="B29" s="487"/>
      <c r="C29" s="487"/>
      <c r="D29" s="459"/>
      <c r="E29" s="459"/>
      <c r="F29" s="459"/>
      <c r="G29" s="48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489"/>
      <c r="B30" s="459"/>
      <c r="C30" s="459"/>
      <c r="D30" s="459"/>
      <c r="E30" s="459"/>
      <c r="F30" s="459"/>
      <c r="G30" s="48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489"/>
      <c r="B31" s="459"/>
      <c r="C31" s="459"/>
      <c r="D31" s="459"/>
      <c r="E31" s="459"/>
      <c r="F31" s="459"/>
      <c r="G31" s="48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3.5" thickBot="1">
      <c r="A32" s="490"/>
      <c r="B32" s="491"/>
      <c r="C32" s="491"/>
      <c r="D32" s="491"/>
      <c r="E32" s="491"/>
      <c r="F32" s="491"/>
      <c r="G32" s="49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6.75" customHeight="1" thickBot="1">
      <c r="A33" s="56"/>
      <c r="B33" s="56"/>
      <c r="C33" s="56"/>
      <c r="D33" s="56"/>
      <c r="E33" s="56"/>
      <c r="F33" s="56"/>
      <c r="G33" s="5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.75" customHeight="1" thickBot="1">
      <c r="A34" s="493" t="s">
        <v>318</v>
      </c>
      <c r="B34" s="494"/>
      <c r="C34" s="494"/>
      <c r="D34" s="495"/>
      <c r="E34" s="495"/>
      <c r="F34" s="495"/>
      <c r="G34" s="49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59" t="s">
        <v>552</v>
      </c>
      <c r="B35" s="59" t="s">
        <v>425</v>
      </c>
      <c r="C35" s="59" t="s">
        <v>486</v>
      </c>
      <c r="D35" s="60" t="s">
        <v>94</v>
      </c>
      <c r="E35" s="60" t="s">
        <v>95</v>
      </c>
      <c r="F35" s="60" t="s">
        <v>101</v>
      </c>
      <c r="G35" s="61" t="s">
        <v>363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62"/>
      <c r="B36" s="235"/>
      <c r="C36" s="236"/>
      <c r="D36" s="63"/>
      <c r="E36" s="64"/>
      <c r="F36" s="65"/>
      <c r="G36" s="66"/>
      <c r="H36" s="39"/>
      <c r="I36" s="39"/>
      <c r="J36" s="39"/>
      <c r="K36" s="39"/>
      <c r="L36" s="39"/>
      <c r="M36" s="39"/>
      <c r="N36" s="39"/>
      <c r="O36" s="67"/>
      <c r="P36" s="39"/>
      <c r="Q36" s="39"/>
      <c r="R36" s="39"/>
      <c r="S36" s="39"/>
    </row>
    <row r="37" spans="1:19" ht="12.75">
      <c r="A37" s="39"/>
      <c r="B37" s="235"/>
      <c r="C37" s="236"/>
      <c r="D37" s="67"/>
      <c r="E37" s="64"/>
      <c r="F37" s="65"/>
      <c r="G37" s="66"/>
      <c r="H37" s="39"/>
      <c r="I37" s="39"/>
      <c r="J37" s="39"/>
      <c r="K37" s="39"/>
      <c r="L37" s="39"/>
      <c r="M37" s="39"/>
      <c r="N37" s="67"/>
      <c r="O37" s="237"/>
      <c r="P37" s="39"/>
      <c r="Q37" s="39"/>
      <c r="R37" s="39"/>
      <c r="S37" s="39"/>
    </row>
    <row r="38" spans="1:19" ht="12.75">
      <c r="A38" s="39"/>
      <c r="B38" s="235"/>
      <c r="C38" s="236"/>
      <c r="D38" s="67"/>
      <c r="E38" s="64"/>
      <c r="F38" s="65"/>
      <c r="G38" s="66"/>
      <c r="H38" s="39"/>
      <c r="I38" s="39"/>
      <c r="J38" s="39"/>
      <c r="K38" s="39"/>
      <c r="L38" s="39"/>
      <c r="M38" s="39"/>
      <c r="N38" s="67"/>
      <c r="O38" s="237"/>
      <c r="P38" s="39"/>
      <c r="Q38" s="39"/>
      <c r="R38" s="39"/>
      <c r="S38" s="39"/>
    </row>
    <row r="39" spans="1:19" ht="12.75">
      <c r="A39" s="238"/>
      <c r="B39" s="239"/>
      <c r="C39" s="240"/>
      <c r="D39" s="241"/>
      <c r="E39" s="70"/>
      <c r="F39" s="71"/>
      <c r="G39" s="72"/>
      <c r="H39" s="39"/>
      <c r="I39" s="39"/>
      <c r="J39" s="39"/>
      <c r="K39" s="39"/>
      <c r="L39" s="39"/>
      <c r="N39" s="67"/>
      <c r="O39" s="237"/>
      <c r="P39" s="39"/>
      <c r="Q39" s="39"/>
      <c r="R39" s="39"/>
      <c r="S39" s="39"/>
    </row>
    <row r="40" spans="1:19" ht="12.75">
      <c r="A40" s="39"/>
      <c r="B40" s="235"/>
      <c r="C40" s="236"/>
      <c r="D40" s="67"/>
      <c r="E40" s="64"/>
      <c r="F40" s="65"/>
      <c r="G40" s="66"/>
      <c r="H40" s="39"/>
      <c r="I40" s="39"/>
      <c r="J40" s="39"/>
      <c r="K40" s="39"/>
      <c r="L40" s="39"/>
      <c r="M40" s="39"/>
      <c r="N40" s="67"/>
      <c r="O40" s="237"/>
      <c r="P40" s="39"/>
      <c r="Q40" s="39"/>
      <c r="R40" s="39"/>
      <c r="S40" s="39"/>
    </row>
    <row r="41" spans="1:19" ht="12.75">
      <c r="A41" s="39"/>
      <c r="B41" s="235"/>
      <c r="C41" s="236"/>
      <c r="D41" s="67"/>
      <c r="E41" s="64"/>
      <c r="F41" s="65"/>
      <c r="G41" s="66"/>
      <c r="H41" s="39"/>
      <c r="I41" s="39"/>
      <c r="J41" s="39"/>
      <c r="K41" s="39"/>
      <c r="L41" s="39"/>
      <c r="M41" s="67"/>
      <c r="N41" s="67"/>
      <c r="O41" s="237"/>
      <c r="P41" s="39"/>
      <c r="Q41" s="39"/>
      <c r="R41" s="39"/>
      <c r="S41" s="39"/>
    </row>
    <row r="42" spans="1:19" ht="12.75">
      <c r="A42" s="68"/>
      <c r="B42" s="235"/>
      <c r="C42" s="236"/>
      <c r="D42" s="69"/>
      <c r="E42" s="70"/>
      <c r="F42" s="71"/>
      <c r="G42" s="72"/>
      <c r="H42" s="39"/>
      <c r="I42" s="39"/>
      <c r="J42" s="39"/>
      <c r="K42" s="39"/>
      <c r="L42" s="39"/>
      <c r="M42" s="39"/>
      <c r="N42" s="39"/>
      <c r="O42" s="67"/>
      <c r="P42" s="39"/>
      <c r="Q42" s="39"/>
      <c r="R42" s="39"/>
      <c r="S42" s="73"/>
    </row>
    <row r="43" spans="1:19" ht="12.75">
      <c r="A43" s="62"/>
      <c r="B43" s="235"/>
      <c r="C43" s="236"/>
      <c r="D43" s="63"/>
      <c r="E43" s="64"/>
      <c r="F43" s="65"/>
      <c r="G43" s="66"/>
      <c r="H43" s="39"/>
      <c r="I43" s="39"/>
      <c r="J43" s="39"/>
      <c r="K43" s="39"/>
      <c r="L43" s="39"/>
      <c r="M43" s="39"/>
      <c r="N43" s="39"/>
      <c r="O43" s="67"/>
      <c r="P43" s="39"/>
      <c r="Q43" s="39"/>
      <c r="R43" s="39"/>
      <c r="S43" s="39"/>
    </row>
    <row r="44" spans="1:19" ht="12.75">
      <c r="A44" s="62"/>
      <c r="B44" s="235"/>
      <c r="C44" s="236"/>
      <c r="D44" s="63"/>
      <c r="E44" s="64"/>
      <c r="F44" s="65"/>
      <c r="G44" s="66"/>
      <c r="H44" s="39"/>
      <c r="I44" s="39"/>
      <c r="J44" s="39"/>
      <c r="K44" s="39"/>
      <c r="L44" s="39"/>
      <c r="M44" s="39"/>
      <c r="N44" s="67"/>
      <c r="O44" s="67"/>
      <c r="P44" s="39"/>
      <c r="Q44" s="39"/>
      <c r="R44" s="39"/>
      <c r="S44" s="39"/>
    </row>
    <row r="45" spans="1:19" ht="12.75">
      <c r="A45" s="62"/>
      <c r="B45" s="235"/>
      <c r="C45" s="236"/>
      <c r="D45" s="63"/>
      <c r="E45" s="64"/>
      <c r="F45" s="65"/>
      <c r="G45" s="66"/>
      <c r="H45" s="39"/>
      <c r="I45" s="39"/>
      <c r="J45" s="39"/>
      <c r="K45" s="39"/>
      <c r="L45" s="39"/>
      <c r="M45" s="39"/>
      <c r="N45" s="67"/>
      <c r="O45" s="67"/>
      <c r="P45" s="39"/>
      <c r="Q45" s="39"/>
      <c r="R45" s="39"/>
      <c r="S45" s="39"/>
    </row>
    <row r="46" spans="1:19" ht="12.75">
      <c r="A46" s="68"/>
      <c r="B46" s="235"/>
      <c r="C46" s="236"/>
      <c r="D46" s="69"/>
      <c r="E46" s="70"/>
      <c r="F46" s="71"/>
      <c r="G46" s="72"/>
      <c r="H46" s="39"/>
      <c r="I46" s="39"/>
      <c r="J46" s="39"/>
      <c r="K46" s="39"/>
      <c r="L46" s="39"/>
      <c r="M46" s="39"/>
      <c r="N46" s="39"/>
      <c r="O46" s="67"/>
      <c r="P46" s="39"/>
      <c r="Q46" s="39"/>
      <c r="R46" s="39"/>
      <c r="S46" s="73"/>
    </row>
    <row r="47" spans="1:19" ht="12.75">
      <c r="A47" s="62"/>
      <c r="B47" s="235"/>
      <c r="C47" s="236"/>
      <c r="D47" s="63"/>
      <c r="E47" s="64"/>
      <c r="F47" s="65"/>
      <c r="G47" s="66"/>
      <c r="H47" s="39"/>
      <c r="I47" s="39"/>
      <c r="J47" s="39"/>
      <c r="K47" s="39"/>
      <c r="L47" s="39"/>
      <c r="M47" s="39"/>
      <c r="N47" s="39"/>
      <c r="O47" s="67"/>
      <c r="P47" s="39"/>
      <c r="Q47" s="39"/>
      <c r="R47" s="39"/>
      <c r="S47" s="39"/>
    </row>
    <row r="48" spans="1:19" ht="12.75">
      <c r="A48" s="62"/>
      <c r="B48" s="235"/>
      <c r="C48" s="236"/>
      <c r="D48" s="63"/>
      <c r="E48" s="64"/>
      <c r="F48" s="65"/>
      <c r="G48" s="66"/>
      <c r="H48" s="39"/>
      <c r="I48" s="39"/>
      <c r="J48" s="39"/>
      <c r="K48" s="39"/>
      <c r="L48" s="39"/>
      <c r="M48" s="39"/>
      <c r="N48" s="67"/>
      <c r="O48" s="67"/>
      <c r="P48" s="39"/>
      <c r="Q48" s="39"/>
      <c r="R48" s="39"/>
      <c r="S48" s="39"/>
    </row>
    <row r="49" spans="1:19" ht="12.75">
      <c r="A49" s="62"/>
      <c r="B49" s="235"/>
      <c r="C49" s="236"/>
      <c r="D49" s="63"/>
      <c r="E49" s="64"/>
      <c r="F49" s="65"/>
      <c r="G49" s="66"/>
      <c r="H49" s="39"/>
      <c r="I49" s="39"/>
      <c r="J49" s="39"/>
      <c r="K49" s="39"/>
      <c r="L49" s="39"/>
      <c r="M49" s="39"/>
      <c r="N49" s="39"/>
      <c r="O49" s="67"/>
      <c r="P49" s="39"/>
      <c r="Q49" s="39"/>
      <c r="R49" s="39"/>
      <c r="S49" s="39"/>
    </row>
    <row r="50" spans="1:19" ht="12.75">
      <c r="A50" s="62"/>
      <c r="B50" s="235"/>
      <c r="C50" s="236"/>
      <c r="D50" s="63"/>
      <c r="E50" s="64"/>
      <c r="F50" s="65"/>
      <c r="G50" s="66"/>
      <c r="H50" s="39"/>
      <c r="I50" s="39"/>
      <c r="J50" s="39"/>
      <c r="K50" s="39"/>
      <c r="L50" s="39"/>
      <c r="M50" s="39"/>
      <c r="N50" s="67"/>
      <c r="O50" s="67"/>
      <c r="P50" s="39"/>
      <c r="Q50" s="39"/>
      <c r="R50" s="39"/>
      <c r="S50" s="39"/>
    </row>
    <row r="51" spans="1:19" ht="12.75">
      <c r="A51" s="68"/>
      <c r="B51" s="235"/>
      <c r="C51" s="236"/>
      <c r="D51" s="69"/>
      <c r="E51" s="70"/>
      <c r="F51" s="71"/>
      <c r="G51" s="72"/>
      <c r="H51" s="39"/>
      <c r="I51" s="39"/>
      <c r="J51" s="39"/>
      <c r="K51" s="39"/>
      <c r="L51" s="39"/>
      <c r="M51" s="39"/>
      <c r="N51" s="39"/>
      <c r="O51" s="67"/>
      <c r="P51" s="39"/>
      <c r="Q51" s="39"/>
      <c r="R51" s="39"/>
      <c r="S51" s="73"/>
    </row>
    <row r="52" spans="1:19" ht="12.75">
      <c r="A52" s="62"/>
      <c r="B52" s="235"/>
      <c r="C52" s="236"/>
      <c r="D52" s="63"/>
      <c r="E52" s="74"/>
      <c r="F52" s="65"/>
      <c r="G52" s="66"/>
      <c r="H52" s="39"/>
      <c r="I52" s="39"/>
      <c r="J52" s="39"/>
      <c r="K52" s="39"/>
      <c r="L52" s="39"/>
      <c r="M52" s="39"/>
      <c r="N52" s="67"/>
      <c r="O52" s="67"/>
      <c r="P52" s="39"/>
      <c r="Q52" s="39"/>
      <c r="R52" s="39"/>
      <c r="S52" s="39"/>
    </row>
    <row r="53" spans="1:19" ht="12.75">
      <c r="A53" s="62"/>
      <c r="B53" s="235"/>
      <c r="C53" s="236"/>
      <c r="D53" s="63"/>
      <c r="E53" s="64"/>
      <c r="F53" s="65"/>
      <c r="G53" s="66"/>
      <c r="H53" s="39"/>
      <c r="I53" s="39"/>
      <c r="J53" s="39"/>
      <c r="K53" s="39"/>
      <c r="L53" s="39"/>
      <c r="M53" s="39"/>
      <c r="N53" s="39"/>
      <c r="O53" s="67"/>
      <c r="P53" s="39"/>
      <c r="Q53" s="39"/>
      <c r="R53" s="39"/>
      <c r="S53" s="39"/>
    </row>
    <row r="54" spans="1:19" ht="12.75">
      <c r="A54" s="68"/>
      <c r="B54" s="235"/>
      <c r="C54" s="236"/>
      <c r="D54" s="69"/>
      <c r="E54" s="70"/>
      <c r="F54" s="71"/>
      <c r="G54" s="72"/>
      <c r="H54" s="39"/>
      <c r="I54" s="39"/>
      <c r="J54" s="39"/>
      <c r="K54" s="39"/>
      <c r="L54" s="39"/>
      <c r="M54" s="39"/>
      <c r="N54" s="39"/>
      <c r="O54" s="67"/>
      <c r="P54" s="39"/>
      <c r="Q54" s="39"/>
      <c r="R54" s="39"/>
      <c r="S54" s="73"/>
    </row>
    <row r="55" spans="1:19" ht="13.5" thickBot="1">
      <c r="A55" s="75"/>
      <c r="B55" s="76"/>
      <c r="C55" s="76"/>
      <c r="D55" s="77"/>
      <c r="E55" s="77"/>
      <c r="F55" s="78"/>
      <c r="G55" s="7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4.5" customHeight="1" thickBot="1">
      <c r="A56" s="52"/>
      <c r="B56" s="52"/>
      <c r="C56" s="52"/>
      <c r="D56" s="52"/>
      <c r="E56" s="52"/>
      <c r="F56" s="52"/>
      <c r="G56" s="52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5">
      <c r="A57" s="80"/>
      <c r="B57" s="81"/>
      <c r="C57" s="81"/>
      <c r="D57" s="82" t="s">
        <v>98</v>
      </c>
      <c r="E57" s="83"/>
      <c r="F57" s="83"/>
      <c r="G57" s="84"/>
      <c r="H57" s="85"/>
      <c r="I57" s="85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.75">
      <c r="A58" s="497"/>
      <c r="B58" s="498"/>
      <c r="C58" s="498"/>
      <c r="D58" s="499"/>
      <c r="E58" s="221"/>
      <c r="F58" s="86" t="s">
        <v>96</v>
      </c>
      <c r="G58" s="86" t="s">
        <v>97</v>
      </c>
      <c r="H58" s="85"/>
      <c r="I58" s="85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5">
      <c r="A59" s="500"/>
      <c r="B59" s="501"/>
      <c r="C59" s="501"/>
      <c r="D59" s="502"/>
      <c r="E59" s="87" t="s">
        <v>538</v>
      </c>
      <c r="F59" s="197">
        <f>SUM('BCWS by JOB'!E5)</f>
        <v>397</v>
      </c>
      <c r="G59" s="222">
        <f>SUM('BCWS by JOB'!I5)</f>
        <v>103</v>
      </c>
      <c r="H59" s="85"/>
      <c r="I59" s="85"/>
      <c r="J59"/>
      <c r="K59"/>
      <c r="L59"/>
      <c r="M59"/>
      <c r="N59"/>
      <c r="O59"/>
      <c r="P59"/>
      <c r="Q59"/>
      <c r="R59"/>
      <c r="S59"/>
    </row>
    <row r="60" spans="1:19" ht="15">
      <c r="A60" s="500"/>
      <c r="B60" s="501"/>
      <c r="C60" s="501"/>
      <c r="D60" s="502"/>
      <c r="E60" s="87" t="s">
        <v>539</v>
      </c>
      <c r="F60" s="197">
        <f>SUM('BCWP by JOB'!D5)</f>
        <v>396.97890671</v>
      </c>
      <c r="G60" s="222">
        <f>+'BCWS by JOB'!I93-'BCWS by JOB'!H93</f>
        <v>102.97890670999999</v>
      </c>
      <c r="H60" s="85"/>
      <c r="I60" s="85"/>
      <c r="J60"/>
      <c r="K60"/>
      <c r="L60"/>
      <c r="M60"/>
      <c r="N60"/>
      <c r="O60"/>
      <c r="P60"/>
      <c r="Q60"/>
      <c r="R60"/>
      <c r="S60"/>
    </row>
    <row r="61" spans="1:19" ht="15">
      <c r="A61" s="500"/>
      <c r="B61" s="501"/>
      <c r="C61" s="501"/>
      <c r="D61" s="502"/>
      <c r="E61" s="87" t="s">
        <v>540</v>
      </c>
      <c r="F61" s="197">
        <f>SUM('ACWP by JOB'!D5)</f>
        <v>416.8915888685476</v>
      </c>
      <c r="G61" s="222">
        <f>SUM('ACWP by JOB'!I5)</f>
        <v>107.29399999999998</v>
      </c>
      <c r="H61" s="85"/>
      <c r="I61" s="85"/>
      <c r="J61"/>
      <c r="K61"/>
      <c r="L61"/>
      <c r="M61"/>
      <c r="N61"/>
      <c r="O61"/>
      <c r="P61"/>
      <c r="Q61"/>
      <c r="R61"/>
      <c r="S61"/>
    </row>
    <row r="62" spans="1:19" ht="15">
      <c r="A62" s="500"/>
      <c r="B62" s="501"/>
      <c r="C62" s="501"/>
      <c r="D62" s="502"/>
      <c r="E62" s="87" t="s">
        <v>541</v>
      </c>
      <c r="F62" s="197">
        <f>+F60-F61</f>
        <v>-19.912682158547625</v>
      </c>
      <c r="G62" s="223"/>
      <c r="H62" s="85"/>
      <c r="I62" s="85"/>
      <c r="J62"/>
      <c r="K62"/>
      <c r="L62"/>
      <c r="M62"/>
      <c r="N62"/>
      <c r="O62"/>
      <c r="P62"/>
      <c r="Q62"/>
      <c r="R62"/>
      <c r="S62"/>
    </row>
    <row r="63" spans="1:19" ht="15">
      <c r="A63" s="500"/>
      <c r="B63" s="501"/>
      <c r="C63" s="501"/>
      <c r="D63" s="502"/>
      <c r="E63" s="87" t="s">
        <v>542</v>
      </c>
      <c r="F63" s="197">
        <f>+F60-F59</f>
        <v>-0.021093290000010256</v>
      </c>
      <c r="G63" s="223"/>
      <c r="H63" s="85"/>
      <c r="I63" s="85"/>
      <c r="J63"/>
      <c r="K63"/>
      <c r="L63"/>
      <c r="M63"/>
      <c r="N63"/>
      <c r="O63"/>
      <c r="P63"/>
      <c r="Q63"/>
      <c r="R63"/>
      <c r="S63"/>
    </row>
    <row r="64" spans="1:19" ht="12.75">
      <c r="A64" s="500"/>
      <c r="B64" s="501"/>
      <c r="C64" s="501"/>
      <c r="D64" s="502"/>
      <c r="E64" s="87" t="s">
        <v>543</v>
      </c>
      <c r="F64" s="284">
        <f>+F60/F61</f>
        <v>0.9522353468138058</v>
      </c>
      <c r="G64" s="285">
        <f>+G60/G61</f>
        <v>0.9597825294051858</v>
      </c>
      <c r="H64" s="85"/>
      <c r="I64" s="85"/>
      <c r="J64"/>
      <c r="K64"/>
      <c r="L64"/>
      <c r="M64"/>
      <c r="N64"/>
      <c r="O64"/>
      <c r="P64"/>
      <c r="Q64"/>
      <c r="R64"/>
      <c r="S64"/>
    </row>
    <row r="65" spans="1:19" ht="12.75">
      <c r="A65" s="500"/>
      <c r="B65" s="501"/>
      <c r="C65" s="501"/>
      <c r="D65" s="502"/>
      <c r="E65" s="87" t="s">
        <v>544</v>
      </c>
      <c r="F65" s="284">
        <f>+F60/F59</f>
        <v>0.9999468682871536</v>
      </c>
      <c r="G65" s="285">
        <f>+G60/G59</f>
        <v>0.999795210776699</v>
      </c>
      <c r="H65" s="85"/>
      <c r="I65" s="85"/>
      <c r="J65"/>
      <c r="K65"/>
      <c r="L65"/>
      <c r="M65"/>
      <c r="N65"/>
      <c r="O65"/>
      <c r="P65"/>
      <c r="Q65"/>
      <c r="R65"/>
      <c r="S65"/>
    </row>
    <row r="66" spans="1:19" ht="15">
      <c r="A66" s="500"/>
      <c r="B66" s="501"/>
      <c r="C66" s="501"/>
      <c r="D66" s="502"/>
      <c r="E66" s="87" t="s">
        <v>536</v>
      </c>
      <c r="F66" s="197">
        <f>SUM('BCWS by JOB'!A83)</f>
        <v>11056.503999999999</v>
      </c>
      <c r="G66" s="224"/>
      <c r="H66" s="85"/>
      <c r="I66" s="85"/>
      <c r="J66"/>
      <c r="K66"/>
      <c r="L66"/>
      <c r="M66"/>
      <c r="N66"/>
      <c r="O66"/>
      <c r="P66"/>
      <c r="Q66"/>
      <c r="R66"/>
      <c r="S66"/>
    </row>
    <row r="67" spans="1:19" ht="15">
      <c r="A67" s="500"/>
      <c r="B67" s="501"/>
      <c r="C67" s="501"/>
      <c r="D67" s="502"/>
      <c r="E67" s="87" t="s">
        <v>537</v>
      </c>
      <c r="F67" s="198"/>
      <c r="G67" s="224"/>
      <c r="H67" s="85"/>
      <c r="I67" s="85"/>
      <c r="J67"/>
      <c r="K67"/>
      <c r="L67"/>
      <c r="M67"/>
      <c r="N67"/>
      <c r="O67"/>
      <c r="P67"/>
      <c r="Q67"/>
      <c r="R67"/>
      <c r="S67"/>
    </row>
    <row r="68" spans="1:19" ht="12.75">
      <c r="A68" s="500"/>
      <c r="B68" s="501"/>
      <c r="C68" s="501"/>
      <c r="D68" s="502"/>
      <c r="E68" s="225" t="s">
        <v>535</v>
      </c>
      <c r="F68" s="226"/>
      <c r="G68" s="227"/>
      <c r="H68" s="85"/>
      <c r="I68" s="85"/>
      <c r="J68"/>
      <c r="K68"/>
      <c r="L68"/>
      <c r="M68"/>
      <c r="N68"/>
      <c r="O68"/>
      <c r="P68"/>
      <c r="Q68"/>
      <c r="R68"/>
      <c r="S68"/>
    </row>
    <row r="69" spans="1:19" ht="12.75">
      <c r="A69" s="500"/>
      <c r="B69" s="501"/>
      <c r="C69" s="501"/>
      <c r="D69" s="502"/>
      <c r="E69" s="89" t="s">
        <v>545</v>
      </c>
      <c r="F69" s="506"/>
      <c r="G69" s="507"/>
      <c r="H69" s="85"/>
      <c r="I69" s="85"/>
      <c r="J69"/>
      <c r="K69"/>
      <c r="L69"/>
      <c r="M69"/>
      <c r="N69"/>
      <c r="O69"/>
      <c r="P69"/>
      <c r="Q69"/>
      <c r="R69"/>
      <c r="S69"/>
    </row>
    <row r="70" spans="1:19" ht="12.75">
      <c r="A70" s="500"/>
      <c r="B70" s="501"/>
      <c r="C70" s="501"/>
      <c r="D70" s="502"/>
      <c r="E70" s="508"/>
      <c r="F70" s="477"/>
      <c r="G70" s="509"/>
      <c r="H70" s="85"/>
      <c r="I70" s="85"/>
      <c r="J70"/>
      <c r="K70"/>
      <c r="L70"/>
      <c r="M70"/>
      <c r="N70"/>
      <c r="O70"/>
      <c r="P70"/>
      <c r="Q70"/>
      <c r="R70"/>
      <c r="S70"/>
    </row>
    <row r="71" spans="1:19" ht="12.75">
      <c r="A71" s="503"/>
      <c r="B71" s="504"/>
      <c r="C71" s="504"/>
      <c r="D71" s="505"/>
      <c r="E71" s="510"/>
      <c r="F71" s="511"/>
      <c r="G71" s="512"/>
      <c r="H71" s="85"/>
      <c r="I71" s="85"/>
      <c r="J71"/>
      <c r="K71"/>
      <c r="L71"/>
      <c r="M71"/>
      <c r="N71"/>
      <c r="O71"/>
      <c r="P71"/>
      <c r="Q71"/>
      <c r="R71"/>
      <c r="S71"/>
    </row>
    <row r="72" spans="1:19" ht="12.75">
      <c r="A72" s="465" t="s">
        <v>99</v>
      </c>
      <c r="B72" s="466"/>
      <c r="C72" s="466"/>
      <c r="D72" s="467"/>
      <c r="E72" s="467"/>
      <c r="F72" s="467"/>
      <c r="G72" s="468"/>
      <c r="H72" s="85"/>
      <c r="I72" s="39"/>
      <c r="J72"/>
      <c r="K72"/>
      <c r="L72"/>
      <c r="M72"/>
      <c r="N72"/>
      <c r="O72"/>
      <c r="P72"/>
      <c r="Q72"/>
      <c r="R72"/>
      <c r="S72"/>
    </row>
    <row r="73" spans="1:19" ht="12.75">
      <c r="A73" s="469" t="s">
        <v>554</v>
      </c>
      <c r="B73" s="470"/>
      <c r="C73" s="470"/>
      <c r="D73" s="471"/>
      <c r="E73" s="90" t="s">
        <v>555</v>
      </c>
      <c r="F73" s="91"/>
      <c r="G73" s="92"/>
      <c r="H73" s="39"/>
      <c r="I73" s="39"/>
      <c r="J73"/>
      <c r="K73"/>
      <c r="L73"/>
      <c r="M73"/>
      <c r="N73"/>
      <c r="O73"/>
      <c r="P73"/>
      <c r="Q73"/>
      <c r="R73"/>
      <c r="S73"/>
    </row>
    <row r="74" spans="1:19" ht="12.75">
      <c r="A74" s="472"/>
      <c r="B74" s="473"/>
      <c r="C74" s="473"/>
      <c r="D74" s="474"/>
      <c r="E74" s="473"/>
      <c r="F74" s="474"/>
      <c r="G74" s="453"/>
      <c r="H74" s="39"/>
      <c r="I74" s="39"/>
      <c r="J74"/>
      <c r="K74"/>
      <c r="L74"/>
      <c r="M74"/>
      <c r="N74"/>
      <c r="O74"/>
      <c r="P74"/>
      <c r="Q74"/>
      <c r="R74"/>
      <c r="S74"/>
    </row>
    <row r="75" spans="1:19" ht="12.75">
      <c r="A75" s="478"/>
      <c r="B75" s="477"/>
      <c r="C75" s="477"/>
      <c r="D75" s="477"/>
      <c r="E75" s="477"/>
      <c r="F75" s="477"/>
      <c r="G75" s="454"/>
      <c r="H75" s="39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478"/>
      <c r="B76" s="477"/>
      <c r="C76" s="477"/>
      <c r="D76" s="477"/>
      <c r="E76" s="477"/>
      <c r="F76" s="477"/>
      <c r="G76" s="454"/>
      <c r="H76" s="39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479"/>
      <c r="B77" s="480"/>
      <c r="C77" s="480"/>
      <c r="D77" s="480"/>
      <c r="E77" s="480"/>
      <c r="F77" s="480"/>
      <c r="G77" s="481"/>
      <c r="H77" s="85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56"/>
      <c r="B78" s="56"/>
      <c r="C78" s="56"/>
      <c r="D78" s="56"/>
      <c r="E78" s="56"/>
      <c r="F78" s="56"/>
      <c r="G78" s="56"/>
      <c r="H78" s="85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93" t="s">
        <v>547</v>
      </c>
      <c r="B79" s="94"/>
      <c r="C79" s="94"/>
      <c r="D79" s="95"/>
      <c r="E79" s="96"/>
      <c r="F79" s="97"/>
      <c r="G79" s="98"/>
      <c r="H79" s="39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28" t="s">
        <v>100</v>
      </c>
      <c r="B80" s="229"/>
      <c r="C80" s="229"/>
      <c r="D80" s="231" t="s">
        <v>546</v>
      </c>
      <c r="E80" s="232" t="s">
        <v>102</v>
      </c>
      <c r="F80" s="233"/>
      <c r="G80" s="234"/>
      <c r="H80" s="39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455"/>
      <c r="B81" s="230"/>
      <c r="C81" s="230"/>
      <c r="D81" s="455"/>
      <c r="E81" s="455"/>
      <c r="F81" s="457"/>
      <c r="G81" s="458"/>
      <c r="H81" s="39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456"/>
      <c r="B82" s="57"/>
      <c r="C82" s="57"/>
      <c r="D82" s="456"/>
      <c r="E82" s="456"/>
      <c r="F82" s="459"/>
      <c r="G82" s="460"/>
      <c r="H82" s="39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461"/>
      <c r="B83" s="99"/>
      <c r="C83" s="99"/>
      <c r="D83" s="461"/>
      <c r="E83" s="461"/>
      <c r="F83" s="459"/>
      <c r="G83" s="460"/>
      <c r="H83" s="39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462"/>
      <c r="B84" s="58"/>
      <c r="C84" s="58"/>
      <c r="D84" s="462"/>
      <c r="E84" s="462"/>
      <c r="F84" s="463"/>
      <c r="G84" s="464"/>
      <c r="H84" s="39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39" t="s">
        <v>571</v>
      </c>
      <c r="B92" s="39"/>
      <c r="C92" s="39"/>
      <c r="D92" s="39"/>
      <c r="E92" s="39"/>
      <c r="F92" s="67"/>
      <c r="G92" s="39" t="s">
        <v>578</v>
      </c>
      <c r="H92" s="39"/>
      <c r="I92" s="39" t="s">
        <v>579</v>
      </c>
      <c r="J92" s="67">
        <v>39276</v>
      </c>
      <c r="K92" s="39">
        <v>3</v>
      </c>
      <c r="L92" s="39"/>
      <c r="M92" s="39"/>
      <c r="N92" s="67">
        <v>39276</v>
      </c>
      <c r="O92"/>
      <c r="P92"/>
      <c r="Q92"/>
      <c r="R92"/>
      <c r="S92"/>
    </row>
    <row r="93" spans="1:19" ht="12.75">
      <c r="A93" s="39" t="s">
        <v>573</v>
      </c>
      <c r="B93" s="39"/>
      <c r="C93" s="39"/>
      <c r="D93" s="39"/>
      <c r="E93" s="39"/>
      <c r="F93" s="39"/>
      <c r="G93" s="39" t="s">
        <v>574</v>
      </c>
      <c r="H93" s="39"/>
      <c r="I93" s="39"/>
      <c r="J93" s="67">
        <v>39331</v>
      </c>
      <c r="K93" s="39">
        <v>3</v>
      </c>
      <c r="L93" s="39"/>
      <c r="M93" s="39"/>
      <c r="N93" s="39"/>
      <c r="O93"/>
      <c r="P93"/>
      <c r="Q93"/>
      <c r="R93"/>
      <c r="S93"/>
    </row>
    <row r="94" spans="1:19" ht="12.75">
      <c r="A94" s="39" t="s">
        <v>556</v>
      </c>
      <c r="B94" s="39"/>
      <c r="C94" s="39"/>
      <c r="D94" s="39"/>
      <c r="E94" s="39"/>
      <c r="F94" s="39"/>
      <c r="G94" s="39" t="s">
        <v>576</v>
      </c>
      <c r="H94" s="39"/>
      <c r="I94" s="39"/>
      <c r="J94" s="67">
        <v>39386</v>
      </c>
      <c r="K94" s="39">
        <v>2</v>
      </c>
      <c r="L94" s="39"/>
      <c r="M94" s="39"/>
      <c r="N94" s="67"/>
      <c r="O94"/>
      <c r="P94"/>
      <c r="Q94"/>
      <c r="R94"/>
      <c r="S94"/>
    </row>
    <row r="95" spans="1:19" ht="12.75">
      <c r="A95" s="39" t="s">
        <v>558</v>
      </c>
      <c r="B95" s="39"/>
      <c r="C95" s="39"/>
      <c r="D95" s="39"/>
      <c r="E95" s="39"/>
      <c r="F95" s="67"/>
      <c r="G95" s="39" t="s">
        <v>581</v>
      </c>
      <c r="H95" s="39"/>
      <c r="I95" s="39"/>
      <c r="J95" s="67">
        <v>39407</v>
      </c>
      <c r="K95" s="39">
        <v>3</v>
      </c>
      <c r="L95" s="39"/>
      <c r="M95" s="39"/>
      <c r="N95" s="67">
        <v>39479</v>
      </c>
      <c r="O95"/>
      <c r="P95"/>
      <c r="Q95"/>
      <c r="R95"/>
      <c r="S95"/>
    </row>
    <row r="96" spans="1:19" ht="12.75">
      <c r="A96" s="39" t="s">
        <v>559</v>
      </c>
      <c r="B96" s="39"/>
      <c r="C96" s="39"/>
      <c r="D96" s="39"/>
      <c r="E96" s="39"/>
      <c r="F96" s="39"/>
      <c r="G96" s="39" t="s">
        <v>564</v>
      </c>
      <c r="H96" s="39"/>
      <c r="I96" s="39"/>
      <c r="J96" s="67">
        <v>39484</v>
      </c>
      <c r="K96" s="39">
        <v>3</v>
      </c>
      <c r="L96" s="39"/>
      <c r="M96" s="39"/>
      <c r="N96" s="67">
        <v>39580</v>
      </c>
      <c r="O96"/>
      <c r="P96"/>
      <c r="Q96"/>
      <c r="R96"/>
      <c r="S96"/>
    </row>
    <row r="97" spans="1:19" ht="12.75">
      <c r="A97" s="39" t="s">
        <v>561</v>
      </c>
      <c r="B97" s="39"/>
      <c r="C97" s="39"/>
      <c r="D97" s="39"/>
      <c r="E97" s="39"/>
      <c r="F97" s="39"/>
      <c r="G97" s="39" t="s">
        <v>557</v>
      </c>
      <c r="H97" s="39"/>
      <c r="I97" s="39"/>
      <c r="J97" s="67">
        <v>39577</v>
      </c>
      <c r="K97" s="39">
        <v>2</v>
      </c>
      <c r="L97" s="39"/>
      <c r="M97" s="39"/>
      <c r="N97" s="39"/>
      <c r="O97"/>
      <c r="P97"/>
      <c r="Q97"/>
      <c r="R97"/>
      <c r="S97"/>
    </row>
    <row r="98" spans="1:19" ht="12.75">
      <c r="A98" s="39" t="s">
        <v>575</v>
      </c>
      <c r="B98" s="39"/>
      <c r="C98" s="39"/>
      <c r="D98" s="39"/>
      <c r="E98" s="39"/>
      <c r="F98" s="67"/>
      <c r="G98" s="39" t="s">
        <v>572</v>
      </c>
      <c r="H98" s="39"/>
      <c r="I98" s="39"/>
      <c r="J98" s="67">
        <v>39603</v>
      </c>
      <c r="K98" s="39">
        <v>3</v>
      </c>
      <c r="L98" s="39"/>
      <c r="M98" s="39"/>
      <c r="N98" s="39"/>
      <c r="O98"/>
      <c r="P98"/>
      <c r="Q98"/>
      <c r="R98"/>
      <c r="S98"/>
    </row>
    <row r="99" spans="1:19" ht="12.75">
      <c r="A99" s="39" t="s">
        <v>577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/>
      <c r="P99"/>
      <c r="Q99"/>
      <c r="R99"/>
      <c r="S99"/>
    </row>
    <row r="100" spans="1:19" ht="12.75">
      <c r="A100" s="39" t="s">
        <v>563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/>
      <c r="P100"/>
      <c r="Q100"/>
      <c r="R100"/>
      <c r="S100"/>
    </row>
    <row r="101" spans="1:19" ht="12.75">
      <c r="A101" s="39" t="s">
        <v>580</v>
      </c>
      <c r="B101" s="39"/>
      <c r="C101" s="39"/>
      <c r="D101" s="39"/>
      <c r="E101" s="39"/>
      <c r="F101" s="67"/>
      <c r="G101" s="39"/>
      <c r="H101" s="39"/>
      <c r="I101" s="39"/>
      <c r="J101" s="39"/>
      <c r="K101" s="39"/>
      <c r="L101" s="39"/>
      <c r="M101" s="39"/>
      <c r="N101" s="39"/>
      <c r="O101"/>
      <c r="P101"/>
      <c r="Q101"/>
      <c r="R101"/>
      <c r="S101"/>
    </row>
    <row r="102" spans="1:19" ht="12.75">
      <c r="A102" s="39" t="s">
        <v>565</v>
      </c>
      <c r="B102" s="39"/>
      <c r="C102" s="39"/>
      <c r="D102" s="39"/>
      <c r="E102" s="39"/>
      <c r="F102" s="67"/>
      <c r="G102" s="39"/>
      <c r="H102" s="39"/>
      <c r="I102" s="39"/>
      <c r="J102" s="39"/>
      <c r="K102" s="39"/>
      <c r="L102" s="39"/>
      <c r="M102" s="39"/>
      <c r="N102" s="39"/>
      <c r="O102"/>
      <c r="P102"/>
      <c r="Q102"/>
      <c r="R102"/>
      <c r="S102"/>
    </row>
    <row r="103" spans="1:19" ht="12.75">
      <c r="A103" s="39" t="s">
        <v>567</v>
      </c>
      <c r="B103" s="39"/>
      <c r="C103" s="39"/>
      <c r="D103" s="39"/>
      <c r="E103" s="39"/>
      <c r="F103" s="67"/>
      <c r="G103" s="39" t="s">
        <v>560</v>
      </c>
      <c r="H103" s="67">
        <v>39602</v>
      </c>
      <c r="I103" s="39"/>
      <c r="J103" s="67">
        <v>39616</v>
      </c>
      <c r="K103" s="39">
        <v>2</v>
      </c>
      <c r="L103" s="39"/>
      <c r="M103" s="39"/>
      <c r="N103" s="39"/>
      <c r="O103"/>
      <c r="P103"/>
      <c r="Q103"/>
      <c r="R103"/>
      <c r="S103"/>
    </row>
    <row r="104" spans="1:19" ht="12.75">
      <c r="A104" s="39" t="s">
        <v>569</v>
      </c>
      <c r="B104" s="39"/>
      <c r="C104" s="39"/>
      <c r="D104" s="39"/>
      <c r="E104" s="39"/>
      <c r="F104" s="39"/>
      <c r="G104" s="39" t="s">
        <v>582</v>
      </c>
      <c r="H104" s="67">
        <v>39617</v>
      </c>
      <c r="I104" s="39"/>
      <c r="J104" s="67">
        <v>39618</v>
      </c>
      <c r="K104" s="39">
        <v>3</v>
      </c>
      <c r="L104" s="39"/>
      <c r="M104" s="39"/>
      <c r="N104" s="39"/>
      <c r="O104"/>
      <c r="P104"/>
      <c r="Q104"/>
      <c r="R104"/>
      <c r="S104"/>
    </row>
    <row r="105" spans="1:19" ht="12.75">
      <c r="A105"/>
      <c r="B105"/>
      <c r="C105"/>
      <c r="D105"/>
      <c r="E105"/>
      <c r="F105" s="67"/>
      <c r="G105" s="39" t="s">
        <v>562</v>
      </c>
      <c r="H105" s="67">
        <v>39682</v>
      </c>
      <c r="I105" s="39"/>
      <c r="J105" s="67">
        <v>39702</v>
      </c>
      <c r="K105" s="39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67"/>
      <c r="G106" s="39" t="s">
        <v>566</v>
      </c>
      <c r="H106" s="67">
        <v>39750</v>
      </c>
      <c r="I106" s="39"/>
      <c r="J106" s="67">
        <v>39750</v>
      </c>
      <c r="K106" s="39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67"/>
      <c r="G107" s="39" t="s">
        <v>568</v>
      </c>
      <c r="H107" s="67">
        <v>39883</v>
      </c>
      <c r="I107" s="39"/>
      <c r="J107" s="67">
        <v>39883</v>
      </c>
      <c r="K107" s="39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39"/>
      <c r="G108" s="39" t="s">
        <v>570</v>
      </c>
      <c r="H108" s="67">
        <v>39972</v>
      </c>
      <c r="I108" s="39"/>
      <c r="J108" s="67">
        <v>39972</v>
      </c>
      <c r="K108" s="39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39"/>
      <c r="G110" s="39"/>
      <c r="H110" s="67"/>
      <c r="I110" s="39"/>
      <c r="J110" s="39"/>
      <c r="K110" s="39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67"/>
      <c r="G114" s="39"/>
      <c r="H114" s="39"/>
      <c r="I114" s="39"/>
      <c r="J114" s="39"/>
      <c r="K114" s="39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5" bottom="0.39" header="0.17" footer="0.17"/>
  <pageSetup fitToHeight="1" fitToWidth="1" horizontalDpi="600" verticalDpi="600" orientation="portrait" scale="67"/>
  <headerFooter alignWithMargins="0">
    <oddFooter>&amp;R&amp;F    &amp;A    &amp;D  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workbookViewId="0" topLeftCell="A37">
      <selection activeCell="E83" sqref="A2:G84"/>
    </sheetView>
  </sheetViews>
  <sheetFormatPr defaultColWidth="9.140625" defaultRowHeight="12.75"/>
  <cols>
    <col min="1" max="1" width="43.7109375" style="100" customWidth="1"/>
    <col min="2" max="2" width="13.8515625" style="100" customWidth="1"/>
    <col min="3" max="3" width="12.7109375" style="100" customWidth="1"/>
    <col min="4" max="4" width="21.00390625" style="100" customWidth="1"/>
    <col min="5" max="5" width="24.421875" style="100" customWidth="1"/>
    <col min="6" max="6" width="17.140625" style="100" customWidth="1"/>
    <col min="7" max="7" width="14.7109375" style="100" customWidth="1"/>
    <col min="8" max="16384" width="13.140625" style="100" customWidth="1"/>
  </cols>
  <sheetData>
    <row r="1" spans="1:19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  <c r="S1"/>
    </row>
    <row r="2" spans="1:19" ht="18.75">
      <c r="A2" s="40" t="s">
        <v>93</v>
      </c>
      <c r="B2" s="41"/>
      <c r="C2" s="41"/>
      <c r="D2" s="42"/>
      <c r="E2" s="42"/>
      <c r="F2" s="42"/>
      <c r="G2" s="43"/>
      <c r="H2" s="44" t="s">
        <v>419</v>
      </c>
      <c r="I2" s="39"/>
      <c r="J2" s="39"/>
      <c r="K2" s="39"/>
      <c r="L2" s="39"/>
      <c r="M2" s="39"/>
      <c r="N2" s="39"/>
      <c r="O2" s="39"/>
      <c r="P2" s="39"/>
      <c r="Q2"/>
      <c r="R2"/>
      <c r="S2"/>
    </row>
    <row r="3" spans="1:19" s="249" customFormat="1" ht="19.5" thickBot="1">
      <c r="A3" s="526" t="s">
        <v>551</v>
      </c>
      <c r="B3" s="527"/>
      <c r="C3" s="527"/>
      <c r="D3" s="528"/>
      <c r="E3" s="245" t="s">
        <v>403</v>
      </c>
      <c r="F3" s="246" t="s">
        <v>553</v>
      </c>
      <c r="G3" s="247" t="s">
        <v>550</v>
      </c>
      <c r="H3" s="248"/>
      <c r="I3" s="51"/>
      <c r="J3" s="51"/>
      <c r="K3" s="51"/>
      <c r="L3" s="51"/>
      <c r="M3" s="51"/>
      <c r="N3" s="51"/>
      <c r="O3" s="51"/>
      <c r="P3" s="51"/>
      <c r="Q3" s="10"/>
      <c r="R3" s="10"/>
      <c r="S3" s="10"/>
    </row>
    <row r="4" spans="1:19" ht="20.25">
      <c r="A4" s="250" t="s">
        <v>412</v>
      </c>
      <c r="B4" s="48"/>
      <c r="C4" s="48"/>
      <c r="D4" s="48"/>
      <c r="E4" s="251" t="s">
        <v>92</v>
      </c>
      <c r="F4" s="49"/>
      <c r="G4" s="252">
        <v>39293</v>
      </c>
      <c r="H4" s="50"/>
      <c r="I4" s="51"/>
      <c r="J4" s="51"/>
      <c r="K4" s="51"/>
      <c r="L4" s="51"/>
      <c r="M4" s="51"/>
      <c r="N4" s="51"/>
      <c r="O4" s="51"/>
      <c r="P4" s="51"/>
      <c r="Q4"/>
      <c r="R4"/>
      <c r="S4"/>
    </row>
    <row r="5" spans="1:19" ht="15">
      <c r="A5" s="214" t="s">
        <v>532</v>
      </c>
      <c r="B5" s="202" t="s">
        <v>427</v>
      </c>
      <c r="C5" s="203" t="s">
        <v>553</v>
      </c>
      <c r="D5" s="200" t="s">
        <v>532</v>
      </c>
      <c r="E5" s="201"/>
      <c r="F5" s="202" t="s">
        <v>427</v>
      </c>
      <c r="G5" s="215" t="s">
        <v>553</v>
      </c>
      <c r="H5" s="39"/>
      <c r="I5" s="39"/>
      <c r="J5" s="39"/>
      <c r="K5" s="39"/>
      <c r="L5" s="39"/>
      <c r="M5" s="39"/>
      <c r="N5" s="39"/>
      <c r="O5" s="39"/>
      <c r="P5" s="39"/>
      <c r="Q5"/>
      <c r="R5"/>
      <c r="S5"/>
    </row>
    <row r="6" spans="1:19" ht="12.75">
      <c r="A6" s="216" t="s">
        <v>413</v>
      </c>
      <c r="B6" s="242" t="s">
        <v>414</v>
      </c>
      <c r="C6" s="205"/>
      <c r="D6" s="208"/>
      <c r="E6" s="209"/>
      <c r="F6" s="205"/>
      <c r="G6" s="217"/>
      <c r="H6" s="39"/>
      <c r="I6" s="39"/>
      <c r="J6" s="39"/>
      <c r="K6" s="39"/>
      <c r="L6" s="39"/>
      <c r="M6" s="39"/>
      <c r="N6" s="39"/>
      <c r="O6" s="39"/>
      <c r="P6" s="39"/>
      <c r="Q6"/>
      <c r="R6"/>
      <c r="S6"/>
    </row>
    <row r="7" spans="1:19" ht="12.75">
      <c r="A7" s="218" t="s">
        <v>415</v>
      </c>
      <c r="B7" s="243" t="s">
        <v>416</v>
      </c>
      <c r="C7" s="206"/>
      <c r="D7" s="210"/>
      <c r="E7" s="211"/>
      <c r="F7" s="206"/>
      <c r="G7" s="199"/>
      <c r="H7" s="39"/>
      <c r="I7" s="39"/>
      <c r="J7" s="39"/>
      <c r="K7" s="39"/>
      <c r="L7" s="39"/>
      <c r="M7" s="39"/>
      <c r="N7" s="39"/>
      <c r="O7" s="39"/>
      <c r="P7" s="39"/>
      <c r="Q7"/>
      <c r="R7"/>
      <c r="S7"/>
    </row>
    <row r="8" spans="1:19" ht="12.75">
      <c r="A8" s="218" t="s">
        <v>417</v>
      </c>
      <c r="B8" s="243" t="s">
        <v>418</v>
      </c>
      <c r="C8" s="206"/>
      <c r="D8" s="210"/>
      <c r="E8" s="211"/>
      <c r="F8" s="206"/>
      <c r="G8" s="199"/>
      <c r="H8" s="39"/>
      <c r="I8" s="39"/>
      <c r="J8" s="39"/>
      <c r="K8" s="39"/>
      <c r="L8" s="39"/>
      <c r="M8" s="39"/>
      <c r="N8" s="39"/>
      <c r="O8" s="39"/>
      <c r="P8" s="39"/>
      <c r="Q8"/>
      <c r="R8"/>
      <c r="S8"/>
    </row>
    <row r="9" spans="1:19" ht="12.75">
      <c r="A9" s="218"/>
      <c r="B9" s="243"/>
      <c r="C9" s="206"/>
      <c r="D9" s="210"/>
      <c r="E9" s="211"/>
      <c r="F9" s="206"/>
      <c r="G9" s="199"/>
      <c r="H9" s="39"/>
      <c r="I9" s="39"/>
      <c r="J9" s="39"/>
      <c r="K9" s="39"/>
      <c r="L9" s="39"/>
      <c r="M9" s="39"/>
      <c r="N9" s="39"/>
      <c r="O9" s="39"/>
      <c r="P9" s="39"/>
      <c r="Q9"/>
      <c r="R9"/>
      <c r="S9"/>
    </row>
    <row r="10" spans="1:19" ht="12.75">
      <c r="A10" s="219"/>
      <c r="B10" s="244"/>
      <c r="C10" s="207"/>
      <c r="D10" s="212"/>
      <c r="E10" s="213"/>
      <c r="F10" s="207"/>
      <c r="G10" s="220"/>
      <c r="H10" s="39"/>
      <c r="I10" s="39"/>
      <c r="J10" s="39"/>
      <c r="K10" s="39"/>
      <c r="L10" s="39"/>
      <c r="M10" s="39"/>
      <c r="N10" s="39"/>
      <c r="O10" s="39"/>
      <c r="P10" s="39"/>
      <c r="Q10"/>
      <c r="R10"/>
      <c r="S10"/>
    </row>
    <row r="11" spans="1:19" ht="6" customHeight="1" thickBot="1">
      <c r="A11" s="522"/>
      <c r="B11" s="523"/>
      <c r="C11" s="523"/>
      <c r="D11" s="523"/>
      <c r="E11" s="204"/>
      <c r="F11" s="53"/>
      <c r="G11" s="54"/>
      <c r="H11" s="39"/>
      <c r="I11" s="39"/>
      <c r="J11" s="39"/>
      <c r="K11" s="39"/>
      <c r="L11" s="39"/>
      <c r="M11" s="39"/>
      <c r="N11" s="39"/>
      <c r="O11" s="39"/>
      <c r="P11" s="55"/>
      <c r="Q11"/>
      <c r="R11"/>
      <c r="S11"/>
    </row>
    <row r="12" spans="1:19" ht="4.5" customHeight="1" thickBot="1">
      <c r="A12" s="524"/>
      <c r="B12" s="524"/>
      <c r="C12" s="524"/>
      <c r="D12" s="525"/>
      <c r="E12" s="524"/>
      <c r="F12" s="525"/>
      <c r="G12" s="525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513" t="s">
        <v>533</v>
      </c>
      <c r="B13" s="514"/>
      <c r="C13" s="514"/>
      <c r="D13" s="515"/>
      <c r="E13" s="515"/>
      <c r="F13" s="515"/>
      <c r="G13" s="516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486"/>
      <c r="B14" s="487"/>
      <c r="C14" s="487"/>
      <c r="D14" s="459"/>
      <c r="E14" s="459"/>
      <c r="F14" s="459"/>
      <c r="G14" s="488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486"/>
      <c r="B15" s="487"/>
      <c r="C15" s="487"/>
      <c r="D15" s="459"/>
      <c r="E15" s="459"/>
      <c r="F15" s="459"/>
      <c r="G15" s="488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489"/>
      <c r="B16" s="459"/>
      <c r="C16" s="459"/>
      <c r="D16" s="459"/>
      <c r="E16" s="459"/>
      <c r="F16" s="459"/>
      <c r="G16" s="488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489"/>
      <c r="B17" s="459"/>
      <c r="C17" s="459"/>
      <c r="D17" s="459"/>
      <c r="E17" s="459"/>
      <c r="F17" s="459"/>
      <c r="G17" s="488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517"/>
      <c r="B18" s="463"/>
      <c r="C18" s="463"/>
      <c r="D18" s="463"/>
      <c r="E18" s="463"/>
      <c r="F18" s="463"/>
      <c r="G18" s="518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482" t="s">
        <v>534</v>
      </c>
      <c r="B19" s="483"/>
      <c r="C19" s="483"/>
      <c r="D19" s="484"/>
      <c r="E19" s="484"/>
      <c r="F19" s="484"/>
      <c r="G19" s="485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486"/>
      <c r="B20" s="487"/>
      <c r="C20" s="487"/>
      <c r="D20" s="459"/>
      <c r="E20" s="459"/>
      <c r="F20" s="459"/>
      <c r="G20" s="488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486"/>
      <c r="B21" s="487"/>
      <c r="C21" s="487"/>
      <c r="D21" s="459"/>
      <c r="E21" s="459"/>
      <c r="F21" s="459"/>
      <c r="G21" s="488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486"/>
      <c r="B22" s="487"/>
      <c r="C22" s="487"/>
      <c r="D22" s="459"/>
      <c r="E22" s="459"/>
      <c r="F22" s="459"/>
      <c r="G22" s="488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489"/>
      <c r="B23" s="459"/>
      <c r="C23" s="459"/>
      <c r="D23" s="459"/>
      <c r="E23" s="459"/>
      <c r="F23" s="459"/>
      <c r="G23" s="488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489"/>
      <c r="B24" s="459"/>
      <c r="C24" s="459"/>
      <c r="D24" s="459"/>
      <c r="E24" s="459"/>
      <c r="F24" s="459"/>
      <c r="G24" s="488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517"/>
      <c r="B25" s="463"/>
      <c r="C25" s="463"/>
      <c r="D25" s="463"/>
      <c r="E25" s="463"/>
      <c r="F25" s="463"/>
      <c r="G25" s="518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482" t="s">
        <v>548</v>
      </c>
      <c r="B26" s="483"/>
      <c r="C26" s="483"/>
      <c r="D26" s="484"/>
      <c r="E26" s="484"/>
      <c r="F26" s="484"/>
      <c r="G26" s="485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486"/>
      <c r="B27" s="487"/>
      <c r="C27" s="487"/>
      <c r="D27" s="459"/>
      <c r="E27" s="459"/>
      <c r="F27" s="459"/>
      <c r="G27" s="488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486"/>
      <c r="B28" s="487"/>
      <c r="C28" s="487"/>
      <c r="D28" s="459"/>
      <c r="E28" s="459"/>
      <c r="F28" s="459"/>
      <c r="G28" s="48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486"/>
      <c r="B29" s="487"/>
      <c r="C29" s="487"/>
      <c r="D29" s="459"/>
      <c r="E29" s="459"/>
      <c r="F29" s="459"/>
      <c r="G29" s="48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489"/>
      <c r="B30" s="459"/>
      <c r="C30" s="459"/>
      <c r="D30" s="459"/>
      <c r="E30" s="459"/>
      <c r="F30" s="459"/>
      <c r="G30" s="48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489"/>
      <c r="B31" s="459"/>
      <c r="C31" s="459"/>
      <c r="D31" s="459"/>
      <c r="E31" s="459"/>
      <c r="F31" s="459"/>
      <c r="G31" s="48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3.5" thickBot="1">
      <c r="A32" s="490"/>
      <c r="B32" s="491"/>
      <c r="C32" s="491"/>
      <c r="D32" s="491"/>
      <c r="E32" s="491"/>
      <c r="F32" s="491"/>
      <c r="G32" s="49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6.75" customHeight="1" thickBot="1">
      <c r="A33" s="56"/>
      <c r="B33" s="56"/>
      <c r="C33" s="56"/>
      <c r="D33" s="56"/>
      <c r="E33" s="56"/>
      <c r="F33" s="56"/>
      <c r="G33" s="5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.75" customHeight="1" thickBot="1">
      <c r="A34" s="493" t="s">
        <v>318</v>
      </c>
      <c r="B34" s="494"/>
      <c r="C34" s="494"/>
      <c r="D34" s="495"/>
      <c r="E34" s="495"/>
      <c r="F34" s="495"/>
      <c r="G34" s="49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59" t="s">
        <v>552</v>
      </c>
      <c r="B35" s="59" t="s">
        <v>425</v>
      </c>
      <c r="C35" s="59" t="s">
        <v>486</v>
      </c>
      <c r="D35" s="60" t="s">
        <v>94</v>
      </c>
      <c r="E35" s="60" t="s">
        <v>95</v>
      </c>
      <c r="F35" s="60" t="s">
        <v>101</v>
      </c>
      <c r="G35" s="61" t="s">
        <v>363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62"/>
      <c r="B36" s="235"/>
      <c r="C36" s="236"/>
      <c r="D36" s="63"/>
      <c r="E36" s="64"/>
      <c r="F36" s="65"/>
      <c r="G36" s="66"/>
      <c r="H36" s="39"/>
      <c r="I36" s="39"/>
      <c r="J36" s="39"/>
      <c r="K36" s="39" t="s">
        <v>583</v>
      </c>
      <c r="L36" s="39" t="s">
        <v>584</v>
      </c>
      <c r="M36" s="39" t="s">
        <v>588</v>
      </c>
      <c r="N36" s="39" t="s">
        <v>589</v>
      </c>
      <c r="O36" s="67" t="s">
        <v>585</v>
      </c>
      <c r="P36" s="39" t="s">
        <v>586</v>
      </c>
      <c r="Q36" s="39" t="s">
        <v>587</v>
      </c>
      <c r="R36" s="39"/>
      <c r="S36" s="39"/>
    </row>
    <row r="37" spans="1:19" ht="12.75">
      <c r="A37" s="39"/>
      <c r="B37" s="235"/>
      <c r="C37" s="236"/>
      <c r="D37" s="67"/>
      <c r="E37" s="64"/>
      <c r="F37" s="65"/>
      <c r="G37" s="66"/>
      <c r="H37" s="39"/>
      <c r="I37" s="39"/>
      <c r="J37" s="39"/>
      <c r="K37" s="39" t="s">
        <v>379</v>
      </c>
      <c r="L37" s="39" t="s">
        <v>578</v>
      </c>
      <c r="M37" s="39" t="s">
        <v>380</v>
      </c>
      <c r="N37" s="67">
        <v>39276</v>
      </c>
      <c r="O37" s="237">
        <v>3</v>
      </c>
      <c r="P37" s="39">
        <v>1803</v>
      </c>
      <c r="Q37" s="39" t="s">
        <v>381</v>
      </c>
      <c r="R37" s="39"/>
      <c r="S37" s="39"/>
    </row>
    <row r="38" spans="1:19" ht="12.75">
      <c r="A38" s="39"/>
      <c r="B38" s="235"/>
      <c r="C38" s="236"/>
      <c r="D38" s="67"/>
      <c r="E38" s="64"/>
      <c r="F38" s="65"/>
      <c r="G38" s="66"/>
      <c r="H38" s="39"/>
      <c r="I38" s="39"/>
      <c r="J38" s="39"/>
      <c r="K38" s="39" t="s">
        <v>382</v>
      </c>
      <c r="L38" s="39" t="s">
        <v>574</v>
      </c>
      <c r="M38" s="39"/>
      <c r="N38" s="67">
        <v>39331</v>
      </c>
      <c r="O38" s="237">
        <v>3</v>
      </c>
      <c r="P38" s="39">
        <v>3101</v>
      </c>
      <c r="Q38" s="39" t="s">
        <v>383</v>
      </c>
      <c r="R38" s="39"/>
      <c r="S38" s="39"/>
    </row>
    <row r="39" spans="1:19" ht="12.75">
      <c r="A39" s="238"/>
      <c r="B39" s="239"/>
      <c r="C39" s="240"/>
      <c r="D39" s="241"/>
      <c r="E39" s="70"/>
      <c r="F39" s="71"/>
      <c r="G39" s="72"/>
      <c r="H39" s="39"/>
      <c r="I39" s="39"/>
      <c r="J39" s="39"/>
      <c r="K39" s="39" t="s">
        <v>384</v>
      </c>
      <c r="L39" s="39" t="s">
        <v>576</v>
      </c>
      <c r="N39" s="67">
        <v>39345</v>
      </c>
      <c r="O39" s="237">
        <v>2</v>
      </c>
      <c r="P39" s="39">
        <v>1431</v>
      </c>
      <c r="Q39" s="39" t="s">
        <v>385</v>
      </c>
      <c r="R39" s="39"/>
      <c r="S39" s="39"/>
    </row>
    <row r="40" spans="1:19" ht="12.75">
      <c r="A40" s="39"/>
      <c r="B40" s="235"/>
      <c r="C40" s="236"/>
      <c r="D40" s="67"/>
      <c r="E40" s="64"/>
      <c r="F40" s="65"/>
      <c r="G40" s="66"/>
      <c r="H40" s="39"/>
      <c r="I40" s="39"/>
      <c r="J40" s="39"/>
      <c r="K40" s="39" t="s">
        <v>386</v>
      </c>
      <c r="L40" s="39" t="s">
        <v>387</v>
      </c>
      <c r="M40" s="39"/>
      <c r="N40" s="67">
        <v>39407</v>
      </c>
      <c r="O40" s="237">
        <v>3</v>
      </c>
      <c r="P40" s="39">
        <v>1803</v>
      </c>
      <c r="Q40" s="39" t="s">
        <v>381</v>
      </c>
      <c r="R40" s="39"/>
      <c r="S40" s="39"/>
    </row>
    <row r="41" spans="1:19" ht="12.75">
      <c r="A41" s="39"/>
      <c r="B41" s="235"/>
      <c r="C41" s="236"/>
      <c r="D41" s="67"/>
      <c r="E41" s="64"/>
      <c r="F41" s="65"/>
      <c r="G41" s="66"/>
      <c r="H41" s="39"/>
      <c r="I41" s="39"/>
      <c r="J41" s="39"/>
      <c r="K41" s="39" t="s">
        <v>388</v>
      </c>
      <c r="L41" s="39" t="s">
        <v>564</v>
      </c>
      <c r="M41" s="67">
        <v>39479</v>
      </c>
      <c r="N41" s="67">
        <v>39484</v>
      </c>
      <c r="O41" s="237">
        <v>3</v>
      </c>
      <c r="P41" s="39">
        <v>1810</v>
      </c>
      <c r="Q41" s="39" t="s">
        <v>389</v>
      </c>
      <c r="R41" s="39"/>
      <c r="S41" s="39"/>
    </row>
    <row r="42" spans="1:19" ht="12.75">
      <c r="A42" s="68"/>
      <c r="B42" s="235"/>
      <c r="C42" s="236"/>
      <c r="D42" s="69"/>
      <c r="E42" s="70"/>
      <c r="F42" s="71"/>
      <c r="G42" s="72"/>
      <c r="H42" s="39"/>
      <c r="I42" s="39"/>
      <c r="J42" s="39"/>
      <c r="K42" s="39"/>
      <c r="L42" s="39"/>
      <c r="M42" s="39"/>
      <c r="N42" s="39"/>
      <c r="O42" s="67"/>
      <c r="P42" s="39"/>
      <c r="Q42" s="39"/>
      <c r="R42" s="39"/>
      <c r="S42" s="73"/>
    </row>
    <row r="43" spans="1:19" ht="12.75">
      <c r="A43" s="62"/>
      <c r="B43" s="235"/>
      <c r="C43" s="236"/>
      <c r="D43" s="63"/>
      <c r="E43" s="64"/>
      <c r="F43" s="65"/>
      <c r="G43" s="66"/>
      <c r="H43" s="39"/>
      <c r="I43" s="39"/>
      <c r="J43" s="39"/>
      <c r="K43" s="39"/>
      <c r="L43" s="39"/>
      <c r="M43" s="39"/>
      <c r="N43" s="39"/>
      <c r="O43" s="67"/>
      <c r="P43" s="39"/>
      <c r="Q43" s="39"/>
      <c r="R43" s="39"/>
      <c r="S43" s="39"/>
    </row>
    <row r="44" spans="1:19" ht="12.75">
      <c r="A44" s="62"/>
      <c r="B44" s="235"/>
      <c r="C44" s="236"/>
      <c r="D44" s="63"/>
      <c r="E44" s="64"/>
      <c r="F44" s="65"/>
      <c r="G44" s="66"/>
      <c r="H44" s="39"/>
      <c r="I44" s="39"/>
      <c r="J44" s="39"/>
      <c r="K44" s="39"/>
      <c r="L44" s="39"/>
      <c r="M44" s="39"/>
      <c r="N44" s="67"/>
      <c r="O44" s="67"/>
      <c r="P44" s="39"/>
      <c r="Q44" s="39"/>
      <c r="R44" s="39"/>
      <c r="S44" s="39"/>
    </row>
    <row r="45" spans="1:19" ht="12.75">
      <c r="A45" s="62"/>
      <c r="B45" s="235"/>
      <c r="C45" s="236"/>
      <c r="D45" s="63"/>
      <c r="E45" s="64"/>
      <c r="F45" s="65"/>
      <c r="G45" s="66"/>
      <c r="H45" s="39"/>
      <c r="I45" s="39"/>
      <c r="J45" s="39"/>
      <c r="K45" s="39"/>
      <c r="L45" s="39"/>
      <c r="M45" s="39"/>
      <c r="N45" s="67"/>
      <c r="O45" s="67"/>
      <c r="P45" s="39"/>
      <c r="Q45" s="39"/>
      <c r="R45" s="39"/>
      <c r="S45" s="39"/>
    </row>
    <row r="46" spans="1:19" ht="12.75">
      <c r="A46" s="68"/>
      <c r="B46" s="235"/>
      <c r="C46" s="236"/>
      <c r="D46" s="69"/>
      <c r="E46" s="70"/>
      <c r="F46" s="71"/>
      <c r="G46" s="72"/>
      <c r="H46" s="39"/>
      <c r="I46" s="39"/>
      <c r="J46" s="39"/>
      <c r="K46" s="39"/>
      <c r="L46" s="39"/>
      <c r="M46" s="39"/>
      <c r="N46" s="39"/>
      <c r="O46" s="67"/>
      <c r="P46" s="39"/>
      <c r="Q46" s="39"/>
      <c r="R46" s="39"/>
      <c r="S46" s="73"/>
    </row>
    <row r="47" spans="1:19" ht="12.75">
      <c r="A47" s="62"/>
      <c r="B47" s="235"/>
      <c r="C47" s="236"/>
      <c r="D47" s="63"/>
      <c r="E47" s="64"/>
      <c r="F47" s="65"/>
      <c r="G47" s="66"/>
      <c r="H47" s="39"/>
      <c r="I47" s="39"/>
      <c r="J47" s="39"/>
      <c r="K47" s="39"/>
      <c r="L47" s="39"/>
      <c r="M47" s="39"/>
      <c r="N47" s="39"/>
      <c r="O47" s="67"/>
      <c r="P47" s="39"/>
      <c r="Q47" s="39"/>
      <c r="R47" s="39"/>
      <c r="S47" s="39"/>
    </row>
    <row r="48" spans="1:19" ht="12.75">
      <c r="A48" s="62"/>
      <c r="B48" s="235"/>
      <c r="C48" s="236"/>
      <c r="D48" s="63"/>
      <c r="E48" s="64"/>
      <c r="F48" s="65"/>
      <c r="G48" s="66"/>
      <c r="H48" s="39"/>
      <c r="I48" s="39"/>
      <c r="J48" s="39"/>
      <c r="K48" s="39"/>
      <c r="L48" s="39"/>
      <c r="M48" s="39"/>
      <c r="N48" s="67"/>
      <c r="O48" s="67"/>
      <c r="P48" s="39"/>
      <c r="Q48" s="39"/>
      <c r="R48" s="39"/>
      <c r="S48" s="39"/>
    </row>
    <row r="49" spans="1:19" ht="12.75">
      <c r="A49" s="62"/>
      <c r="B49" s="235"/>
      <c r="C49" s="236"/>
      <c r="D49" s="63"/>
      <c r="E49" s="64"/>
      <c r="F49" s="65"/>
      <c r="G49" s="66"/>
      <c r="H49" s="39"/>
      <c r="I49" s="39"/>
      <c r="J49" s="39"/>
      <c r="K49" s="39"/>
      <c r="L49" s="39"/>
      <c r="M49" s="39"/>
      <c r="N49" s="39"/>
      <c r="O49" s="67"/>
      <c r="P49" s="39"/>
      <c r="Q49" s="39"/>
      <c r="R49" s="39"/>
      <c r="S49" s="39"/>
    </row>
    <row r="50" spans="1:19" ht="12.75">
      <c r="A50" s="62"/>
      <c r="B50" s="235"/>
      <c r="C50" s="236"/>
      <c r="D50" s="63"/>
      <c r="E50" s="64"/>
      <c r="F50" s="65"/>
      <c r="G50" s="66"/>
      <c r="H50" s="39"/>
      <c r="I50" s="39"/>
      <c r="J50" s="39"/>
      <c r="K50" s="39"/>
      <c r="L50" s="39"/>
      <c r="M50" s="39"/>
      <c r="N50" s="67"/>
      <c r="O50" s="67"/>
      <c r="P50" s="39"/>
      <c r="Q50" s="39"/>
      <c r="R50" s="39"/>
      <c r="S50" s="39"/>
    </row>
    <row r="51" spans="1:19" ht="12.75">
      <c r="A51" s="68"/>
      <c r="B51" s="235"/>
      <c r="C51" s="236"/>
      <c r="D51" s="69"/>
      <c r="E51" s="70"/>
      <c r="F51" s="71"/>
      <c r="G51" s="72"/>
      <c r="H51" s="39"/>
      <c r="I51" s="39"/>
      <c r="J51" s="39"/>
      <c r="K51" s="39"/>
      <c r="L51" s="39"/>
      <c r="M51" s="39"/>
      <c r="N51" s="39"/>
      <c r="O51" s="67"/>
      <c r="P51" s="39"/>
      <c r="Q51" s="39"/>
      <c r="R51" s="39"/>
      <c r="S51" s="73"/>
    </row>
    <row r="52" spans="1:19" ht="12.75">
      <c r="A52" s="62"/>
      <c r="B52" s="235"/>
      <c r="C52" s="236"/>
      <c r="D52" s="63"/>
      <c r="E52" s="74"/>
      <c r="F52" s="65"/>
      <c r="G52" s="66"/>
      <c r="H52" s="39"/>
      <c r="I52" s="39"/>
      <c r="J52" s="39"/>
      <c r="K52" s="39"/>
      <c r="L52" s="39"/>
      <c r="M52" s="39"/>
      <c r="N52" s="67"/>
      <c r="O52" s="67"/>
      <c r="P52" s="39"/>
      <c r="Q52" s="39"/>
      <c r="R52" s="39"/>
      <c r="S52" s="39"/>
    </row>
    <row r="53" spans="1:19" ht="12.75">
      <c r="A53" s="62"/>
      <c r="B53" s="235"/>
      <c r="C53" s="236"/>
      <c r="D53" s="63"/>
      <c r="E53" s="64"/>
      <c r="F53" s="65"/>
      <c r="G53" s="66"/>
      <c r="H53" s="39"/>
      <c r="I53" s="39"/>
      <c r="J53" s="39"/>
      <c r="K53" s="39"/>
      <c r="L53" s="39"/>
      <c r="M53" s="39"/>
      <c r="N53" s="39"/>
      <c r="O53" s="67"/>
      <c r="P53" s="39"/>
      <c r="Q53" s="39"/>
      <c r="R53" s="39"/>
      <c r="S53" s="39"/>
    </row>
    <row r="54" spans="1:19" ht="12.75">
      <c r="A54" s="68"/>
      <c r="B54" s="235"/>
      <c r="C54" s="236"/>
      <c r="D54" s="69"/>
      <c r="E54" s="70"/>
      <c r="F54" s="71"/>
      <c r="G54" s="72"/>
      <c r="H54" s="39"/>
      <c r="I54" s="39"/>
      <c r="J54" s="39"/>
      <c r="K54" s="39"/>
      <c r="L54" s="39"/>
      <c r="M54" s="39"/>
      <c r="N54" s="39"/>
      <c r="O54" s="67"/>
      <c r="P54" s="39"/>
      <c r="Q54" s="39"/>
      <c r="R54" s="39"/>
      <c r="S54" s="73"/>
    </row>
    <row r="55" spans="1:19" ht="13.5" thickBot="1">
      <c r="A55" s="75"/>
      <c r="B55" s="76"/>
      <c r="C55" s="76"/>
      <c r="D55" s="77"/>
      <c r="E55" s="77"/>
      <c r="F55" s="78"/>
      <c r="G55" s="7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4.5" customHeight="1" thickBot="1">
      <c r="A56" s="52"/>
      <c r="B56" s="52"/>
      <c r="C56" s="52"/>
      <c r="D56" s="52"/>
      <c r="E56" s="52"/>
      <c r="F56" s="52"/>
      <c r="G56" s="52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5">
      <c r="A57" s="80"/>
      <c r="B57" s="81"/>
      <c r="C57" s="81"/>
      <c r="D57" s="82" t="s">
        <v>98</v>
      </c>
      <c r="E57" s="83"/>
      <c r="F57" s="83"/>
      <c r="G57" s="84"/>
      <c r="H57" s="85"/>
      <c r="I57" s="85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.75">
      <c r="A58" s="497"/>
      <c r="B58" s="498"/>
      <c r="C58" s="498"/>
      <c r="D58" s="499"/>
      <c r="E58" s="221"/>
      <c r="F58" s="86" t="s">
        <v>96</v>
      </c>
      <c r="G58" s="86" t="s">
        <v>97</v>
      </c>
      <c r="H58" s="85"/>
      <c r="I58" s="85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5">
      <c r="A59" s="500"/>
      <c r="B59" s="501"/>
      <c r="C59" s="501"/>
      <c r="D59" s="502"/>
      <c r="E59" s="87" t="s">
        <v>538</v>
      </c>
      <c r="F59" s="197">
        <f>SUM('BCWS by JOB'!E86)</f>
        <v>-99</v>
      </c>
      <c r="G59" s="222">
        <f>SUM('BCWS by JOB'!H86)</f>
        <v>1</v>
      </c>
      <c r="H59" s="85"/>
      <c r="I59" s="85"/>
      <c r="J59"/>
      <c r="K59"/>
      <c r="L59"/>
      <c r="M59"/>
      <c r="N59"/>
      <c r="O59"/>
      <c r="P59"/>
      <c r="Q59"/>
      <c r="R59"/>
      <c r="S59"/>
    </row>
    <row r="60" spans="1:19" ht="15">
      <c r="A60" s="500"/>
      <c r="B60" s="501"/>
      <c r="C60" s="501"/>
      <c r="D60" s="502"/>
      <c r="E60" s="87" t="s">
        <v>539</v>
      </c>
      <c r="F60" s="197"/>
      <c r="G60" s="222"/>
      <c r="H60" s="85"/>
      <c r="I60" s="85"/>
      <c r="J60"/>
      <c r="K60"/>
      <c r="L60"/>
      <c r="M60"/>
      <c r="N60"/>
      <c r="O60"/>
      <c r="P60"/>
      <c r="Q60"/>
      <c r="R60"/>
      <c r="S60"/>
    </row>
    <row r="61" spans="1:19" ht="15">
      <c r="A61" s="500"/>
      <c r="B61" s="501"/>
      <c r="C61" s="501"/>
      <c r="D61" s="502"/>
      <c r="E61" s="87" t="s">
        <v>540</v>
      </c>
      <c r="F61" s="197"/>
      <c r="G61" s="222"/>
      <c r="H61" s="85"/>
      <c r="I61" s="85"/>
      <c r="J61"/>
      <c r="K61"/>
      <c r="L61"/>
      <c r="M61"/>
      <c r="N61"/>
      <c r="O61"/>
      <c r="P61"/>
      <c r="Q61"/>
      <c r="R61"/>
      <c r="S61"/>
    </row>
    <row r="62" spans="1:19" ht="12.75">
      <c r="A62" s="500"/>
      <c r="B62" s="501"/>
      <c r="C62" s="501"/>
      <c r="D62" s="502"/>
      <c r="E62" s="87" t="s">
        <v>541</v>
      </c>
      <c r="F62" s="88"/>
      <c r="G62" s="223"/>
      <c r="H62" s="85"/>
      <c r="I62" s="85"/>
      <c r="J62"/>
      <c r="K62"/>
      <c r="L62"/>
      <c r="M62"/>
      <c r="N62"/>
      <c r="O62"/>
      <c r="P62"/>
      <c r="Q62"/>
      <c r="R62"/>
      <c r="S62"/>
    </row>
    <row r="63" spans="1:19" ht="12.75">
      <c r="A63" s="500"/>
      <c r="B63" s="501"/>
      <c r="C63" s="501"/>
      <c r="D63" s="502"/>
      <c r="E63" s="87" t="s">
        <v>542</v>
      </c>
      <c r="F63" s="88"/>
      <c r="G63" s="223"/>
      <c r="H63" s="85"/>
      <c r="I63" s="85"/>
      <c r="J63"/>
      <c r="K63"/>
      <c r="L63"/>
      <c r="M63"/>
      <c r="N63"/>
      <c r="O63"/>
      <c r="P63"/>
      <c r="Q63"/>
      <c r="R63"/>
      <c r="S63"/>
    </row>
    <row r="64" spans="1:19" ht="12.75">
      <c r="A64" s="500"/>
      <c r="B64" s="501"/>
      <c r="C64" s="501"/>
      <c r="D64" s="502"/>
      <c r="E64" s="87" t="s">
        <v>543</v>
      </c>
      <c r="F64" s="88"/>
      <c r="G64" s="223"/>
      <c r="H64" s="85"/>
      <c r="I64" s="85"/>
      <c r="J64"/>
      <c r="K64"/>
      <c r="L64"/>
      <c r="M64"/>
      <c r="N64"/>
      <c r="O64"/>
      <c r="P64"/>
      <c r="Q64"/>
      <c r="R64"/>
      <c r="S64"/>
    </row>
    <row r="65" spans="1:19" ht="12.75">
      <c r="A65" s="500"/>
      <c r="B65" s="501"/>
      <c r="C65" s="501"/>
      <c r="D65" s="502"/>
      <c r="E65" s="87" t="s">
        <v>544</v>
      </c>
      <c r="F65" s="88"/>
      <c r="G65" s="223"/>
      <c r="H65" s="85"/>
      <c r="I65" s="85"/>
      <c r="J65"/>
      <c r="K65"/>
      <c r="L65"/>
      <c r="M65"/>
      <c r="N65"/>
      <c r="O65"/>
      <c r="P65"/>
      <c r="Q65"/>
      <c r="R65"/>
      <c r="S65"/>
    </row>
    <row r="66" spans="1:19" ht="15">
      <c r="A66" s="500"/>
      <c r="B66" s="501"/>
      <c r="C66" s="501"/>
      <c r="D66" s="502"/>
      <c r="E66" s="87" t="s">
        <v>536</v>
      </c>
      <c r="F66" s="197">
        <f>SUM('BCWS by JOB'!A86)</f>
        <v>5081.65</v>
      </c>
      <c r="G66" s="224"/>
      <c r="H66" s="85"/>
      <c r="I66" s="85"/>
      <c r="J66"/>
      <c r="K66"/>
      <c r="L66"/>
      <c r="M66"/>
      <c r="N66"/>
      <c r="O66"/>
      <c r="P66"/>
      <c r="Q66"/>
      <c r="R66"/>
      <c r="S66"/>
    </row>
    <row r="67" spans="1:19" ht="15">
      <c r="A67" s="500"/>
      <c r="B67" s="501"/>
      <c r="C67" s="501"/>
      <c r="D67" s="502"/>
      <c r="E67" s="87" t="s">
        <v>537</v>
      </c>
      <c r="F67" s="198"/>
      <c r="G67" s="224"/>
      <c r="H67" s="85"/>
      <c r="I67" s="85"/>
      <c r="J67"/>
      <c r="K67"/>
      <c r="L67"/>
      <c r="M67"/>
      <c r="N67"/>
      <c r="O67"/>
      <c r="P67"/>
      <c r="Q67"/>
      <c r="R67"/>
      <c r="S67"/>
    </row>
    <row r="68" spans="1:19" ht="12.75">
      <c r="A68" s="500"/>
      <c r="B68" s="501"/>
      <c r="C68" s="501"/>
      <c r="D68" s="502"/>
      <c r="E68" s="225" t="s">
        <v>535</v>
      </c>
      <c r="F68" s="226"/>
      <c r="G68" s="227"/>
      <c r="H68" s="85"/>
      <c r="I68" s="85"/>
      <c r="J68"/>
      <c r="K68"/>
      <c r="L68"/>
      <c r="M68"/>
      <c r="N68"/>
      <c r="O68"/>
      <c r="P68"/>
      <c r="Q68"/>
      <c r="R68"/>
      <c r="S68"/>
    </row>
    <row r="69" spans="1:19" ht="12.75">
      <c r="A69" s="500"/>
      <c r="B69" s="501"/>
      <c r="C69" s="501"/>
      <c r="D69" s="502"/>
      <c r="E69" s="89" t="s">
        <v>545</v>
      </c>
      <c r="F69" s="506"/>
      <c r="G69" s="507"/>
      <c r="H69" s="85"/>
      <c r="I69" s="85"/>
      <c r="J69"/>
      <c r="K69"/>
      <c r="L69"/>
      <c r="M69"/>
      <c r="N69"/>
      <c r="O69"/>
      <c r="P69"/>
      <c r="Q69"/>
      <c r="R69"/>
      <c r="S69"/>
    </row>
    <row r="70" spans="1:19" ht="12.75">
      <c r="A70" s="500"/>
      <c r="B70" s="501"/>
      <c r="C70" s="501"/>
      <c r="D70" s="502"/>
      <c r="E70" s="508"/>
      <c r="F70" s="477"/>
      <c r="G70" s="509"/>
      <c r="H70" s="85"/>
      <c r="I70" s="85"/>
      <c r="J70"/>
      <c r="K70"/>
      <c r="L70"/>
      <c r="M70"/>
      <c r="N70"/>
      <c r="O70"/>
      <c r="P70"/>
      <c r="Q70"/>
      <c r="R70"/>
      <c r="S70"/>
    </row>
    <row r="71" spans="1:19" ht="12.75">
      <c r="A71" s="503"/>
      <c r="B71" s="504"/>
      <c r="C71" s="504"/>
      <c r="D71" s="505"/>
      <c r="E71" s="510"/>
      <c r="F71" s="511"/>
      <c r="G71" s="512"/>
      <c r="H71" s="85"/>
      <c r="I71" s="85"/>
      <c r="J71"/>
      <c r="K71"/>
      <c r="L71"/>
      <c r="M71"/>
      <c r="N71"/>
      <c r="O71"/>
      <c r="P71"/>
      <c r="Q71"/>
      <c r="R71"/>
      <c r="S71"/>
    </row>
    <row r="72" spans="1:19" ht="12.75">
      <c r="A72" s="465" t="s">
        <v>99</v>
      </c>
      <c r="B72" s="466"/>
      <c r="C72" s="466"/>
      <c r="D72" s="467"/>
      <c r="E72" s="467"/>
      <c r="F72" s="467"/>
      <c r="G72" s="468"/>
      <c r="H72" s="85"/>
      <c r="I72" s="39"/>
      <c r="J72"/>
      <c r="K72"/>
      <c r="L72"/>
      <c r="M72"/>
      <c r="N72"/>
      <c r="O72"/>
      <c r="P72"/>
      <c r="Q72"/>
      <c r="R72"/>
      <c r="S72"/>
    </row>
    <row r="73" spans="1:19" ht="12.75">
      <c r="A73" s="469" t="s">
        <v>554</v>
      </c>
      <c r="B73" s="470"/>
      <c r="C73" s="470"/>
      <c r="D73" s="471"/>
      <c r="E73" s="90" t="s">
        <v>555</v>
      </c>
      <c r="F73" s="91"/>
      <c r="G73" s="92"/>
      <c r="H73" s="39"/>
      <c r="I73" s="39"/>
      <c r="J73"/>
      <c r="K73"/>
      <c r="L73"/>
      <c r="M73"/>
      <c r="N73"/>
      <c r="O73"/>
      <c r="P73"/>
      <c r="Q73"/>
      <c r="R73"/>
      <c r="S73"/>
    </row>
    <row r="74" spans="1:19" ht="12.75">
      <c r="A74" s="472"/>
      <c r="B74" s="473"/>
      <c r="C74" s="473"/>
      <c r="D74" s="474"/>
      <c r="E74" s="473"/>
      <c r="F74" s="474"/>
      <c r="G74" s="453"/>
      <c r="H74" s="39"/>
      <c r="I74" s="39"/>
      <c r="J74"/>
      <c r="K74"/>
      <c r="L74"/>
      <c r="M74"/>
      <c r="N74"/>
      <c r="O74"/>
      <c r="P74"/>
      <c r="Q74"/>
      <c r="R74"/>
      <c r="S74"/>
    </row>
    <row r="75" spans="1:19" ht="12.75">
      <c r="A75" s="478"/>
      <c r="B75" s="477"/>
      <c r="C75" s="477"/>
      <c r="D75" s="477"/>
      <c r="E75" s="477"/>
      <c r="F75" s="477"/>
      <c r="G75" s="454"/>
      <c r="H75" s="39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478"/>
      <c r="B76" s="477"/>
      <c r="C76" s="477"/>
      <c r="D76" s="477"/>
      <c r="E76" s="477"/>
      <c r="F76" s="477"/>
      <c r="G76" s="454"/>
      <c r="H76" s="39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479"/>
      <c r="B77" s="480"/>
      <c r="C77" s="480"/>
      <c r="D77" s="480"/>
      <c r="E77" s="480"/>
      <c r="F77" s="480"/>
      <c r="G77" s="481"/>
      <c r="H77" s="85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56"/>
      <c r="B78" s="56"/>
      <c r="C78" s="56"/>
      <c r="D78" s="56"/>
      <c r="E78" s="56"/>
      <c r="F78" s="56"/>
      <c r="G78" s="56"/>
      <c r="H78" s="85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93" t="s">
        <v>547</v>
      </c>
      <c r="B79" s="94"/>
      <c r="C79" s="94"/>
      <c r="D79" s="95"/>
      <c r="E79" s="96"/>
      <c r="F79" s="97"/>
      <c r="G79" s="98"/>
      <c r="H79" s="39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28" t="s">
        <v>100</v>
      </c>
      <c r="B80" s="229"/>
      <c r="C80" s="229"/>
      <c r="D80" s="231" t="s">
        <v>546</v>
      </c>
      <c r="E80" s="232" t="s">
        <v>102</v>
      </c>
      <c r="F80" s="233"/>
      <c r="G80" s="234"/>
      <c r="H80" s="39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455"/>
      <c r="B81" s="230"/>
      <c r="C81" s="230"/>
      <c r="D81" s="455"/>
      <c r="E81" s="455"/>
      <c r="F81" s="457"/>
      <c r="G81" s="458"/>
      <c r="H81" s="39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456"/>
      <c r="B82" s="57"/>
      <c r="C82" s="57"/>
      <c r="D82" s="456"/>
      <c r="E82" s="456"/>
      <c r="F82" s="459"/>
      <c r="G82" s="460"/>
      <c r="H82" s="39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461"/>
      <c r="B83" s="99"/>
      <c r="C83" s="99"/>
      <c r="D83" s="461"/>
      <c r="E83" s="461"/>
      <c r="F83" s="459"/>
      <c r="G83" s="460"/>
      <c r="H83" s="39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462"/>
      <c r="B84" s="58"/>
      <c r="C84" s="58"/>
      <c r="D84" s="462"/>
      <c r="E84" s="462"/>
      <c r="F84" s="463"/>
      <c r="G84" s="464"/>
      <c r="H84" s="39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39" t="s">
        <v>571</v>
      </c>
      <c r="B92" s="39"/>
      <c r="C92" s="39"/>
      <c r="D92" s="39"/>
      <c r="E92" s="39"/>
      <c r="F92" s="67"/>
      <c r="G92" s="39" t="s">
        <v>578</v>
      </c>
      <c r="H92" s="39"/>
      <c r="I92" s="39" t="s">
        <v>579</v>
      </c>
      <c r="J92" s="67">
        <v>39276</v>
      </c>
      <c r="K92" s="39">
        <v>3</v>
      </c>
      <c r="L92" s="39"/>
      <c r="M92" s="39"/>
      <c r="N92" s="67">
        <v>39276</v>
      </c>
      <c r="O92"/>
      <c r="P92"/>
      <c r="Q92"/>
      <c r="R92"/>
      <c r="S92"/>
    </row>
    <row r="93" spans="1:19" ht="12.75">
      <c r="A93" s="39" t="s">
        <v>573</v>
      </c>
      <c r="B93" s="39"/>
      <c r="C93" s="39"/>
      <c r="D93" s="39"/>
      <c r="E93" s="39"/>
      <c r="F93" s="39"/>
      <c r="G93" s="39" t="s">
        <v>574</v>
      </c>
      <c r="H93" s="39"/>
      <c r="I93" s="39"/>
      <c r="J93" s="67">
        <v>39331</v>
      </c>
      <c r="K93" s="39">
        <v>3</v>
      </c>
      <c r="L93" s="39"/>
      <c r="M93" s="39"/>
      <c r="N93" s="39"/>
      <c r="O93"/>
      <c r="P93"/>
      <c r="Q93"/>
      <c r="R93"/>
      <c r="S93"/>
    </row>
    <row r="94" spans="1:19" ht="12.75">
      <c r="A94" s="39" t="s">
        <v>556</v>
      </c>
      <c r="B94" s="39"/>
      <c r="C94" s="39"/>
      <c r="D94" s="39"/>
      <c r="E94" s="39"/>
      <c r="F94" s="39"/>
      <c r="G94" s="39" t="s">
        <v>576</v>
      </c>
      <c r="H94" s="39"/>
      <c r="I94" s="39"/>
      <c r="J94" s="67">
        <v>39386</v>
      </c>
      <c r="K94" s="39">
        <v>2</v>
      </c>
      <c r="L94" s="39"/>
      <c r="M94" s="39"/>
      <c r="N94" s="67"/>
      <c r="O94"/>
      <c r="P94"/>
      <c r="Q94"/>
      <c r="R94"/>
      <c r="S94"/>
    </row>
    <row r="95" spans="1:19" ht="12.75">
      <c r="A95" s="39" t="s">
        <v>558</v>
      </c>
      <c r="B95" s="39"/>
      <c r="C95" s="39"/>
      <c r="D95" s="39"/>
      <c r="E95" s="39"/>
      <c r="F95" s="67"/>
      <c r="G95" s="39" t="s">
        <v>581</v>
      </c>
      <c r="H95" s="39"/>
      <c r="I95" s="39"/>
      <c r="J95" s="67">
        <v>39407</v>
      </c>
      <c r="K95" s="39">
        <v>3</v>
      </c>
      <c r="L95" s="39"/>
      <c r="M95" s="39"/>
      <c r="N95" s="67">
        <v>39479</v>
      </c>
      <c r="O95"/>
      <c r="P95"/>
      <c r="Q95"/>
      <c r="R95"/>
      <c r="S95"/>
    </row>
    <row r="96" spans="1:19" ht="12.75">
      <c r="A96" s="39" t="s">
        <v>559</v>
      </c>
      <c r="B96" s="39"/>
      <c r="C96" s="39"/>
      <c r="D96" s="39"/>
      <c r="E96" s="39"/>
      <c r="F96" s="39"/>
      <c r="G96" s="39" t="s">
        <v>564</v>
      </c>
      <c r="H96" s="39"/>
      <c r="I96" s="39"/>
      <c r="J96" s="67">
        <v>39484</v>
      </c>
      <c r="K96" s="39">
        <v>3</v>
      </c>
      <c r="L96" s="39"/>
      <c r="M96" s="39"/>
      <c r="N96" s="67">
        <v>39580</v>
      </c>
      <c r="O96"/>
      <c r="P96"/>
      <c r="Q96"/>
      <c r="R96"/>
      <c r="S96"/>
    </row>
    <row r="97" spans="1:19" ht="12.75">
      <c r="A97" s="39" t="s">
        <v>561</v>
      </c>
      <c r="B97" s="39"/>
      <c r="C97" s="39"/>
      <c r="D97" s="39"/>
      <c r="E97" s="39"/>
      <c r="F97" s="39"/>
      <c r="G97" s="39" t="s">
        <v>557</v>
      </c>
      <c r="H97" s="39"/>
      <c r="I97" s="39"/>
      <c r="J97" s="67">
        <v>39577</v>
      </c>
      <c r="K97" s="39">
        <v>2</v>
      </c>
      <c r="L97" s="39"/>
      <c r="M97" s="39"/>
      <c r="N97" s="39"/>
      <c r="O97"/>
      <c r="P97"/>
      <c r="Q97"/>
      <c r="R97"/>
      <c r="S97"/>
    </row>
    <row r="98" spans="1:19" ht="12.75">
      <c r="A98" s="39" t="s">
        <v>575</v>
      </c>
      <c r="B98" s="39"/>
      <c r="C98" s="39"/>
      <c r="D98" s="39"/>
      <c r="E98" s="39"/>
      <c r="F98" s="67"/>
      <c r="G98" s="39" t="s">
        <v>572</v>
      </c>
      <c r="H98" s="39"/>
      <c r="I98" s="39"/>
      <c r="J98" s="67">
        <v>39603</v>
      </c>
      <c r="K98" s="39">
        <v>3</v>
      </c>
      <c r="L98" s="39"/>
      <c r="M98" s="39"/>
      <c r="N98" s="39"/>
      <c r="O98"/>
      <c r="P98"/>
      <c r="Q98"/>
      <c r="R98"/>
      <c r="S98"/>
    </row>
    <row r="99" spans="1:19" ht="12.75">
      <c r="A99" s="39" t="s">
        <v>577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/>
      <c r="P99"/>
      <c r="Q99"/>
      <c r="R99"/>
      <c r="S99"/>
    </row>
    <row r="100" spans="1:19" ht="12.75">
      <c r="A100" s="39" t="s">
        <v>563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/>
      <c r="P100"/>
      <c r="Q100"/>
      <c r="R100"/>
      <c r="S100"/>
    </row>
    <row r="101" spans="1:19" ht="12.75">
      <c r="A101" s="39" t="s">
        <v>580</v>
      </c>
      <c r="B101" s="39"/>
      <c r="C101" s="39"/>
      <c r="D101" s="39"/>
      <c r="E101" s="39"/>
      <c r="F101" s="67"/>
      <c r="G101" s="39"/>
      <c r="H101" s="39"/>
      <c r="I101" s="39"/>
      <c r="J101" s="39"/>
      <c r="K101" s="39"/>
      <c r="L101" s="39"/>
      <c r="M101" s="39"/>
      <c r="N101" s="39"/>
      <c r="O101"/>
      <c r="P101"/>
      <c r="Q101"/>
      <c r="R101"/>
      <c r="S101"/>
    </row>
    <row r="102" spans="1:19" ht="12.75">
      <c r="A102" s="39" t="s">
        <v>565</v>
      </c>
      <c r="B102" s="39"/>
      <c r="C102" s="39"/>
      <c r="D102" s="39"/>
      <c r="E102" s="39"/>
      <c r="F102" s="67"/>
      <c r="G102" s="39"/>
      <c r="H102" s="39"/>
      <c r="I102" s="39"/>
      <c r="J102" s="39"/>
      <c r="K102" s="39"/>
      <c r="L102" s="39"/>
      <c r="M102" s="39"/>
      <c r="N102" s="39"/>
      <c r="O102"/>
      <c r="P102"/>
      <c r="Q102"/>
      <c r="R102"/>
      <c r="S102"/>
    </row>
    <row r="103" spans="1:19" ht="12.75">
      <c r="A103" s="39" t="s">
        <v>567</v>
      </c>
      <c r="B103" s="39"/>
      <c r="C103" s="39"/>
      <c r="D103" s="39"/>
      <c r="E103" s="39"/>
      <c r="F103" s="67"/>
      <c r="G103" s="39" t="s">
        <v>560</v>
      </c>
      <c r="H103" s="67">
        <v>39602</v>
      </c>
      <c r="I103" s="39"/>
      <c r="J103" s="67">
        <v>39616</v>
      </c>
      <c r="K103" s="39">
        <v>2</v>
      </c>
      <c r="L103" s="39"/>
      <c r="M103" s="39"/>
      <c r="N103" s="39"/>
      <c r="O103"/>
      <c r="P103"/>
      <c r="Q103"/>
      <c r="R103"/>
      <c r="S103"/>
    </row>
    <row r="104" spans="1:19" ht="12.75">
      <c r="A104" s="39" t="s">
        <v>569</v>
      </c>
      <c r="B104" s="39"/>
      <c r="C104" s="39"/>
      <c r="D104" s="39"/>
      <c r="E104" s="39"/>
      <c r="F104" s="39"/>
      <c r="G104" s="39" t="s">
        <v>582</v>
      </c>
      <c r="H104" s="67">
        <v>39617</v>
      </c>
      <c r="I104" s="39"/>
      <c r="J104" s="67">
        <v>39618</v>
      </c>
      <c r="K104" s="39">
        <v>3</v>
      </c>
      <c r="L104" s="39"/>
      <c r="M104" s="39"/>
      <c r="N104" s="39"/>
      <c r="O104"/>
      <c r="P104"/>
      <c r="Q104"/>
      <c r="R104"/>
      <c r="S104"/>
    </row>
    <row r="105" spans="1:19" ht="12.75">
      <c r="A105"/>
      <c r="B105"/>
      <c r="C105"/>
      <c r="D105"/>
      <c r="E105"/>
      <c r="F105" s="67"/>
      <c r="G105" s="39" t="s">
        <v>562</v>
      </c>
      <c r="H105" s="67">
        <v>39682</v>
      </c>
      <c r="I105" s="39"/>
      <c r="J105" s="67">
        <v>39702</v>
      </c>
      <c r="K105" s="39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67"/>
      <c r="G106" s="39" t="s">
        <v>566</v>
      </c>
      <c r="H106" s="67">
        <v>39750</v>
      </c>
      <c r="I106" s="39"/>
      <c r="J106" s="67">
        <v>39750</v>
      </c>
      <c r="K106" s="39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67"/>
      <c r="G107" s="39" t="s">
        <v>568</v>
      </c>
      <c r="H107" s="67">
        <v>39883</v>
      </c>
      <c r="I107" s="39"/>
      <c r="J107" s="67">
        <v>39883</v>
      </c>
      <c r="K107" s="39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39"/>
      <c r="G108" s="39" t="s">
        <v>570</v>
      </c>
      <c r="H108" s="67">
        <v>39972</v>
      </c>
      <c r="I108" s="39"/>
      <c r="J108" s="67">
        <v>39972</v>
      </c>
      <c r="K108" s="39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39"/>
      <c r="G110" s="39"/>
      <c r="H110" s="67"/>
      <c r="I110" s="39"/>
      <c r="J110" s="39"/>
      <c r="K110" s="39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67"/>
      <c r="G114" s="39"/>
      <c r="H114" s="39"/>
      <c r="I114" s="39"/>
      <c r="J114" s="39"/>
      <c r="K114" s="39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17" bottom="0.33" header="0.17" footer="0.17"/>
  <pageSetup fitToHeight="1" fitToWidth="1" horizontalDpi="600" verticalDpi="600" orientation="portrait" scale="70"/>
  <headerFooter alignWithMargins="0">
    <oddFooter>&amp;R&amp;F      &amp;A 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tbrown</cp:lastModifiedBy>
  <cp:lastPrinted>2007-09-13T12:45:41Z</cp:lastPrinted>
  <dcterms:created xsi:type="dcterms:W3CDTF">1999-11-30T18:37:22Z</dcterms:created>
  <dcterms:modified xsi:type="dcterms:W3CDTF">2007-09-13T15:51:39Z</dcterms:modified>
  <cp:category/>
  <cp:version/>
  <cp:contentType/>
  <cp:contentStatus/>
</cp:coreProperties>
</file>