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drawings/drawing23.xml" ContentType="application/vnd.openxmlformats-officedocument.drawing+xml"/>
  <Override PartName="/xl/worksheets/sheet7.xml" ContentType="application/vnd.openxmlformats-officedocument.spreadsheetml.worksheet+xml"/>
  <Override PartName="/xl/drawings/drawing24.xml" ContentType="application/vnd.openxmlformats-officedocument.drawing+xml"/>
  <Override PartName="/xl/worksheets/sheet8.xml" ContentType="application/vnd.openxmlformats-officedocument.spreadsheetml.worksheet+xml"/>
  <Override PartName="/xl/drawings/drawing26.xml" ContentType="application/vnd.openxmlformats-officedocument.drawing+xml"/>
  <Override PartName="/xl/worksheets/sheet9.xml" ContentType="application/vnd.openxmlformats-officedocument.spreadsheetml.worksheet+xml"/>
  <Override PartName="/xl/drawings/drawing28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drawings/drawing32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220" yWindow="612" windowWidth="12408" windowHeight="10656" tabRatio="896" firstSheet="7" activeTab="9"/>
  </bookViews>
  <sheets>
    <sheet name="Charts" sheetId="1" r:id="rId1"/>
    <sheet name="Summary" sheetId="2" r:id="rId2"/>
    <sheet name="BCWS by JOB" sheetId="3" r:id="rId3"/>
    <sheet name="ACWP by JOB" sheetId="4" r:id="rId4"/>
    <sheet name="BCWP by JOB" sheetId="5" r:id="rId5"/>
    <sheet name="Contingency" sheetId="6" r:id="rId6"/>
    <sheet name="COST PERFORMANCE BY RLM &amp; JOB" sheetId="7" r:id="rId7"/>
    <sheet name="TOTAL PROJECT REPORT" sheetId="8" r:id="rId8"/>
    <sheet name="Monthly Report-JIM" sheetId="9" r:id="rId9"/>
    <sheet name="Monthly Report-LARRY" sheetId="10" r:id="rId10"/>
    <sheet name="Monthly Report- PHIL" sheetId="11" r:id="rId11"/>
    <sheet name="Monthly Report-AL" sheetId="12" r:id="rId12"/>
    <sheet name="EAC calculation" sheetId="13" r:id="rId13"/>
    <sheet name="Summary analysis" sheetId="14" r:id="rId14"/>
    <sheet name="Baseline Reconciliation" sheetId="15" r:id="rId15"/>
  </sheets>
  <definedNames>
    <definedName name="_xlnm.Print_Area" localSheetId="3">'ACWP by JOB'!$A$1:$U$77</definedName>
    <definedName name="_xlnm.Print_Area" localSheetId="14">'Baseline Reconciliation'!$A$1:$R$145</definedName>
    <definedName name="_xlnm.Print_Area" localSheetId="4">'BCWP by JOB'!$A$1:$CE$77</definedName>
    <definedName name="_xlnm.Print_Area" localSheetId="2">'BCWS by JOB'!$A$1:$J$78</definedName>
    <definedName name="_xlnm.Print_Area" localSheetId="0">'Charts'!$M$1:$W$34,'Charts'!$A$36:$K$69,'Charts'!$M$36:$W$69,'Charts'!$A$1:$K$34</definedName>
    <definedName name="_xlnm.Print_Area" localSheetId="5">'Contingency'!$B$5:$K$83</definedName>
    <definedName name="_xlnm.Print_Area" localSheetId="6">'COST PERFORMANCE BY RLM &amp; JOB'!$A$6:$X$37,'COST PERFORMANCE BY RLM &amp; JOB'!$A$39:$X$85</definedName>
    <definedName name="_xlnm.Print_Area" localSheetId="10">'Monthly Report- PHIL'!$A$2:$G$80</definedName>
    <definedName name="_xlnm.Print_Area" localSheetId="11">'Monthly Report-AL'!$A$2:$G$84</definedName>
    <definedName name="_xlnm.Print_Area" localSheetId="8">'Monthly Report-JIM'!$A$2:$G$79</definedName>
    <definedName name="_xlnm.Print_Area" localSheetId="9">'Monthly Report-LARRY'!$V$85:$AJ$104</definedName>
    <definedName name="_xlnm.Print_Area" localSheetId="1">'Summary'!$B$2:$K$128</definedName>
    <definedName name="_xlnm.Print_Area" localSheetId="13">'Summary analysis'!$AC$80:$AI$96</definedName>
    <definedName name="_xlnm.Print_Area" localSheetId="7">'TOTAL PROJECT REPORT'!$A$2:$G$83</definedName>
    <definedName name="_xlnm.Print_Titles" localSheetId="6">'COST PERFORMANCE BY RLM &amp; JOB'!$1:$5</definedName>
  </definedNames>
  <calcPr fullCalcOnLoad="1"/>
</workbook>
</file>

<file path=xl/sharedStrings.xml><?xml version="1.0" encoding="utf-8"?>
<sst xmlns="http://schemas.openxmlformats.org/spreadsheetml/2006/main" count="2559" uniqueCount="898">
  <si>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</si>
  <si>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</si>
  <si>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</si>
  <si>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</si>
  <si>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</si>
  <si>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</si>
  <si>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</si>
  <si>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</si>
  <si>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</si>
  <si>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</si>
  <si>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</si>
  <si>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</si>
  <si>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</si>
  <si>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</si>
  <si>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</si>
  <si>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</si>
  <si>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</si>
  <si>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</si>
  <si>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</si>
  <si>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</si>
  <si>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Milestones (6 month look ahead)</t>
  </si>
  <si>
    <t>Initials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</si>
  <si>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</si>
  <si>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</si>
  <si>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</si>
  <si>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</si>
  <si>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</si>
  <si>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</si>
  <si>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</si>
  <si>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</si>
  <si>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</si>
  <si>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</si>
  <si>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</si>
  <si>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</si>
  <si>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</si>
  <si>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</si>
  <si>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</si>
  <si>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</si>
  <si>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</si>
  <si>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</si>
  <si>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</si>
  <si>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</si>
  <si>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</si>
  <si>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</si>
  <si>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</si>
  <si>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</si>
  <si>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</si>
  <si>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</si>
  <si>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</si>
  <si>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</si>
  <si>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</si>
  <si>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Activity ID</t>
  </si>
  <si>
    <t>Activity description</t>
  </si>
  <si>
    <t xml:space="preserve">Milestones      </t>
  </si>
  <si>
    <t xml:space="preserve">Job Number      </t>
  </si>
  <si>
    <t xml:space="preserve">Job Manager     </t>
  </si>
  <si>
    <t>Early start</t>
  </si>
  <si>
    <t>Early finish</t>
  </si>
  <si>
    <t>Dimensional control plans for station 2</t>
  </si>
  <si>
    <t>BE</t>
  </si>
  <si>
    <t>Station 2 Assembly Drawings</t>
  </si>
  <si>
    <t>MC</t>
  </si>
  <si>
    <t>DW</t>
  </si>
  <si>
    <t>Station 2 Assembly Specification</t>
  </si>
  <si>
    <t>FD</t>
  </si>
  <si>
    <t>Check and promote top-level models/drawings</t>
  </si>
  <si>
    <t>Dimensional control plans for station 3</t>
  </si>
  <si>
    <t>** DELIVER TF COILS FOR FPA #1 ASSY **</t>
  </si>
  <si>
    <t>MK</t>
  </si>
  <si>
    <t>Prepare EM and structural analysis of leads</t>
  </si>
  <si>
    <t>Dimensional control plans for station 5</t>
  </si>
  <si>
    <t>Fab, Test &amp; Deliver Coil #6</t>
  </si>
  <si>
    <t>PF Coil PDR</t>
  </si>
  <si>
    <t>Prepare Type-ABC closeout FDR</t>
  </si>
  <si>
    <t>Stellarator CoreDesign and Procurement</t>
  </si>
  <si>
    <t>Phil Heitzenroeder</t>
  </si>
  <si>
    <t>Mike Kalish</t>
  </si>
  <si>
    <t>Paul Goranson</t>
  </si>
  <si>
    <t>Geoff Gettelfinger</t>
  </si>
  <si>
    <t>Tom Brown</t>
  </si>
  <si>
    <t>Bob Ellis</t>
  </si>
  <si>
    <t>Dave Williamson</t>
  </si>
  <si>
    <t>Fred Dahlgren</t>
  </si>
  <si>
    <t>Mike Cole</t>
  </si>
  <si>
    <t>Art Brooks</t>
  </si>
  <si>
    <t>Wayne Reiersen</t>
  </si>
  <si>
    <t>Conventional Coils WBS 13</t>
  </si>
  <si>
    <t>Coil Services WBS 16</t>
  </si>
  <si>
    <t>Cryostat Job 1701/1751</t>
  </si>
  <si>
    <t>Assy tooling &amp; constructability Job 1803</t>
  </si>
  <si>
    <t>Dimensional Control Job 8205</t>
  </si>
  <si>
    <t>Modular Coils Jobs 1416/1421/1429/1431</t>
  </si>
  <si>
    <t>Coil Structures &amp; Base Support Structure WBS 15</t>
  </si>
  <si>
    <t>Assembly Specs &amp; Dwgs Job 1806</t>
  </si>
  <si>
    <t>Systems Analysis Job 8204</t>
  </si>
  <si>
    <t>Systems Engineering &amp; Support Job 8202</t>
  </si>
  <si>
    <t>Job Mgr</t>
  </si>
  <si>
    <t>NCSX EAC - Reconciliation Detail</t>
  </si>
  <si>
    <t>COST TO DATE 4/1/03 - 4/30/07</t>
  </si>
  <si>
    <t>ETC 5/1/07 THROUGH COMPLETION</t>
  </si>
  <si>
    <t>ecp31</t>
  </si>
  <si>
    <t>deltas</t>
  </si>
  <si>
    <t>FY2007</t>
  </si>
  <si>
    <t>FY2008</t>
  </si>
  <si>
    <t>FY2009</t>
  </si>
  <si>
    <t>FY2010</t>
  </si>
  <si>
    <t>FY2011</t>
  </si>
  <si>
    <t>TOTAL EAC</t>
  </si>
  <si>
    <t>12 - Vacuum Vessel Systems</t>
  </si>
  <si>
    <t>Phil</t>
  </si>
  <si>
    <t>Larry</t>
  </si>
  <si>
    <t>13 - Conventional Coils</t>
  </si>
  <si>
    <t>14 - Modular Coils</t>
  </si>
  <si>
    <t>Mod Coil  Design  1416 Coil Design, Job 1421 Interface design</t>
  </si>
  <si>
    <t>15 - Coil Structures</t>
  </si>
  <si>
    <t>16 - Coil Services</t>
  </si>
  <si>
    <t>17 - Cryostat and Base Support Structure</t>
  </si>
  <si>
    <t>18 - Field Period Assembly</t>
  </si>
  <si>
    <t>19 - Stellarator Core Management and Integration</t>
  </si>
  <si>
    <t>25 Neutral Beam Refurbishment</t>
  </si>
  <si>
    <t>31 - Magnetic Diagnostics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</si>
  <si>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</si>
  <si>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</si>
  <si>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</si>
  <si>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</si>
  <si>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</si>
  <si>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FCPC Bldg Mods</t>
  </si>
  <si>
    <t>51 - Network and Fiber Infrastructure</t>
  </si>
  <si>
    <t>53 - Data Acquisition &amp; Facility Computing</t>
  </si>
  <si>
    <t>55 - Real Time Plasma &amp; Power Supply Control Sys</t>
  </si>
  <si>
    <t>56 - Central Safety and Interlock Systems</t>
  </si>
  <si>
    <t>58 - Central I&amp;C management and Integration</t>
  </si>
  <si>
    <t>64 - PFC/VV Heating &amp; Cooling (Bakeout)</t>
  </si>
  <si>
    <t>71 Shield Wall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</si>
  <si>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</si>
  <si>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</si>
  <si>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</si>
  <si>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</si>
  <si>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</si>
  <si>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</si>
  <si>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Project Physics</t>
  </si>
  <si>
    <t>CC - Contingency</t>
  </si>
  <si>
    <t>(1) ADJUSTED FOR PLANNED RETROACTIVE G&amp;A rate reduction in FY07 (estimated)</t>
  </si>
  <si>
    <t>Al</t>
  </si>
  <si>
    <t>Jim</t>
  </si>
  <si>
    <t>AL</t>
  </si>
  <si>
    <t>1803-3.4</t>
  </si>
  <si>
    <t>13JUL07*</t>
  </si>
  <si>
    <t>TB</t>
  </si>
  <si>
    <t>3101-326</t>
  </si>
  <si>
    <t>BS</t>
  </si>
  <si>
    <t>S21-5.04X</t>
  </si>
  <si>
    <t>LD</t>
  </si>
  <si>
    <t>1803-5.6</t>
  </si>
  <si>
    <t xml:space="preserve"> Station 5 FDR</t>
  </si>
  <si>
    <t>R1810-1329</t>
  </si>
  <si>
    <t>MV</t>
  </si>
  <si>
    <t>Mod Coil Fab Jobs 1408/1451/1459</t>
  </si>
  <si>
    <t>JC</t>
  </si>
  <si>
    <t>Cryo Systems WBS 62</t>
  </si>
  <si>
    <t>GG</t>
  </si>
  <si>
    <t>Assy Tooling design/fab Job 1803</t>
  </si>
  <si>
    <t>Field Period Assy Jobs 1802/1810/1815</t>
  </si>
  <si>
    <t>Final Machine Assy WBS 75</t>
  </si>
  <si>
    <t>EP</t>
  </si>
  <si>
    <t>Fueling &amp; Vacuum WBS 21 &amp; 22</t>
  </si>
  <si>
    <t>BB</t>
  </si>
  <si>
    <t>Diagnostics WBS 3</t>
  </si>
  <si>
    <t>Water/Utilities WBS 61/63</t>
  </si>
  <si>
    <t>Bakeout Systems WBS 64</t>
  </si>
  <si>
    <t xml:space="preserve">RLM: </t>
  </si>
  <si>
    <t xml:space="preserve"> NCSX Construction</t>
  </si>
  <si>
    <t>Project Management</t>
  </si>
  <si>
    <t>PPPL Project Management Job 8101</t>
  </si>
  <si>
    <t>ORNL Project Management Job 8102</t>
  </si>
  <si>
    <t>Allocations Job 8998</t>
  </si>
  <si>
    <t>RLS</t>
  </si>
  <si>
    <t>JA</t>
  </si>
  <si>
    <t>JL</t>
  </si>
  <si>
    <t>Electrical, I&amp;C and Startup</t>
  </si>
  <si>
    <t>Electrical Powers Systems WBS 4</t>
  </si>
  <si>
    <t>RR</t>
  </si>
  <si>
    <t>Instrumentation and Controls</t>
  </si>
  <si>
    <t>PS</t>
  </si>
  <si>
    <t xml:space="preserve">Startup </t>
  </si>
  <si>
    <t>CG</t>
  </si>
  <si>
    <t xml:space="preserve"> </t>
  </si>
  <si>
    <t>BCWS</t>
  </si>
  <si>
    <t>BCWP</t>
  </si>
  <si>
    <t>ACWP</t>
  </si>
  <si>
    <t>SPI</t>
  </si>
  <si>
    <t>CPI</t>
  </si>
  <si>
    <t>Job</t>
  </si>
  <si>
    <t>WBS II</t>
  </si>
  <si>
    <t>Job Manager</t>
  </si>
  <si>
    <t>TOTAL</t>
  </si>
  <si>
    <t>ETC</t>
  </si>
  <si>
    <t>21 - Fueling Systems</t>
  </si>
  <si>
    <t>22 - Torus Vacuum Pumping Systems</t>
  </si>
  <si>
    <t>36 - Edge and Divertor Diagnostics</t>
  </si>
  <si>
    <t>38 - Electron Beam (EB) Mapping</t>
  </si>
  <si>
    <t>52 - Central Instrumentation &amp; Control</t>
  </si>
  <si>
    <t>54 - Facility Timing &amp; Synchronization</t>
  </si>
  <si>
    <t>61 - Water Systems</t>
  </si>
  <si>
    <t>62 - Cryogenic Systems</t>
  </si>
  <si>
    <t>63 - Utility Systems</t>
  </si>
  <si>
    <t>85 - Integrated Systems Testing</t>
  </si>
  <si>
    <t>8998 - Allocations</t>
  </si>
  <si>
    <t>1202 - Vacuum Vessel R&amp;D</t>
  </si>
  <si>
    <t>1804-FP Assy Measurement</t>
  </si>
  <si>
    <t xml:space="preserve">3101 Magnetic Diagnostics                  </t>
  </si>
  <si>
    <t>5801 -Central I&amp;C Integr</t>
  </si>
  <si>
    <t xml:space="preserve">6163 - Facility Systems Support FY04       </t>
  </si>
  <si>
    <t>7101 - Shield Wall Modif</t>
  </si>
  <si>
    <t>7301 - Platform Design &amp;</t>
  </si>
  <si>
    <t>Subtotal</t>
  </si>
  <si>
    <t>7401 - TC Prep &amp; Mach Assy Planning</t>
  </si>
  <si>
    <t>2001-VPS Gas&amp; Cond Sys Oversight</t>
  </si>
  <si>
    <t>2501 - Neutral Beam Refurbishment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</si>
  <si>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</si>
  <si>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</si>
  <si>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</si>
  <si>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</si>
  <si>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</si>
  <si>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</si>
  <si>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1501 - Structures  Design</t>
  </si>
  <si>
    <t xml:space="preserve">1550 - Structures Procurement     </t>
  </si>
  <si>
    <t xml:space="preserve">1401 - Mod Coil  Prel.Dsn </t>
  </si>
  <si>
    <t xml:space="preserve">1402 - Mod.Coil Analyses     </t>
  </si>
  <si>
    <t>1404-MCWF R&amp;D &amp; 1st Prod Casting</t>
  </si>
  <si>
    <t>1410 MC Twisted Racetrack Fabr</t>
  </si>
  <si>
    <t>1407 -Mod Coil Winding Facility</t>
  </si>
  <si>
    <t>1412 - Complete Winding Facilities</t>
  </si>
  <si>
    <t xml:space="preserve">1408-Mod Coil Winding Supplies  </t>
  </si>
  <si>
    <t>1409 - Mod. Coil Test Stand</t>
  </si>
  <si>
    <t>1411-MCWF Fabrication S005242</t>
  </si>
  <si>
    <t>1201 - Vacuum Vessel  Prelim Dsn</t>
  </si>
  <si>
    <t xml:space="preserve">1203 - Vacuum Vessel Final Dsn </t>
  </si>
  <si>
    <t>1204-VV Sys Procurements (non VVSA)</t>
  </si>
  <si>
    <t>1206 - VV Field Weld Joint R&amp;D</t>
  </si>
  <si>
    <t xml:space="preserve">1250 - Vacuum Vessel Fabrication  </t>
  </si>
  <si>
    <t>1301 - TF Design</t>
  </si>
  <si>
    <t>8101 - Project Management &amp; Control</t>
  </si>
  <si>
    <t>8102 - NCSX MIE Management ORNL</t>
  </si>
  <si>
    <t>8202 - Engr Mgmt &amp; Sys Eng Support</t>
  </si>
  <si>
    <t>8203 - Design Integration</t>
  </si>
  <si>
    <t xml:space="preserve">8204 - Systems Analysis         </t>
  </si>
  <si>
    <t xml:space="preserve">8402 - Project Physics MIE ORNL     </t>
  </si>
  <si>
    <t>Schedule</t>
  </si>
  <si>
    <t>8205 - Dimensional Control Coord.</t>
  </si>
  <si>
    <t xml:space="preserve">1350 - TF Coil Fabr Prep </t>
  </si>
  <si>
    <t xml:space="preserve">1413 - Mod Coil Fracture Analysis             </t>
  </si>
  <si>
    <t>JOB</t>
  </si>
  <si>
    <t>1415 - Dimensional Control Testing</t>
  </si>
  <si>
    <t>1414 - Coil Testing</t>
  </si>
  <si>
    <t>1419 - Winding Facility Modification</t>
  </si>
  <si>
    <t>1406 - Mod. Coil Winding Facility</t>
  </si>
  <si>
    <t>DCMA</t>
  </si>
  <si>
    <t>1351 - TF Coil Fabr Supplies</t>
  </si>
  <si>
    <t>1405-Mod Coil Winding R&amp;D Prep</t>
  </si>
  <si>
    <t>1302 - PF  Design</t>
  </si>
  <si>
    <t>1303 - Central Solenoid Support Design</t>
  </si>
  <si>
    <t>1803- FP Assy Tooling/Constructability</t>
  </si>
  <si>
    <t xml:space="preserve">8401 - Project Physics       </t>
  </si>
  <si>
    <t xml:space="preserve"> MAY fy07</t>
  </si>
  <si>
    <t xml:space="preserve"> JUN fy07</t>
  </si>
  <si>
    <t xml:space="preserve"> JUL fy07</t>
  </si>
  <si>
    <t xml:space="preserve"> AUG fy07</t>
  </si>
  <si>
    <t xml:space="preserve"> SEP fy07</t>
  </si>
  <si>
    <t xml:space="preserve"> OCT fy08</t>
  </si>
  <si>
    <t xml:space="preserve"> NOV fy08</t>
  </si>
  <si>
    <t xml:space="preserve"> DEC fy08</t>
  </si>
  <si>
    <t xml:space="preserve"> JAN fy08</t>
  </si>
  <si>
    <t xml:space="preserve"> FEB fy08</t>
  </si>
  <si>
    <t xml:space="preserve"> MAR fy08</t>
  </si>
  <si>
    <t xml:space="preserve"> APR fy08</t>
  </si>
  <si>
    <t xml:space="preserve"> MAY fy08</t>
  </si>
  <si>
    <t xml:space="preserve"> JUN fy08</t>
  </si>
  <si>
    <t xml:space="preserve"> JUL fy08</t>
  </si>
  <si>
    <t xml:space="preserve"> AUG fy08</t>
  </si>
  <si>
    <t xml:space="preserve"> SEP fy08</t>
  </si>
  <si>
    <t xml:space="preserve"> OCT fy09</t>
  </si>
  <si>
    <t xml:space="preserve"> NOV fy09</t>
  </si>
  <si>
    <t xml:space="preserve"> DEC fy09</t>
  </si>
  <si>
    <t xml:space="preserve"> JAN fy09</t>
  </si>
  <si>
    <t xml:space="preserve"> FEB fy09</t>
  </si>
  <si>
    <t xml:space="preserve"> MAR fy09</t>
  </si>
  <si>
    <t xml:space="preserve"> APR fy09</t>
  </si>
  <si>
    <t xml:space="preserve"> MAY fy09</t>
  </si>
  <si>
    <t xml:space="preserve"> JUN fy09</t>
  </si>
  <si>
    <t xml:space="preserve"> JUL fy09</t>
  </si>
  <si>
    <t xml:space="preserve"> AUG fy09</t>
  </si>
  <si>
    <t xml:space="preserve"> SEP fy09</t>
  </si>
  <si>
    <t>Level</t>
  </si>
  <si>
    <t>1901 - Stellarator Core Mngt &amp; Integr</t>
  </si>
  <si>
    <t>1460 - 3rd Winding Fixture</t>
  </si>
  <si>
    <t>1601 - Coil Services</t>
  </si>
  <si>
    <t xml:space="preserve">1805 - FP Assy Hardware &amp; Fixt Procurement     </t>
  </si>
  <si>
    <t>1806 - FP Assy Specs and Drawings</t>
  </si>
  <si>
    <t>1451 - Mod Coil Winding  (incl 1459 punch list and unplanned work)</t>
  </si>
  <si>
    <t xml:space="preserve">1801-Field Period Assy </t>
  </si>
  <si>
    <t xml:space="preserve">1802 - FP Assy Oversight Support </t>
  </si>
  <si>
    <t xml:space="preserve">1810 - Field Period Assembly      plus 1859 unplanned work </t>
  </si>
  <si>
    <t>Job 1429 Interface R&amp;D/Test</t>
  </si>
  <si>
    <t>1701-Cryostat design</t>
  </si>
  <si>
    <t>8210 - Project Rebaseline Estimating</t>
  </si>
  <si>
    <t>(1)</t>
  </si>
  <si>
    <t xml:space="preserve"> AUG fy10</t>
  </si>
  <si>
    <t xml:space="preserve"> SEP fy10</t>
  </si>
  <si>
    <t xml:space="preserve"> AUG fy11</t>
  </si>
  <si>
    <t xml:space="preserve"> SEP fy11</t>
  </si>
  <si>
    <t xml:space="preserve"> AUG fy12</t>
  </si>
  <si>
    <t xml:space="preserve"> SEP fy12</t>
  </si>
  <si>
    <t xml:space="preserve"> OCT fy10</t>
  </si>
  <si>
    <t xml:space="preserve"> NOV fy10</t>
  </si>
  <si>
    <t xml:space="preserve"> DEC fy10</t>
  </si>
  <si>
    <t xml:space="preserve"> JAN fy10</t>
  </si>
  <si>
    <t xml:space="preserve"> FEB fy10</t>
  </si>
  <si>
    <t xml:space="preserve"> MAR fy10</t>
  </si>
  <si>
    <t xml:space="preserve"> APR fy10</t>
  </si>
  <si>
    <t xml:space="preserve"> MAY fy10</t>
  </si>
  <si>
    <t xml:space="preserve"> JUN fy10</t>
  </si>
  <si>
    <t xml:space="preserve"> JUL fy10</t>
  </si>
  <si>
    <t xml:space="preserve"> OCT fy11</t>
  </si>
  <si>
    <t xml:space="preserve"> NOV fy11</t>
  </si>
  <si>
    <t xml:space="preserve"> DEC fy11</t>
  </si>
  <si>
    <t xml:space="preserve"> JAN fy11</t>
  </si>
  <si>
    <t xml:space="preserve"> FEB fy11</t>
  </si>
  <si>
    <t xml:space="preserve"> MAR fy11</t>
  </si>
  <si>
    <t xml:space="preserve"> APR fy11</t>
  </si>
  <si>
    <t xml:space="preserve"> MAY fy11</t>
  </si>
  <si>
    <t xml:space="preserve"> JUN fy11</t>
  </si>
  <si>
    <t xml:space="preserve"> JUL fy11</t>
  </si>
  <si>
    <t xml:space="preserve"> OCT fy12</t>
  </si>
  <si>
    <t xml:space="preserve"> NOV fy12</t>
  </si>
  <si>
    <t xml:space="preserve"> DEC fy12</t>
  </si>
  <si>
    <t xml:space="preserve"> JAN fy12</t>
  </si>
  <si>
    <t xml:space="preserve"> FEB fy12</t>
  </si>
  <si>
    <t xml:space="preserve"> MAR fy12</t>
  </si>
  <si>
    <t xml:space="preserve"> APR fy12</t>
  </si>
  <si>
    <t xml:space="preserve"> MAY fy12</t>
  </si>
  <si>
    <t xml:space="preserve"> JUN fy12</t>
  </si>
  <si>
    <t xml:space="preserve"> JUL fy12</t>
  </si>
  <si>
    <t>A - Jim Anderson</t>
  </si>
  <si>
    <t>D - Larry Dudek</t>
  </si>
  <si>
    <t>H - Phil Heitzenroeder</t>
  </si>
  <si>
    <t>V - Al vonHalle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</si>
  <si>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</si>
  <si>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</si>
  <si>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</si>
  <si>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</si>
  <si>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</si>
  <si>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</si>
  <si>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</si>
  <si>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</si>
  <si>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1411 - MCWF Fabr. S005242-HEITZENROEDER    </t>
  </si>
  <si>
    <t>Job: 1421 - Mod Coil Interface Design-WILLIAMSON</t>
  </si>
  <si>
    <t xml:space="preserve">Job: 1429 - MC Interface R&amp;D-GETTELFINGER     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</si>
  <si>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</si>
  <si>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</si>
  <si>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</si>
  <si>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</si>
  <si>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>Job: 1806 - FP Assembly specs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</si>
  <si>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</si>
  <si>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</si>
  <si>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</si>
  <si>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 xml:space="preserve">Job: 1901 - Stellarator Core Mngtt&amp;Integr-COLE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</si>
  <si>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</si>
  <si>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</si>
  <si>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</si>
  <si>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</si>
  <si>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8210 - FY07 Rebaseling tasks               </t>
  </si>
  <si>
    <t>Job: 8215 Plant Design</t>
  </si>
  <si>
    <t xml:space="preserve">Job: 1204 - VV Sys Procurements (nonVVSA)-DUDEK </t>
  </si>
  <si>
    <t xml:space="preserve">Job: 1250 - Vacuum Vessel Fabrication**CLOSED** </t>
  </si>
  <si>
    <t xml:space="preserve">Job: 1408 - MC Winding Supplies-CHRZANOWSKI     </t>
  </si>
  <si>
    <t xml:space="preserve">Job: 1451 - Mod Coil Winding-CHRZANOWSKI        </t>
  </si>
  <si>
    <t>Job: 1459 - Mod Coil Fabr.Punch List-CHRZANOWSKI</t>
  </si>
  <si>
    <t xml:space="preserve">Job: 1431 - Mod. Coil Interface Hardware-DUDEK  </t>
  </si>
  <si>
    <t xml:space="preserve">Job: 1803/1805- FPA Tooling/Constr-BROWN/DUDEK  </t>
  </si>
  <si>
    <t xml:space="preserve">Job: 1802 - FP Assy Oversight&amp;Support-VIOLA     </t>
  </si>
  <si>
    <t>Job:1810-Field Period Assy -Station 1 2 3  VIOLA</t>
  </si>
  <si>
    <t>Job: 1815 - Field Period Assy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</si>
  <si>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</si>
  <si>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</si>
  <si>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</si>
  <si>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</si>
  <si>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</si>
  <si>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</si>
  <si>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</si>
  <si>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</si>
  <si>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</si>
  <si>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</si>
  <si>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</si>
  <si>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</si>
  <si>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</si>
  <si>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</si>
  <si>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</si>
  <si>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</si>
  <si>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</si>
  <si>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</si>
  <si>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</si>
  <si>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</si>
  <si>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</si>
  <si>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</si>
  <si>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</si>
  <si>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</si>
  <si>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</si>
  <si>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</si>
  <si>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8501 - Integrated Systems Testing-GENTILE  </t>
  </si>
  <si>
    <t>Job: 8101 - Project Management &amp;Control-ANDERSON</t>
  </si>
  <si>
    <t xml:space="preserve">Job: 8102 - NCSX MIE Management ORNL-LYON       </t>
  </si>
  <si>
    <t xml:space="preserve">Job: 8998 - Allocations-STRYKOWSKY              </t>
  </si>
  <si>
    <t>Contingency-Project</t>
  </si>
  <si>
    <t xml:space="preserve">1204 - VV Sys Procurements (nonVVSA)-DUDEK </t>
  </si>
  <si>
    <t xml:space="preserve">1302 - PF  Design -KALISH                  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</si>
  <si>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</si>
  <si>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</si>
  <si>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</si>
  <si>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</si>
  <si>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</si>
  <si>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1403 modular coil winding form design</t>
  </si>
  <si>
    <t xml:space="preserve">1408 - MC Winding Supplies-CHRZANOWSKI     </t>
  </si>
  <si>
    <t xml:space="preserve">1411 - MCWF Fabr. S005242-HEITZENROEDER    </t>
  </si>
  <si>
    <t>1416 &amp;1421 - Mod Coil Interface Design-WILLIAMSON</t>
  </si>
  <si>
    <t xml:space="preserve">1429 - MC Interface R&amp;D-GETTELFINGER       </t>
  </si>
  <si>
    <t xml:space="preserve">1431 - Mod. Coil Interface Hardware-DUDEK  </t>
  </si>
  <si>
    <t xml:space="preserve">1451 - Mod Coil Winding-CHRZANOWSKI        </t>
  </si>
  <si>
    <t>1459 - Mod Coil Fabr.Punch List-CHRZANOWSKI</t>
  </si>
  <si>
    <t xml:space="preserve">1501 - Coil Structures  Design-DAHLGREN    </t>
  </si>
  <si>
    <t xml:space="preserve">1550 - Coil Struct. Procurement -DAHLGREN  </t>
  </si>
  <si>
    <t xml:space="preserve">1601 - Coil Services  Design-GORANSON      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</si>
  <si>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</si>
  <si>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</si>
  <si>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</si>
  <si>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</si>
  <si>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 xml:space="preserve">1802 - FP Assy Oversight&amp;Support-VIOLA     </t>
  </si>
  <si>
    <t xml:space="preserve">1803 - FP Asy Tooling/Constrblty-BROWN     </t>
  </si>
  <si>
    <t>1806 - FP Assembly specs</t>
  </si>
  <si>
    <t>1810-Field Period Assy -Station 1 2 3  VIOLA</t>
  </si>
  <si>
    <t>1815 - Field Period Assy</t>
  </si>
  <si>
    <t xml:space="preserve">1901 - Stellarator Core Mngtt&amp;Integr-COLE  </t>
  </si>
  <si>
    <t>SUB TOTAL WBS 1</t>
  </si>
  <si>
    <t xml:space="preserve">2101 - Fueling Systems-BLAMCHARD           </t>
  </si>
  <si>
    <t xml:space="preserve">2201 - Vacuum Pumping Systems-BLANCHARD    </t>
  </si>
  <si>
    <t>SUB TOTAL WBS 2</t>
  </si>
  <si>
    <t xml:space="preserve">3101 - Magnetic Diagnostics-STRATTON       </t>
  </si>
  <si>
    <t xml:space="preserve">3601 - Edge Divertor Diagnostics-STRATTON  </t>
  </si>
  <si>
    <t xml:space="preserve">3801 - Electron Beam Mapping-STRATTON      </t>
  </si>
  <si>
    <t>3901 - Diagnostics sys Integration-STRATTON</t>
  </si>
  <si>
    <t>SUB TOTAL WBS 3</t>
  </si>
  <si>
    <t xml:space="preserve">4101 - AC Power-RAMAKRISHNAN               </t>
  </si>
  <si>
    <t xml:space="preserve">4301 - DC Systems-RAMAKRISHNAN             </t>
  </si>
  <si>
    <t xml:space="preserve">4401 - Control &amp; Protection-RAMAKRISHNAN   </t>
  </si>
  <si>
    <t xml:space="preserve">4501 - Power Sys Dsn &amp; Integr-RAMAKRISHNAN </t>
  </si>
  <si>
    <t>SUB TOTAL WBS 4</t>
  </si>
  <si>
    <t>5101 - Network and Fiber</t>
  </si>
  <si>
    <t xml:space="preserve">5201 - I&amp;C Systems-SICHTA                  </t>
  </si>
  <si>
    <t xml:space="preserve">5301 - Data Acquisition-SICHTA             </t>
  </si>
  <si>
    <t>5401 - Facility Timing &amp;</t>
  </si>
  <si>
    <t>5501 - Real Time Control</t>
  </si>
  <si>
    <t>5601 - Central Safety &amp;Interlock Sys-SICHTA</t>
  </si>
  <si>
    <t>5801 - Central I&amp;C Integr&amp; Oversight-SICHTA</t>
  </si>
  <si>
    <t>SUB TOTAL WBS 5</t>
  </si>
  <si>
    <t xml:space="preserve">6101 - Water Systems-DUDEK                 </t>
  </si>
  <si>
    <t xml:space="preserve">6201 - Cryogenic Systems-DUDEK             </t>
  </si>
  <si>
    <t xml:space="preserve">6301 - Utility Systems-DUDEK               </t>
  </si>
  <si>
    <t xml:space="preserve">6401 - PFC/VV Htng/Cooling(bakeout)- DUDEK </t>
  </si>
  <si>
    <t>SUB TOTAL WBS 6</t>
  </si>
  <si>
    <t xml:space="preserve">7401 - TC Prep &amp; Mach Assy Planning-PERRY  </t>
  </si>
  <si>
    <t xml:space="preserve">7501 - Construction Support Crew-PERRY     </t>
  </si>
  <si>
    <t xml:space="preserve">7503 - Machine Assembly (station 6)-PERRY  </t>
  </si>
  <si>
    <t xml:space="preserve">7601 - Tooling Design &amp; Fabrication-PERRY  </t>
  </si>
  <si>
    <t>SUB TOTAL WBS 7</t>
  </si>
  <si>
    <t>8101 - Project Management &amp; Control-NEILSON</t>
  </si>
  <si>
    <t xml:space="preserve">8102 - NCSX MIE Management ORNL-LYON       </t>
  </si>
  <si>
    <t>8202 - Engr Mgmt &amp; Sys Eng Support-REIERSEN</t>
  </si>
  <si>
    <t xml:space="preserve">8203 - Design Integration-BROWN            </t>
  </si>
  <si>
    <t xml:space="preserve">8204 - Systems Analysis-BROOKS             </t>
  </si>
  <si>
    <t>8205 - Dimensional Control Coordin-REIERSEN</t>
  </si>
  <si>
    <t xml:space="preserve">8210 - FY07 Rebaseling tasks               </t>
  </si>
  <si>
    <t>8215 Plant Design</t>
  </si>
  <si>
    <t xml:space="preserve">8998 - Allocations-STRYKOWSKY              </t>
  </si>
  <si>
    <t xml:space="preserve">8501 - Integrated Systems Testing-GENTILE  </t>
  </si>
  <si>
    <t>SUB TOTAL WBS 8</t>
  </si>
  <si>
    <t>BTC</t>
  </si>
  <si>
    <t>RLM</t>
  </si>
  <si>
    <t>Jim Anderson</t>
  </si>
  <si>
    <t>Larry Dudek</t>
  </si>
  <si>
    <t>Phil Heitzeroeder</t>
  </si>
  <si>
    <t>Al vonHalle</t>
  </si>
  <si>
    <t>NCSX Monthly Progress Assessment</t>
  </si>
  <si>
    <t>Baseline plan</t>
  </si>
  <si>
    <t>Current Forecast</t>
  </si>
  <si>
    <t>From May 1,2007</t>
  </si>
  <si>
    <t>Current Month</t>
  </si>
  <si>
    <t xml:space="preserve">Cost and schedule Performance </t>
  </si>
  <si>
    <t>Analysis</t>
  </si>
  <si>
    <t>Description</t>
  </si>
  <si>
    <t>DOE Commitment</t>
  </si>
  <si>
    <t>Cost and schedule impact</t>
  </si>
  <si>
    <t>cost variance</t>
  </si>
  <si>
    <t>Target 1 early start</t>
  </si>
  <si>
    <t>Target 1 early finish</t>
  </si>
  <si>
    <t>02JUL07A</t>
  </si>
  <si>
    <t>17JUL07A</t>
  </si>
  <si>
    <t>METFY07R1</t>
  </si>
  <si>
    <t>01JUN07*</t>
  </si>
  <si>
    <t>01JUN07A</t>
  </si>
  <si>
    <t>1803-205</t>
  </si>
  <si>
    <t>11JUN07*</t>
  </si>
  <si>
    <t>11JUN07A</t>
  </si>
  <si>
    <t>INTRF-045</t>
  </si>
  <si>
    <t>FDR prep outboard shims</t>
  </si>
  <si>
    <t>25JUN07A</t>
  </si>
  <si>
    <t>29JUN07A</t>
  </si>
  <si>
    <t>1803-201</t>
  </si>
  <si>
    <t>01JUL07A</t>
  </si>
  <si>
    <t>1416-506</t>
  </si>
  <si>
    <t>1501-525P</t>
  </si>
  <si>
    <t>20JUL07*</t>
  </si>
  <si>
    <t>20JUL07A</t>
  </si>
  <si>
    <t>INTRF-055</t>
  </si>
  <si>
    <t>METDCP-3</t>
  </si>
  <si>
    <t>1361C-104M</t>
  </si>
  <si>
    <t>1416-601</t>
  </si>
  <si>
    <t>01OCT07*</t>
  </si>
  <si>
    <t>1302-225M</t>
  </si>
  <si>
    <t>METDCP-5</t>
  </si>
  <si>
    <t>1361C-106</t>
  </si>
  <si>
    <t>23NOV07*</t>
  </si>
  <si>
    <t>1302-270</t>
  </si>
  <si>
    <t>1416-605</t>
  </si>
  <si>
    <t>1421-3144</t>
  </si>
  <si>
    <t>ornl jobs</t>
  </si>
  <si>
    <t>pppl jobs</t>
  </si>
  <si>
    <t>TOTAL PROJECT</t>
  </si>
  <si>
    <t>schedule variance</t>
  </si>
  <si>
    <t>highlighted schedule variances =</t>
  </si>
  <si>
    <t>highlighted cost variances =</t>
  </si>
  <si>
    <t>NCSX Cost Performance Report</t>
  </si>
  <si>
    <t>(Measured against unofficial proposed baseline)</t>
  </si>
  <si>
    <t>09AUG07A</t>
  </si>
  <si>
    <t>Variance target 1 early finish</t>
  </si>
  <si>
    <t>Coils Support Structure - PDR</t>
  </si>
  <si>
    <t>AB/BC/AA inboard interface - FDR</t>
  </si>
  <si>
    <t>05OCT07*</t>
  </si>
  <si>
    <t>PF Coils - FDR</t>
  </si>
  <si>
    <t>1702-515</t>
  </si>
  <si>
    <t>C-C Joint - FDR</t>
  </si>
  <si>
    <t xml:space="preserve"> - </t>
  </si>
  <si>
    <t>ROWGOSKI COIL - FDR</t>
  </si>
  <si>
    <t>Final Scan of VVSA #3 Station 1 complete</t>
  </si>
  <si>
    <t>Base support - PDR</t>
  </si>
  <si>
    <t>1501-541</t>
  </si>
  <si>
    <t>Coil Support Structures - FDR</t>
  </si>
  <si>
    <t>141-036</t>
  </si>
  <si>
    <t>PF Coils  Awarded</t>
  </si>
  <si>
    <t>METDCP-6</t>
  </si>
  <si>
    <t>Dimensional control plans for station 6</t>
  </si>
  <si>
    <t>1702-525M</t>
  </si>
  <si>
    <t>Base Support Structure FDR</t>
  </si>
  <si>
    <t>CUMULATIVE</t>
  </si>
  <si>
    <t>MONTHLY</t>
  </si>
  <si>
    <t>sched variance</t>
  </si>
  <si>
    <t>Cost</t>
  </si>
  <si>
    <t>Baseline</t>
  </si>
  <si>
    <t>ECP drawdown</t>
  </si>
  <si>
    <t>BCWR</t>
  </si>
  <si>
    <t>(ECP Number)</t>
  </si>
  <si>
    <t>none</t>
  </si>
  <si>
    <t>ECP Schedule Drawdown</t>
  </si>
  <si>
    <t>period ending</t>
  </si>
  <si>
    <t>Target Drawdown Rate (%)</t>
  </si>
  <si>
    <t>Target Contingency Freebalance ($K)</t>
  </si>
  <si>
    <t>FREE BALANCE ($K)</t>
  </si>
  <si>
    <t>FREE BALANCE (% of ETC)</t>
  </si>
  <si>
    <t>FREE BALANCE (months)</t>
  </si>
  <si>
    <t>Target (months)</t>
  </si>
  <si>
    <t>Mod Coil Design</t>
  </si>
  <si>
    <t>1416/1421/1429</t>
  </si>
  <si>
    <t>Field Period Assy</t>
  </si>
  <si>
    <t>1802/1810/1815</t>
  </si>
  <si>
    <t>Mod Coil Winding Ops</t>
  </si>
  <si>
    <t>Design Integration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</si>
  <si>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</si>
  <si>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</si>
  <si>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</si>
  <si>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</si>
  <si>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</si>
  <si>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</si>
  <si>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</si>
  <si>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</si>
  <si>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</si>
  <si>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</si>
  <si>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</si>
  <si>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</si>
  <si>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</si>
  <si>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</si>
  <si>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</si>
  <si>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</si>
  <si>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</si>
  <si>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</si>
  <si>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Systems Analysis</t>
  </si>
  <si>
    <t>Diagnostic</t>
  </si>
  <si>
    <t>1302;1352</t>
  </si>
  <si>
    <t>CS Structure Procurement</t>
  </si>
  <si>
    <t>Trim Coil Design/Procurement</t>
  </si>
  <si>
    <t>I&amp;C Proc &amp; Coil Assy</t>
  </si>
  <si>
    <t>TF Fabrication</t>
  </si>
  <si>
    <t>Mod Coil Type AB Fnl Dsn</t>
  </si>
  <si>
    <t>1416;1421;1429</t>
  </si>
  <si>
    <t>Coil Structure Dsn/Proc</t>
  </si>
  <si>
    <t>1501;1550</t>
  </si>
  <si>
    <t>Coil Service Design</t>
  </si>
  <si>
    <t>Cryostat Dsn/Proc</t>
  </si>
  <si>
    <t>1701;1751</t>
  </si>
  <si>
    <t>Base support Structure Dsn/Proc</t>
  </si>
  <si>
    <t>1702;1752</t>
  </si>
  <si>
    <t>FP Assembly</t>
  </si>
  <si>
    <t>Stellarator Core Mngtt&amp;Integr</t>
  </si>
  <si>
    <t>3101;3601;3801;3901</t>
  </si>
  <si>
    <t>May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</si>
  <si>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</si>
  <si>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</si>
  <si>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</si>
  <si>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</si>
  <si>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</si>
  <si>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</si>
  <si>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</si>
  <si>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</si>
  <si>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</si>
  <si>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</si>
  <si>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</si>
  <si>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FY 2009 BCWP Cum</t>
  </si>
  <si>
    <t>FY 2010 BCWP Cum</t>
  </si>
  <si>
    <t>BUDGET to COMPLETE (from May 1,2007)</t>
  </si>
  <si>
    <t>% plan</t>
  </si>
  <si>
    <t>% work completed</t>
  </si>
  <si>
    <t>% spent</t>
  </si>
  <si>
    <t>overrun/ (under)</t>
  </si>
  <si>
    <t>Job Manager assessment</t>
  </si>
  <si>
    <t>Project start</t>
  </si>
  <si>
    <t>current date</t>
  </si>
  <si>
    <t>Baseline Finish</t>
  </si>
  <si>
    <t>current total float (work days from primavera)</t>
  </si>
  <si>
    <t>available 2 shift operation remaining on CP (mo.)</t>
  </si>
  <si>
    <t>Projected Finish</t>
  </si>
  <si>
    <t>Projected slip (mo.)</t>
  </si>
  <si>
    <t>= Stretchout cost impact @( $202k/mo.)</t>
  </si>
  <si>
    <t>= second shift supervision cost @ $64k/mo.</t>
  </si>
  <si>
    <t>BAC</t>
  </si>
  <si>
    <t>EAC (from cpr)</t>
  </si>
  <si>
    <t>ETC increase =</t>
  </si>
  <si>
    <t>Total Increase =</t>
  </si>
  <si>
    <t>Projected EAC =</t>
  </si>
  <si>
    <t>TEC =</t>
  </si>
  <si>
    <t>(under)/over =</t>
  </si>
  <si>
    <t>Total project</t>
  </si>
  <si>
    <t>Total Jim Anderson</t>
  </si>
  <si>
    <t>Total larry Dudek</t>
  </si>
  <si>
    <t>Total Phil Heitzenroeder</t>
  </si>
  <si>
    <t>Total Al vonHalle</t>
  </si>
  <si>
    <t xml:space="preserve">Total Jim Anderson </t>
  </si>
  <si>
    <t>Total Larry Dudek</t>
  </si>
  <si>
    <t>BCWS May 1,2007 - Sep 30,2007</t>
  </si>
  <si>
    <t>FY 2011 BCWS Monthly</t>
  </si>
  <si>
    <t>FY 2010 BCWS Monthly</t>
  </si>
  <si>
    <t>Total BCWS</t>
  </si>
  <si>
    <t>May Fy07</t>
  </si>
  <si>
    <t>May Fy08</t>
  </si>
  <si>
    <t>May Fy09</t>
  </si>
  <si>
    <t>May Fy10</t>
  </si>
  <si>
    <t xml:space="preserve">June Fy07 </t>
  </si>
  <si>
    <t>July Fy07</t>
  </si>
  <si>
    <t>BCWS Monthly</t>
  </si>
  <si>
    <t xml:space="preserve">Aug Fy07 </t>
  </si>
  <si>
    <t>Sep Fy07</t>
  </si>
  <si>
    <t>Oct Fy08</t>
  </si>
  <si>
    <t>Nov Fy08</t>
  </si>
  <si>
    <t>Dec Fy08</t>
  </si>
  <si>
    <t>Jan Fy08</t>
  </si>
  <si>
    <t>Feb Fy08</t>
  </si>
  <si>
    <t>Mar Fy08</t>
  </si>
  <si>
    <t>Apr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</si>
  <si>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</si>
  <si>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</si>
  <si>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</si>
  <si>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</si>
  <si>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</si>
  <si>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</si>
  <si>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</si>
  <si>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</si>
  <si>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</si>
  <si>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</si>
  <si>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</si>
  <si>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</si>
  <si>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</si>
  <si>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</si>
  <si>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</si>
  <si>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</si>
  <si>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</si>
  <si>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</si>
  <si>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</si>
  <si>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</si>
  <si>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</si>
  <si>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</si>
  <si>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</si>
  <si>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</si>
  <si>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</si>
  <si>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</si>
  <si>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</si>
  <si>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</si>
  <si>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</si>
  <si>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</si>
  <si>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</si>
  <si>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</si>
  <si>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BCWP Monthly</t>
  </si>
  <si>
    <t>BCWP Cum</t>
  </si>
  <si>
    <t>Engr Mgmt &amp; Sys Eng Sup</t>
  </si>
  <si>
    <t>Dimensional Cont Coordin</t>
  </si>
  <si>
    <t>PF Coil Des/Procurement</t>
  </si>
  <si>
    <t>ACWP Monthly</t>
  </si>
  <si>
    <t>EAC</t>
  </si>
  <si>
    <t>C=calculated  JM=Job Mgr estimate</t>
  </si>
  <si>
    <t>C</t>
  </si>
  <si>
    <t>JM</t>
  </si>
  <si>
    <t>WBS</t>
  </si>
  <si>
    <t>Mod Coil C-C Joint - FDR</t>
  </si>
  <si>
    <t>Total float</t>
  </si>
  <si>
    <r>
      <t xml:space="preserve">Schedule </t>
    </r>
    <r>
      <rPr>
        <b/>
        <u val="single"/>
        <sz val="11"/>
        <color indexed="10"/>
        <rFont val="Times New Roman"/>
        <family val="1"/>
      </rPr>
      <t xml:space="preserve"> (Total Float &lt;1 in RED)</t>
    </r>
  </si>
  <si>
    <t>EAC (overrun)/underrun</t>
  </si>
  <si>
    <t>Cost Variance (overrun)/underrun</t>
  </si>
  <si>
    <t>Schedule Slip (@$202k/mo.)</t>
  </si>
  <si>
    <t>NCSX</t>
  </si>
  <si>
    <t xml:space="preserve">COST and SCHEDULE </t>
  </si>
  <si>
    <t>PERFORMANCE REPORTS</t>
  </si>
  <si>
    <t>ACWP May 1,2007 - Oct 31,2007</t>
  </si>
  <si>
    <t>BCWS May 1,2007 - Oct 31,2007</t>
  </si>
  <si>
    <t>BCWP May 1,2007 - Oct 31,2007</t>
  </si>
  <si>
    <t>Period May 1, 2007 through October 31, 2007</t>
  </si>
  <si>
    <t xml:space="preserve">Sum of      EVC      </t>
  </si>
  <si>
    <t xml:space="preserve">1421 </t>
  </si>
  <si>
    <t xml:space="preserve">1431 </t>
  </si>
  <si>
    <t xml:space="preserve">1501 </t>
  </si>
  <si>
    <t xml:space="preserve">A </t>
  </si>
  <si>
    <t xml:space="preserve">8101 </t>
  </si>
  <si>
    <t xml:space="preserve">8102 </t>
  </si>
  <si>
    <t xml:space="preserve">8998 </t>
  </si>
  <si>
    <t>A  Total</t>
  </si>
  <si>
    <t xml:space="preserve">D </t>
  </si>
  <si>
    <t xml:space="preserve">1204 </t>
  </si>
  <si>
    <t xml:space="preserve">1250 </t>
  </si>
  <si>
    <t xml:space="preserve">1408 </t>
  </si>
  <si>
    <t xml:space="preserve">1451 </t>
  </si>
  <si>
    <t xml:space="preserve">1459 </t>
  </si>
  <si>
    <t xml:space="preserve">1802 </t>
  </si>
  <si>
    <t xml:space="preserve">1803 </t>
  </si>
  <si>
    <t xml:space="preserve">1810 </t>
  </si>
  <si>
    <t xml:space="preserve">1815 </t>
  </si>
  <si>
    <t xml:space="preserve">2101 </t>
  </si>
  <si>
    <t xml:space="preserve">2201 </t>
  </si>
  <si>
    <t xml:space="preserve">3101 </t>
  </si>
  <si>
    <t xml:space="preserve">3601 </t>
  </si>
  <si>
    <t xml:space="preserve">3801 </t>
  </si>
  <si>
    <t xml:space="preserve">3901 </t>
  </si>
  <si>
    <t xml:space="preserve">6101 </t>
  </si>
  <si>
    <t xml:space="preserve">6201 </t>
  </si>
  <si>
    <t xml:space="preserve">6301 </t>
  </si>
  <si>
    <t xml:space="preserve">6401 </t>
  </si>
  <si>
    <t xml:space="preserve">7301 </t>
  </si>
  <si>
    <t xml:space="preserve">7401 </t>
  </si>
  <si>
    <t xml:space="preserve">7501 </t>
  </si>
  <si>
    <t xml:space="preserve">7503 </t>
  </si>
  <si>
    <t xml:space="preserve">7601 </t>
  </si>
  <si>
    <t>D  Total</t>
  </si>
  <si>
    <t xml:space="preserve">H </t>
  </si>
  <si>
    <t xml:space="preserve">1302 </t>
  </si>
  <si>
    <t xml:space="preserve">1352 </t>
  </si>
  <si>
    <t xml:space="preserve">1353 </t>
  </si>
  <si>
    <t xml:space="preserve">1354 </t>
  </si>
  <si>
    <t xml:space="preserve">1355 </t>
  </si>
  <si>
    <t xml:space="preserve">1361 </t>
  </si>
  <si>
    <t xml:space="preserve">1404 </t>
  </si>
  <si>
    <t xml:space="preserve">1411 </t>
  </si>
  <si>
    <t xml:space="preserve">1416 </t>
  </si>
  <si>
    <t xml:space="preserve">1429 </t>
  </si>
  <si>
    <t xml:space="preserve">1550 </t>
  </si>
  <si>
    <t xml:space="preserve">1601 </t>
  </si>
  <si>
    <t xml:space="preserve">1701 </t>
  </si>
  <si>
    <t xml:space="preserve">1702 </t>
  </si>
  <si>
    <t xml:space="preserve">1751 </t>
  </si>
  <si>
    <t xml:space="preserve">1752 </t>
  </si>
  <si>
    <t xml:space="preserve">1806 </t>
  </si>
  <si>
    <t xml:space="preserve">1901 </t>
  </si>
  <si>
    <t xml:space="preserve">8202 </t>
  </si>
  <si>
    <t xml:space="preserve">8203 </t>
  </si>
  <si>
    <t xml:space="preserve">8204 </t>
  </si>
  <si>
    <t xml:space="preserve">8205 </t>
  </si>
  <si>
    <t xml:space="preserve">8210 </t>
  </si>
  <si>
    <t xml:space="preserve">8215 </t>
  </si>
  <si>
    <t>H  Total</t>
  </si>
  <si>
    <t xml:space="preserve">V </t>
  </si>
  <si>
    <t xml:space="preserve">4101 </t>
  </si>
  <si>
    <t xml:space="preserve">4301 </t>
  </si>
  <si>
    <t xml:space="preserve">4401 </t>
  </si>
  <si>
    <t xml:space="preserve">4501 </t>
  </si>
  <si>
    <t xml:space="preserve">5101 </t>
  </si>
  <si>
    <t xml:space="preserve">5201 </t>
  </si>
  <si>
    <t xml:space="preserve">5301 </t>
  </si>
  <si>
    <t xml:space="preserve">5401 </t>
  </si>
  <si>
    <t xml:space="preserve">5501 </t>
  </si>
  <si>
    <t xml:space="preserve">5601 </t>
  </si>
  <si>
    <t xml:space="preserve">5801 </t>
  </si>
  <si>
    <t xml:space="preserve">8501 </t>
  </si>
  <si>
    <t>V  Total</t>
  </si>
  <si>
    <t>Grand Total</t>
  </si>
  <si>
    <t>notes</t>
  </si>
  <si>
    <t>updated baseline to include trim coil 36 coil set</t>
  </si>
  <si>
    <t>Mod Coil Winding Ops Punch list</t>
  </si>
  <si>
    <t>27NOV07*</t>
  </si>
  <si>
    <t>P3-171VM</t>
  </si>
  <si>
    <t>COMPLETE VPI OF 18th MOD COIL</t>
  </si>
  <si>
    <t>1803-6.6</t>
  </si>
  <si>
    <t xml:space="preserve"> Station 6 FDR</t>
  </si>
  <si>
    <t>OCTOBER 2007</t>
  </si>
  <si>
    <t>18Oct 07 A</t>
  </si>
  <si>
    <t>Critical path Schedule Slip (months)</t>
  </si>
  <si>
    <t>19OCT07A</t>
  </si>
  <si>
    <t>Contigency =</t>
  </si>
  <si>
    <t>Cost through April 30,2007</t>
  </si>
  <si>
    <t>TOTAL TEC =</t>
  </si>
  <si>
    <t>* Note; Revised estimates being processed to reflect scope "add-backs" per the August Legman review recommendation.</t>
  </si>
  <si>
    <t>Total project (May 1 through completion)</t>
  </si>
  <si>
    <t>NCSX Summary Performance</t>
  </si>
  <si>
    <t>Cost Through April 2007 =</t>
  </si>
  <si>
    <t>Contingency =</t>
  </si>
  <si>
    <t>Total TEC =</t>
  </si>
  <si>
    <t>Cost to date =</t>
  </si>
  <si>
    <t>Cumulative from May 1st, 2007 =</t>
  </si>
  <si>
    <t>BCWR (work to go) =</t>
  </si>
  <si>
    <t>Cost Variance =</t>
  </si>
  <si>
    <t>Schedule Variance =</t>
  </si>
  <si>
    <t>Major Cost Variances</t>
  </si>
  <si>
    <t>Mod Coil Punch List</t>
  </si>
  <si>
    <t>CPI = .5</t>
  </si>
  <si>
    <t>CV = -171</t>
  </si>
  <si>
    <t>FP Assy tooling (job 1803)</t>
  </si>
  <si>
    <t>CPI = .44</t>
  </si>
  <si>
    <t>CV = -88</t>
  </si>
  <si>
    <t>Systems Analysis (job 8204)</t>
  </si>
  <si>
    <t>CPI = .76</t>
  </si>
  <si>
    <t>CV = -65</t>
  </si>
  <si>
    <t>Modular coil interface design (job 1421)</t>
  </si>
  <si>
    <t>SPI =.84</t>
  </si>
  <si>
    <t>SV = -174</t>
  </si>
  <si>
    <t>Constrains shim and puck procurement and susequent station 2 field period assy.</t>
  </si>
  <si>
    <t>Current critical path = -39 days (-1.9 months) as measured against revised assembly sequence plan rev 9.</t>
  </si>
  <si>
    <t>Award Coil Support Structure</t>
  </si>
  <si>
    <t>16JUN08*</t>
  </si>
  <si>
    <t>28APR08*</t>
  </si>
  <si>
    <t>DOE Committment</t>
  </si>
  <si>
    <t>Forecast</t>
  </si>
  <si>
    <t>Level II milestone status (near term)</t>
  </si>
  <si>
    <t>This translates into a 1.9 month slip in the project schedule.</t>
  </si>
  <si>
    <t>Contingency</t>
  </si>
  <si>
    <t>Planned =</t>
  </si>
  <si>
    <t>Drawdown to date =</t>
  </si>
  <si>
    <t>Current free balance contingency on remaining scope =</t>
  </si>
  <si>
    <t>Although  not officially baselined, due to its criticality this preliminary plan has been included in the current schedule and will be reported against.</t>
  </si>
  <si>
    <t>The formal cost and schedule documentation is currently being prepared.</t>
  </si>
  <si>
    <t>1) A revised trim coil estimate reflecting a 36 coil design has been estimated for inclusion into the project baseline.</t>
  </si>
  <si>
    <t>2) An updated assembly sequence plan was developed and subsequently re-estimated. While this plan is currently un undergoing</t>
  </si>
  <si>
    <t>review and optimization, I have based the critical path analysis on this new plan since it reflects the projects'</t>
  </si>
  <si>
    <t>October 2007</t>
  </si>
  <si>
    <t>Cost Performance</t>
  </si>
  <si>
    <t>Critical path assessment</t>
  </si>
  <si>
    <t>On Critical path. Current FDR date forecast for 11/27/07 slipped from September 4th.</t>
  </si>
  <si>
    <t>Risks (from updated risk registry)</t>
  </si>
  <si>
    <t>Added</t>
  </si>
  <si>
    <t>Retired</t>
  </si>
  <si>
    <t>$14,380 K</t>
  </si>
  <si>
    <t>COMMENTS</t>
  </si>
  <si>
    <t>best and current thinking on field period assembly. The formal cost and schedule documentation is currently being prepared.</t>
  </si>
  <si>
    <t>Contents</t>
  </si>
  <si>
    <t>Page</t>
  </si>
  <si>
    <t>Cost Performance Report (CPR)</t>
  </si>
  <si>
    <t>Summary</t>
  </si>
  <si>
    <t>4-5</t>
  </si>
  <si>
    <t>6-9</t>
  </si>
  <si>
    <t>Performance Curves</t>
  </si>
  <si>
    <t>Milestones</t>
  </si>
  <si>
    <t>Contingency Analysis</t>
  </si>
  <si>
    <t>Critical Path</t>
  </si>
  <si>
    <t>10-11</t>
  </si>
  <si>
    <t>12</t>
  </si>
  <si>
    <t>13</t>
  </si>
  <si>
    <t>WBS 1803:  Worked to completed the Station 3 SISSCO rigging interface structure and the laser screen drawings.   Station 5 support stand models were near completion, but  need to be reworked to accommodate the lower trim coil.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</si>
</sst>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"/>
    <numFmt numFmtId="168" formatCode="0.0%"/>
    <numFmt numFmtId="169" formatCode="0.0000"/>
    <numFmt numFmtId="170" formatCode="[$-409]mmm\-yy;@"/>
    <numFmt numFmtId="171" formatCode="mmmm\-yyyy"/>
    <numFmt numFmtId="172" formatCode="m/d/yy;@"/>
    <numFmt numFmtId="173" formatCode="0.000"/>
    <numFmt numFmtId="174" formatCode="[$-409]dddd\,\ mmmm\ dd\,\ yyyy"/>
    <numFmt numFmtId="175" formatCode="[$-409]mmmmm;@"/>
    <numFmt numFmtId="176" formatCode="mmm\-yyyy"/>
    <numFmt numFmtId="177" formatCode="0.000000"/>
    <numFmt numFmtId="178" formatCode="0.00000"/>
    <numFmt numFmtId="179" formatCode="#,##0\ \s"/>
    <numFmt numFmtId="180" formatCode="#,##0\ \(\1\)"/>
    <numFmt numFmtId="181" formatCode="#,##0\ \(*)"/>
    <numFmt numFmtId="182" formatCode="#,##0\ \*"/>
    <numFmt numFmtId="183" formatCode="&quot;$&quot;#,##0.00"/>
    <numFmt numFmtId="184" formatCode="&quot;$&quot;#,##0.0"/>
    <numFmt numFmtId="185" formatCode="&quot;$&quot;#,##0.0_);[Red]\(&quot;$&quot;#,##0.0\)"/>
  </numFmts>
  <fonts count="8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8"/>
      <name val="Arial"/>
      <family val="0"/>
    </font>
    <font>
      <sz val="14"/>
      <name val="Arial"/>
      <family val="0"/>
    </font>
    <font>
      <u val="single"/>
      <sz val="8"/>
      <name val="Arial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Arial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b/>
      <sz val="20"/>
      <name val="Arial"/>
      <family val="2"/>
    </font>
    <font>
      <b/>
      <sz val="8"/>
      <name val="Times New Roman"/>
      <family val="1"/>
    </font>
    <font>
      <i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0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.75"/>
      <color indexed="8"/>
      <name val="Arial"/>
      <family val="2"/>
    </font>
    <font>
      <sz val="10.25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0"/>
    </font>
    <font>
      <b/>
      <u val="single"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2"/>
      <name val="Arial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7"/>
      <name val="Small Fonts"/>
      <family val="2"/>
    </font>
    <font>
      <sz val="7"/>
      <name val="Small Fonts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0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22"/>
      <name val="Small Fonts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2" borderId="0" xfId="0" applyNumberFormat="1" applyFill="1" applyAlignment="1">
      <alignment/>
    </xf>
    <xf numFmtId="0" fontId="14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5" fontId="3" fillId="0" borderId="0" xfId="15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7" fillId="0" borderId="7" xfId="0" applyFont="1" applyFill="1" applyBorder="1" applyAlignment="1">
      <alignment vertical="top"/>
    </xf>
    <xf numFmtId="0" fontId="27" fillId="0" borderId="8" xfId="0" applyFont="1" applyFill="1" applyBorder="1" applyAlignment="1">
      <alignment vertical="top"/>
    </xf>
    <xf numFmtId="0" fontId="16" fillId="2" borderId="0" xfId="0" applyFont="1" applyFill="1" applyAlignment="1">
      <alignment/>
    </xf>
    <xf numFmtId="0" fontId="27" fillId="0" borderId="0" xfId="0" applyFont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15" fontId="16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0" fontId="30" fillId="0" borderId="1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5" fontId="16" fillId="0" borderId="0" xfId="0" applyNumberFormat="1" applyFont="1" applyAlignment="1">
      <alignment/>
    </xf>
    <xf numFmtId="0" fontId="31" fillId="0" borderId="13" xfId="0" applyFont="1" applyFill="1" applyBorder="1" applyAlignment="1">
      <alignment/>
    </xf>
    <xf numFmtId="15" fontId="31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70" fontId="31" fillId="0" borderId="10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70" fontId="30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8" xfId="0" applyFont="1" applyBorder="1" applyAlignment="1">
      <alignment horizontal="right"/>
    </xf>
    <xf numFmtId="0" fontId="16" fillId="2" borderId="0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27" fillId="0" borderId="21" xfId="0" applyFont="1" applyBorder="1" applyAlignment="1">
      <alignment vertical="top"/>
    </xf>
    <xf numFmtId="0" fontId="27" fillId="0" borderId="22" xfId="0" applyFont="1" applyBorder="1" applyAlignment="1">
      <alignment vertical="top"/>
    </xf>
    <xf numFmtId="0" fontId="25" fillId="0" borderId="23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Continuous"/>
    </xf>
    <xf numFmtId="0" fontId="16" fillId="0" borderId="25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5" fillId="0" borderId="2" xfId="0" applyFont="1" applyFill="1" applyBorder="1" applyAlignment="1">
      <alignment horizontal="centerContinuous"/>
    </xf>
    <xf numFmtId="0" fontId="0" fillId="4" borderId="0" xfId="0" applyFont="1" applyFill="1" applyAlignment="1">
      <alignment/>
    </xf>
    <xf numFmtId="0" fontId="0" fillId="0" borderId="28" xfId="0" applyFont="1" applyBorder="1" applyAlignment="1">
      <alignment/>
    </xf>
    <xf numFmtId="0" fontId="5" fillId="5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36" fillId="4" borderId="0" xfId="0" applyFont="1" applyFill="1" applyAlignment="1">
      <alignment/>
    </xf>
    <xf numFmtId="0" fontId="0" fillId="0" borderId="32" xfId="0" applyFont="1" applyBorder="1" applyAlignment="1">
      <alignment/>
    </xf>
    <xf numFmtId="0" fontId="5" fillId="5" borderId="33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67" fontId="0" fillId="5" borderId="0" xfId="0" applyNumberFormat="1" applyFont="1" applyFill="1" applyBorder="1" applyAlignment="1">
      <alignment horizontal="center" vertical="top"/>
    </xf>
    <xf numFmtId="167" fontId="0" fillId="6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9" fontId="0" fillId="0" borderId="0" xfId="21" applyAlignment="1">
      <alignment/>
    </xf>
    <xf numFmtId="167" fontId="0" fillId="5" borderId="9" xfId="0" applyNumberFormat="1" applyFont="1" applyFill="1" applyBorder="1" applyAlignment="1">
      <alignment horizontal="center" vertical="top"/>
    </xf>
    <xf numFmtId="167" fontId="0" fillId="6" borderId="9" xfId="0" applyNumberFormat="1" applyFont="1" applyFill="1" applyBorder="1" applyAlignment="1">
      <alignment horizontal="center" vertical="top"/>
    </xf>
    <xf numFmtId="167" fontId="0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67" fontId="5" fillId="3" borderId="0" xfId="0" applyNumberFormat="1" applyFont="1" applyFill="1" applyBorder="1" applyAlignment="1">
      <alignment horizontal="center" vertical="top"/>
    </xf>
    <xf numFmtId="167" fontId="5" fillId="6" borderId="0" xfId="0" applyNumberFormat="1" applyFont="1" applyFill="1" applyBorder="1" applyAlignment="1">
      <alignment horizontal="center" vertical="top"/>
    </xf>
    <xf numFmtId="167" fontId="5" fillId="7" borderId="0" xfId="0" applyNumberFormat="1" applyFont="1" applyFill="1" applyBorder="1" applyAlignment="1">
      <alignment horizontal="center" vertical="top"/>
    </xf>
    <xf numFmtId="167" fontId="5" fillId="5" borderId="0" xfId="0" applyNumberFormat="1" applyFont="1" applyFill="1" applyBorder="1" applyAlignment="1">
      <alignment horizontal="center" vertical="top"/>
    </xf>
    <xf numFmtId="167" fontId="5" fillId="4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Border="1" applyAlignment="1">
      <alignment horizontal="center"/>
    </xf>
    <xf numFmtId="0" fontId="0" fillId="8" borderId="0" xfId="0" applyFont="1" applyFill="1" applyAlignment="1">
      <alignment/>
    </xf>
    <xf numFmtId="167" fontId="0" fillId="9" borderId="9" xfId="0" applyNumberFormat="1" applyFont="1" applyFill="1" applyBorder="1" applyAlignment="1">
      <alignment horizontal="center" vertical="top"/>
    </xf>
    <xf numFmtId="167" fontId="0" fillId="9" borderId="0" xfId="0" applyNumberFormat="1" applyFont="1" applyFill="1" applyBorder="1" applyAlignment="1" quotePrefix="1">
      <alignment horizontal="center" vertical="top"/>
    </xf>
    <xf numFmtId="167" fontId="0" fillId="8" borderId="0" xfId="0" applyNumberFormat="1" applyFill="1" applyAlignment="1">
      <alignment/>
    </xf>
    <xf numFmtId="167" fontId="0" fillId="5" borderId="0" xfId="15" applyNumberFormat="1" applyFont="1" applyFill="1" applyBorder="1" applyAlignment="1">
      <alignment horizontal="center" vertical="top"/>
    </xf>
    <xf numFmtId="167" fontId="0" fillId="6" borderId="0" xfId="15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7" fontId="7" fillId="5" borderId="0" xfId="0" applyNumberFormat="1" applyFont="1" applyFill="1" applyBorder="1" applyAlignment="1">
      <alignment horizontal="center" vertical="top"/>
    </xf>
    <xf numFmtId="167" fontId="7" fillId="6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7" fontId="0" fillId="9" borderId="0" xfId="0" applyNumberFormat="1" applyFont="1" applyFill="1" applyBorder="1" applyAlignment="1">
      <alignment horizontal="center" vertical="top"/>
    </xf>
    <xf numFmtId="167" fontId="0" fillId="4" borderId="0" xfId="0" applyNumberForma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 horizontal="center"/>
    </xf>
    <xf numFmtId="167" fontId="5" fillId="3" borderId="35" xfId="0" applyNumberFormat="1" applyFont="1" applyFill="1" applyBorder="1" applyAlignment="1">
      <alignment horizontal="center" vertical="top"/>
    </xf>
    <xf numFmtId="167" fontId="5" fillId="6" borderId="35" xfId="0" applyNumberFormat="1" applyFont="1" applyFill="1" applyBorder="1" applyAlignment="1">
      <alignment horizontal="center" vertical="top"/>
    </xf>
    <xf numFmtId="167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7" fontId="6" fillId="3" borderId="0" xfId="0" applyNumberFormat="1" applyFont="1" applyFill="1" applyBorder="1" applyAlignment="1">
      <alignment horizontal="center" vertical="top"/>
    </xf>
    <xf numFmtId="167" fontId="6" fillId="6" borderId="0" xfId="0" applyNumberFormat="1" applyFont="1" applyFill="1" applyBorder="1" applyAlignment="1">
      <alignment horizontal="center" vertical="top"/>
    </xf>
    <xf numFmtId="167" fontId="6" fillId="7" borderId="0" xfId="0" applyNumberFormat="1" applyFont="1" applyFill="1" applyBorder="1" applyAlignment="1">
      <alignment horizontal="center" vertical="top"/>
    </xf>
    <xf numFmtId="167" fontId="6" fillId="5" borderId="0" xfId="0" applyNumberFormat="1" applyFont="1" applyFill="1" applyBorder="1" applyAlignment="1">
      <alignment horizontal="center" vertical="top"/>
    </xf>
    <xf numFmtId="167" fontId="6" fillId="4" borderId="0" xfId="0" applyNumberFormat="1" applyFont="1" applyFill="1" applyBorder="1" applyAlignment="1">
      <alignment horizontal="center" vertical="top"/>
    </xf>
    <xf numFmtId="167" fontId="0" fillId="5" borderId="35" xfId="0" applyNumberFormat="1" applyFont="1" applyFill="1" applyBorder="1" applyAlignment="1">
      <alignment horizontal="center" vertical="top"/>
    </xf>
    <xf numFmtId="167" fontId="0" fillId="6" borderId="35" xfId="0" applyNumberFormat="1" applyFont="1" applyFill="1" applyBorder="1" applyAlignment="1">
      <alignment horizontal="center" vertical="top"/>
    </xf>
    <xf numFmtId="167" fontId="0" fillId="0" borderId="35" xfId="0" applyNumberFormat="1" applyFont="1" applyBorder="1" applyAlignment="1">
      <alignment horizontal="center"/>
    </xf>
    <xf numFmtId="167" fontId="6" fillId="3" borderId="36" xfId="0" applyNumberFormat="1" applyFont="1" applyFill="1" applyBorder="1" applyAlignment="1">
      <alignment horizontal="center"/>
    </xf>
    <xf numFmtId="167" fontId="6" fillId="6" borderId="36" xfId="0" applyNumberFormat="1" applyFont="1" applyFill="1" applyBorder="1" applyAlignment="1">
      <alignment horizontal="center"/>
    </xf>
    <xf numFmtId="167" fontId="6" fillId="7" borderId="36" xfId="0" applyNumberFormat="1" applyFont="1" applyFill="1" applyBorder="1" applyAlignment="1">
      <alignment horizontal="center"/>
    </xf>
    <xf numFmtId="167" fontId="6" fillId="5" borderId="36" xfId="0" applyNumberFormat="1" applyFont="1" applyFill="1" applyBorder="1" applyAlignment="1">
      <alignment horizontal="center"/>
    </xf>
    <xf numFmtId="167" fontId="6" fillId="4" borderId="3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7" fontId="8" fillId="5" borderId="0" xfId="0" applyNumberFormat="1" applyFont="1" applyFill="1" applyAlignment="1">
      <alignment horizontal="center"/>
    </xf>
    <xf numFmtId="167" fontId="8" fillId="6" borderId="0" xfId="0" applyNumberFormat="1" applyFont="1" applyFill="1" applyAlignment="1">
      <alignment horizontal="center"/>
    </xf>
    <xf numFmtId="167" fontId="8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67" fontId="6" fillId="3" borderId="0" xfId="0" applyNumberFormat="1" applyFont="1" applyFill="1" applyAlignment="1">
      <alignment horizontal="center"/>
    </xf>
    <xf numFmtId="167" fontId="0" fillId="6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/>
    </xf>
    <xf numFmtId="167" fontId="8" fillId="7" borderId="0" xfId="0" applyNumberFormat="1" applyFont="1" applyFill="1" applyAlignment="1">
      <alignment horizontal="center"/>
    </xf>
    <xf numFmtId="167" fontId="0" fillId="5" borderId="0" xfId="0" applyNumberFormat="1" applyFont="1" applyFill="1" applyAlignment="1">
      <alignment horizontal="center"/>
    </xf>
    <xf numFmtId="167" fontId="8" fillId="0" borderId="0" xfId="0" applyNumberFormat="1" applyFont="1" applyAlignment="1">
      <alignment horizontal="center"/>
    </xf>
    <xf numFmtId="0" fontId="5" fillId="9" borderId="0" xfId="0" applyFont="1" applyFill="1" applyAlignment="1" quotePrefix="1">
      <alignment/>
    </xf>
    <xf numFmtId="167" fontId="0" fillId="9" borderId="0" xfId="0" applyNumberFormat="1" applyFont="1" applyFill="1" applyAlignment="1">
      <alignment horizontal="center"/>
    </xf>
    <xf numFmtId="9" fontId="0" fillId="0" borderId="0" xfId="21" applyFont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4" fillId="10" borderId="3" xfId="0" applyFont="1" applyFill="1" applyBorder="1" applyAlignment="1">
      <alignment horizontal="centerContinuous"/>
    </xf>
    <xf numFmtId="0" fontId="14" fillId="10" borderId="28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167" fontId="14" fillId="10" borderId="0" xfId="0" applyNumberFormat="1" applyFont="1" applyFill="1" applyAlignment="1">
      <alignment horizontal="center"/>
    </xf>
    <xf numFmtId="167" fontId="14" fillId="10" borderId="9" xfId="0" applyNumberFormat="1" applyFont="1" applyFill="1" applyBorder="1" applyAlignment="1">
      <alignment horizontal="center"/>
    </xf>
    <xf numFmtId="167" fontId="8" fillId="10" borderId="0" xfId="0" applyNumberFormat="1" applyFont="1" applyFill="1" applyBorder="1" applyAlignment="1">
      <alignment horizontal="center" vertical="top"/>
    </xf>
    <xf numFmtId="167" fontId="8" fillId="10" borderId="0" xfId="0" applyNumberFormat="1" applyFont="1" applyFill="1" applyAlignment="1">
      <alignment horizontal="center"/>
    </xf>
    <xf numFmtId="167" fontId="8" fillId="10" borderId="35" xfId="0" applyNumberFormat="1" applyFont="1" applyFill="1" applyBorder="1" applyAlignment="1">
      <alignment horizontal="center"/>
    </xf>
    <xf numFmtId="167" fontId="14" fillId="10" borderId="35" xfId="0" applyNumberFormat="1" applyFont="1" applyFill="1" applyBorder="1" applyAlignment="1">
      <alignment horizontal="center"/>
    </xf>
    <xf numFmtId="167" fontId="8" fillId="10" borderId="36" xfId="0" applyNumberFormat="1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167" fontId="32" fillId="2" borderId="0" xfId="0" applyNumberFormat="1" applyFont="1" applyFill="1" applyBorder="1" applyAlignment="1">
      <alignment horizontal="center"/>
    </xf>
    <xf numFmtId="167" fontId="32" fillId="3" borderId="0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0" fillId="0" borderId="38" xfId="0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6" fillId="0" borderId="35" xfId="0" applyFont="1" applyFill="1" applyBorder="1" applyAlignment="1">
      <alignment vertical="top"/>
    </xf>
    <xf numFmtId="0" fontId="1" fillId="0" borderId="3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41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42" xfId="0" applyFill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ill="1" applyBorder="1" applyAlignment="1">
      <alignment/>
    </xf>
    <xf numFmtId="0" fontId="24" fillId="0" borderId="45" xfId="0" applyFont="1" applyFill="1" applyBorder="1" applyAlignment="1">
      <alignment horizontal="left"/>
    </xf>
    <xf numFmtId="0" fontId="26" fillId="0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37" fillId="0" borderId="48" xfId="0" applyFont="1" applyFill="1" applyBorder="1" applyAlignment="1">
      <alignment horizontal="left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37" fillId="0" borderId="51" xfId="0" applyFont="1" applyFill="1" applyBorder="1" applyAlignment="1">
      <alignment horizontal="left"/>
    </xf>
    <xf numFmtId="0" fontId="30" fillId="0" borderId="19" xfId="0" applyFont="1" applyBorder="1" applyAlignment="1">
      <alignment/>
    </xf>
    <xf numFmtId="167" fontId="32" fillId="2" borderId="42" xfId="0" applyNumberFormat="1" applyFont="1" applyFill="1" applyBorder="1" applyAlignment="1">
      <alignment horizontal="center"/>
    </xf>
    <xf numFmtId="0" fontId="16" fillId="2" borderId="42" xfId="0" applyFont="1" applyFill="1" applyBorder="1" applyAlignment="1">
      <alignment/>
    </xf>
    <xf numFmtId="0" fontId="16" fillId="11" borderId="42" xfId="0" applyFont="1" applyFill="1" applyBorder="1" applyAlignment="1">
      <alignment/>
    </xf>
    <xf numFmtId="0" fontId="30" fillId="0" borderId="43" xfId="0" applyFont="1" applyBorder="1" applyAlignment="1">
      <alignment horizontal="right"/>
    </xf>
    <xf numFmtId="0" fontId="16" fillId="3" borderId="9" xfId="0" applyFont="1" applyFill="1" applyBorder="1" applyAlignment="1">
      <alignment/>
    </xf>
    <xf numFmtId="0" fontId="16" fillId="11" borderId="44" xfId="0" applyFont="1" applyFill="1" applyBorder="1" applyAlignment="1">
      <alignment/>
    </xf>
    <xf numFmtId="0" fontId="33" fillId="0" borderId="47" xfId="0" applyFont="1" applyBorder="1" applyAlignment="1">
      <alignment horizontal="centerContinuous"/>
    </xf>
    <xf numFmtId="0" fontId="33" fillId="0" borderId="41" xfId="0" applyFont="1" applyBorder="1" applyAlignment="1">
      <alignment horizontal="centerContinuous"/>
    </xf>
    <xf numFmtId="0" fontId="16" fillId="3" borderId="52" xfId="0" applyFont="1" applyFill="1" applyBorder="1" applyAlignment="1">
      <alignment horizontal="center" vertical="top" wrapText="1"/>
    </xf>
    <xf numFmtId="0" fontId="33" fillId="0" borderId="39" xfId="0" applyFont="1" applyBorder="1" applyAlignment="1">
      <alignment horizontal="centerContinuous" wrapText="1"/>
    </xf>
    <xf numFmtId="0" fontId="33" fillId="0" borderId="19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5" fontId="16" fillId="0" borderId="0" xfId="15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38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39" fillId="0" borderId="1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171" fontId="39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7" fontId="16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165" fontId="41" fillId="0" borderId="0" xfId="0" applyNumberFormat="1" applyFont="1" applyAlignment="1">
      <alignment/>
    </xf>
    <xf numFmtId="2" fontId="41" fillId="0" borderId="0" xfId="15" applyNumberFormat="1" applyFont="1" applyFill="1" applyBorder="1" applyAlignment="1">
      <alignment horizontal="center"/>
    </xf>
    <xf numFmtId="43" fontId="41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5" fontId="16" fillId="0" borderId="0" xfId="0" applyNumberFormat="1" applyFont="1" applyFill="1" applyBorder="1" applyAlignment="1">
      <alignment/>
    </xf>
    <xf numFmtId="15" fontId="16" fillId="0" borderId="0" xfId="0" applyNumberFormat="1" applyFont="1" applyFill="1" applyBorder="1" applyAlignment="1">
      <alignment horizontal="right"/>
    </xf>
    <xf numFmtId="2" fontId="42" fillId="0" borderId="0" xfId="15" applyNumberFormat="1" applyFont="1" applyFill="1" applyBorder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29" fillId="0" borderId="6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170" fontId="30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5" fontId="31" fillId="0" borderId="0" xfId="0" applyNumberFormat="1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0" xfId="15" applyNumberFormat="1" applyFont="1" applyAlignment="1">
      <alignment/>
    </xf>
    <xf numFmtId="0" fontId="23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16" fillId="0" borderId="0" xfId="15" applyNumberFormat="1" applyFont="1" applyFill="1" applyBorder="1" applyAlignment="1">
      <alignment/>
    </xf>
    <xf numFmtId="0" fontId="31" fillId="0" borderId="10" xfId="15" applyNumberFormat="1" applyFont="1" applyFill="1" applyBorder="1" applyAlignment="1">
      <alignment horizontal="center"/>
    </xf>
    <xf numFmtId="0" fontId="30" fillId="0" borderId="1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31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15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70" fontId="30" fillId="0" borderId="35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27" fillId="3" borderId="0" xfId="0" applyFont="1" applyFill="1" applyBorder="1" applyAlignment="1">
      <alignment vertical="top"/>
    </xf>
    <xf numFmtId="0" fontId="0" fillId="0" borderId="35" xfId="0" applyBorder="1" applyAlignment="1">
      <alignment vertical="top"/>
    </xf>
    <xf numFmtId="0" fontId="43" fillId="3" borderId="0" xfId="0" applyFont="1" applyFill="1" applyBorder="1" applyAlignment="1">
      <alignment vertical="top"/>
    </xf>
    <xf numFmtId="0" fontId="46" fillId="3" borderId="0" xfId="0" applyFont="1" applyFill="1" applyBorder="1" applyAlignment="1">
      <alignment vertical="top"/>
    </xf>
    <xf numFmtId="2" fontId="3" fillId="0" borderId="0" xfId="15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6" fillId="0" borderId="29" xfId="0" applyNumberFormat="1" applyFont="1" applyBorder="1" applyAlignment="1">
      <alignment horizontal="centerContinuous"/>
    </xf>
    <xf numFmtId="165" fontId="6" fillId="0" borderId="30" xfId="0" applyNumberFormat="1" applyFont="1" applyBorder="1" applyAlignment="1">
      <alignment horizontal="centerContinuous"/>
    </xf>
    <xf numFmtId="2" fontId="6" fillId="0" borderId="30" xfId="0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2" fontId="1" fillId="0" borderId="0" xfId="15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0" fillId="0" borderId="0" xfId="15" applyNumberFormat="1" applyAlignment="1">
      <alignment/>
    </xf>
    <xf numFmtId="165" fontId="1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6" fillId="12" borderId="30" xfId="0" applyFont="1" applyFill="1" applyBorder="1" applyAlignment="1">
      <alignment horizontal="centerContinuous"/>
    </xf>
    <xf numFmtId="1" fontId="1" fillId="12" borderId="0" xfId="0" applyNumberFormat="1" applyFont="1" applyFill="1" applyBorder="1" applyAlignment="1">
      <alignment/>
    </xf>
    <xf numFmtId="1" fontId="3" fillId="12" borderId="0" xfId="0" applyNumberFormat="1" applyFont="1" applyFill="1" applyBorder="1" applyAlignment="1">
      <alignment/>
    </xf>
    <xf numFmtId="1" fontId="1" fillId="12" borderId="52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165" fontId="8" fillId="0" borderId="0" xfId="15" applyNumberFormat="1" applyFont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21" applyNumberFormat="1" applyAlignment="1">
      <alignment/>
    </xf>
    <xf numFmtId="165" fontId="47" fillId="0" borderId="0" xfId="15" applyNumberFormat="1" applyFont="1" applyAlignment="1">
      <alignment/>
    </xf>
    <xf numFmtId="0" fontId="42" fillId="0" borderId="0" xfId="0" applyFont="1" applyAlignment="1">
      <alignment/>
    </xf>
    <xf numFmtId="168" fontId="42" fillId="0" borderId="0" xfId="21" applyNumberFormat="1" applyFont="1" applyAlignment="1">
      <alignment/>
    </xf>
    <xf numFmtId="165" fontId="42" fillId="0" borderId="0" xfId="15" applyNumberFormat="1" applyFont="1" applyAlignment="1">
      <alignment/>
    </xf>
    <xf numFmtId="0" fontId="48" fillId="0" borderId="0" xfId="0" applyFont="1" applyAlignment="1">
      <alignment/>
    </xf>
    <xf numFmtId="0" fontId="49" fillId="5" borderId="0" xfId="0" applyFont="1" applyFill="1" applyAlignment="1">
      <alignment horizontal="right"/>
    </xf>
    <xf numFmtId="165" fontId="0" fillId="5" borderId="0" xfId="15" applyNumberFormat="1" applyFill="1" applyAlignment="1">
      <alignment/>
    </xf>
    <xf numFmtId="165" fontId="0" fillId="5" borderId="0" xfId="15" applyNumberFormat="1" applyFont="1" applyFill="1" applyAlignment="1">
      <alignment horizontal="center"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164" fontId="42" fillId="0" borderId="0" xfId="15" applyNumberFormat="1" applyFont="1" applyAlignment="1">
      <alignment/>
    </xf>
    <xf numFmtId="166" fontId="12" fillId="0" borderId="0" xfId="0" applyNumberFormat="1" applyFont="1" applyAlignment="1">
      <alignment/>
    </xf>
    <xf numFmtId="165" fontId="3" fillId="5" borderId="0" xfId="15" applyNumberFormat="1" applyFont="1" applyFill="1" applyBorder="1" applyAlignment="1">
      <alignment wrapText="1"/>
    </xf>
    <xf numFmtId="0" fontId="0" fillId="5" borderId="0" xfId="0" applyFill="1" applyAlignment="1">
      <alignment/>
    </xf>
    <xf numFmtId="165" fontId="0" fillId="0" borderId="0" xfId="15" applyNumberFormat="1" applyFont="1" applyAlignment="1">
      <alignment/>
    </xf>
    <xf numFmtId="165" fontId="0" fillId="10" borderId="0" xfId="15" applyNumberFormat="1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43" fontId="1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167" fontId="5" fillId="0" borderId="0" xfId="0" applyNumberFormat="1" applyFont="1" applyAlignment="1">
      <alignment/>
    </xf>
    <xf numFmtId="9" fontId="5" fillId="0" borderId="0" xfId="21" applyFont="1" applyAlignment="1">
      <alignment/>
    </xf>
    <xf numFmtId="1" fontId="4" fillId="0" borderId="0" xfId="15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1" fontId="4" fillId="0" borderId="1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7" borderId="45" xfId="0" applyFill="1" applyBorder="1" applyAlignment="1">
      <alignment/>
    </xf>
    <xf numFmtId="0" fontId="0" fillId="7" borderId="58" xfId="0" applyFill="1" applyBorder="1" applyAlignment="1">
      <alignment/>
    </xf>
    <xf numFmtId="0" fontId="0" fillId="7" borderId="11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7" borderId="47" xfId="0" applyFill="1" applyBorder="1" applyAlignment="1">
      <alignment/>
    </xf>
    <xf numFmtId="0" fontId="0" fillId="7" borderId="39" xfId="0" applyFill="1" applyBorder="1" applyAlignment="1">
      <alignment/>
    </xf>
    <xf numFmtId="1" fontId="4" fillId="0" borderId="59" xfId="15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66" fontId="0" fillId="0" borderId="46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7" borderId="11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6" fontId="0" fillId="7" borderId="16" xfId="0" applyNumberFormat="1" applyFill="1" applyBorder="1" applyAlignment="1">
      <alignment/>
    </xf>
    <xf numFmtId="166" fontId="0" fillId="7" borderId="39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9" fontId="1" fillId="0" borderId="2" xfId="21" applyFont="1" applyFill="1" applyBorder="1" applyAlignment="1">
      <alignment/>
    </xf>
    <xf numFmtId="9" fontId="1" fillId="0" borderId="3" xfId="21" applyFont="1" applyFill="1" applyBorder="1" applyAlignment="1">
      <alignment/>
    </xf>
    <xf numFmtId="165" fontId="55" fillId="0" borderId="0" xfId="0" applyNumberFormat="1" applyFont="1" applyFill="1" applyBorder="1" applyAlignment="1">
      <alignment/>
    </xf>
    <xf numFmtId="9" fontId="1" fillId="0" borderId="0" xfId="21" applyFont="1" applyFill="1" applyBorder="1" applyAlignment="1">
      <alignment/>
    </xf>
    <xf numFmtId="9" fontId="1" fillId="0" borderId="5" xfId="21" applyFont="1" applyFill="1" applyBorder="1" applyAlignment="1">
      <alignment/>
    </xf>
    <xf numFmtId="165" fontId="54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66" fontId="0" fillId="0" borderId="46" xfId="0" applyNumberFormat="1" applyFill="1" applyBorder="1" applyAlignment="1">
      <alignment/>
    </xf>
    <xf numFmtId="1" fontId="4" fillId="0" borderId="34" xfId="15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5" fillId="0" borderId="31" xfId="15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5" fontId="2" fillId="0" borderId="45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5" fontId="6" fillId="0" borderId="59" xfId="0" applyNumberFormat="1" applyFont="1" applyFill="1" applyBorder="1" applyAlignment="1">
      <alignment/>
    </xf>
    <xf numFmtId="165" fontId="6" fillId="0" borderId="60" xfId="0" applyNumberFormat="1" applyFont="1" applyFill="1" applyBorder="1" applyAlignment="1">
      <alignment/>
    </xf>
    <xf numFmtId="1" fontId="6" fillId="0" borderId="61" xfId="0" applyNumberFormat="1" applyFont="1" applyFill="1" applyBorder="1" applyAlignment="1">
      <alignment/>
    </xf>
    <xf numFmtId="1" fontId="6" fillId="12" borderId="9" xfId="0" applyNumberFormat="1" applyFont="1" applyFill="1" applyBorder="1" applyAlignment="1">
      <alignment/>
    </xf>
    <xf numFmtId="165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" fontId="6" fillId="12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41" fillId="0" borderId="35" xfId="0" applyNumberFormat="1" applyFont="1" applyFill="1" applyBorder="1" applyAlignment="1">
      <alignment/>
    </xf>
    <xf numFmtId="165" fontId="6" fillId="0" borderId="35" xfId="0" applyNumberFormat="1" applyFont="1" applyFill="1" applyBorder="1" applyAlignment="1">
      <alignment/>
    </xf>
    <xf numFmtId="2" fontId="6" fillId="0" borderId="35" xfId="15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65" fontId="6" fillId="0" borderId="34" xfId="0" applyNumberFormat="1" applyFont="1" applyFill="1" applyBorder="1" applyAlignment="1">
      <alignment horizontal="center"/>
    </xf>
    <xf numFmtId="0" fontId="41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3" fillId="0" borderId="0" xfId="21" applyFont="1" applyFill="1" applyBorder="1" applyAlignment="1">
      <alignment/>
    </xf>
    <xf numFmtId="9" fontId="3" fillId="0" borderId="5" xfId="21" applyFont="1" applyFill="1" applyBorder="1" applyAlignment="1">
      <alignment/>
    </xf>
    <xf numFmtId="1" fontId="6" fillId="12" borderId="30" xfId="0" applyNumberFormat="1" applyFont="1" applyFill="1" applyBorder="1" applyAlignment="1">
      <alignment/>
    </xf>
    <xf numFmtId="9" fontId="41" fillId="0" borderId="35" xfId="21" applyFont="1" applyFill="1" applyBorder="1" applyAlignment="1">
      <alignment/>
    </xf>
    <xf numFmtId="9" fontId="41" fillId="0" borderId="33" xfId="21" applyFont="1" applyFill="1" applyBorder="1" applyAlignment="1">
      <alignment/>
    </xf>
    <xf numFmtId="165" fontId="1" fillId="0" borderId="58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2" xfId="15" applyNumberFormat="1" applyFont="1" applyFill="1" applyBorder="1" applyAlignment="1">
      <alignment/>
    </xf>
    <xf numFmtId="165" fontId="1" fillId="0" borderId="45" xfId="0" applyNumberFormat="1" applyFont="1" applyFill="1" applyBorder="1" applyAlignment="1">
      <alignment/>
    </xf>
    <xf numFmtId="165" fontId="1" fillId="0" borderId="46" xfId="15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65" fontId="1" fillId="0" borderId="17" xfId="15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1" fillId="0" borderId="48" xfId="15" applyNumberFormat="1" applyFont="1" applyFill="1" applyBorder="1" applyAlignment="1">
      <alignment/>
    </xf>
    <xf numFmtId="165" fontId="3" fillId="0" borderId="59" xfId="15" applyNumberFormat="1" applyFont="1" applyFill="1" applyBorder="1" applyAlignment="1">
      <alignment horizontal="center" wrapText="1"/>
    </xf>
    <xf numFmtId="165" fontId="3" fillId="0" borderId="60" xfId="15" applyNumberFormat="1" applyFont="1" applyFill="1" applyBorder="1" applyAlignment="1">
      <alignment horizontal="center" wrapText="1"/>
    </xf>
    <xf numFmtId="165" fontId="3" fillId="0" borderId="61" xfId="15" applyNumberFormat="1" applyFont="1" applyFill="1" applyBorder="1" applyAlignment="1">
      <alignment horizontal="center" wrapText="1"/>
    </xf>
    <xf numFmtId="0" fontId="0" fillId="0" borderId="6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65" fontId="3" fillId="0" borderId="6" xfId="15" applyNumberFormat="1" applyFont="1" applyFill="1" applyBorder="1" applyAlignment="1">
      <alignment horizontal="center" wrapText="1"/>
    </xf>
    <xf numFmtId="164" fontId="1" fillId="0" borderId="63" xfId="15" applyNumberFormat="1" applyFont="1" applyFill="1" applyBorder="1" applyAlignment="1">
      <alignment/>
    </xf>
    <xf numFmtId="1" fontId="4" fillId="0" borderId="64" xfId="15" applyNumberFormat="1" applyFont="1" applyFill="1" applyBorder="1" applyAlignment="1">
      <alignment/>
    </xf>
    <xf numFmtId="164" fontId="1" fillId="0" borderId="66" xfId="15" applyNumberFormat="1" applyFont="1" applyFill="1" applyBorder="1" applyAlignment="1">
      <alignment/>
    </xf>
    <xf numFmtId="164" fontId="1" fillId="0" borderId="67" xfId="15" applyNumberFormat="1" applyFont="1" applyFill="1" applyBorder="1" applyAlignment="1">
      <alignment/>
    </xf>
    <xf numFmtId="164" fontId="1" fillId="0" borderId="62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 horizont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65" fontId="1" fillId="0" borderId="45" xfId="15" applyNumberFormat="1" applyFont="1" applyFill="1" applyBorder="1" applyAlignment="1">
      <alignment/>
    </xf>
    <xf numFmtId="165" fontId="1" fillId="0" borderId="10" xfId="15" applyNumberFormat="1" applyFont="1" applyFill="1" applyBorder="1" applyAlignment="1">
      <alignment/>
    </xf>
    <xf numFmtId="165" fontId="1" fillId="0" borderId="14" xfId="15" applyNumberFormat="1" applyFont="1" applyFill="1" applyBorder="1" applyAlignment="1">
      <alignment/>
    </xf>
    <xf numFmtId="165" fontId="1" fillId="0" borderId="16" xfId="15" applyNumberFormat="1" applyFont="1" applyFill="1" applyBorder="1" applyAlignment="1">
      <alignment/>
    </xf>
    <xf numFmtId="165" fontId="1" fillId="0" borderId="58" xfId="15" applyNumberFormat="1" applyFont="1" applyFill="1" applyBorder="1" applyAlignment="1">
      <alignment/>
    </xf>
    <xf numFmtId="165" fontId="1" fillId="0" borderId="11" xfId="15" applyNumberFormat="1" applyFont="1" applyFill="1" applyBorder="1" applyAlignment="1">
      <alignment/>
    </xf>
    <xf numFmtId="165" fontId="3" fillId="0" borderId="68" xfId="15" applyNumberFormat="1" applyFont="1" applyFill="1" applyBorder="1" applyAlignment="1">
      <alignment horizontal="center" wrapText="1"/>
    </xf>
    <xf numFmtId="165" fontId="1" fillId="0" borderId="47" xfId="15" applyNumberFormat="1" applyFont="1" applyFill="1" applyBorder="1" applyAlignment="1">
      <alignment/>
    </xf>
    <xf numFmtId="165" fontId="1" fillId="0" borderId="39" xfId="15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1" fontId="1" fillId="7" borderId="46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46" xfId="15" applyNumberFormat="1" applyFont="1" applyFill="1" applyBorder="1" applyAlignment="1">
      <alignment/>
    </xf>
    <xf numFmtId="43" fontId="1" fillId="0" borderId="16" xfId="15" applyNumberFormat="1" applyFont="1" applyFill="1" applyBorder="1" applyAlignment="1">
      <alignment/>
    </xf>
    <xf numFmtId="43" fontId="1" fillId="0" borderId="17" xfId="15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1" fontId="1" fillId="7" borderId="38" xfId="0" applyNumberFormat="1" applyFont="1" applyFill="1" applyBorder="1" applyAlignment="1">
      <alignment/>
    </xf>
    <xf numFmtId="43" fontId="1" fillId="0" borderId="38" xfId="15" applyNumberFormat="1" applyFont="1" applyFill="1" applyBorder="1" applyAlignment="1">
      <alignment/>
    </xf>
    <xf numFmtId="43" fontId="1" fillId="0" borderId="15" xfId="15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65" fontId="1" fillId="0" borderId="10" xfId="15" applyNumberFormat="1" applyFont="1" applyFill="1" applyBorder="1" applyAlignment="1">
      <alignment horizontal="right"/>
    </xf>
    <xf numFmtId="165" fontId="1" fillId="0" borderId="11" xfId="15" applyNumberFormat="1" applyFont="1" applyFill="1" applyBorder="1" applyAlignment="1">
      <alignment horizontal="right"/>
    </xf>
    <xf numFmtId="165" fontId="1" fillId="0" borderId="16" xfId="15" applyNumberFormat="1" applyFont="1" applyFill="1" applyBorder="1" applyAlignment="1">
      <alignment horizontal="right"/>
    </xf>
    <xf numFmtId="165" fontId="1" fillId="0" borderId="52" xfId="15" applyNumberFormat="1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1" fontId="3" fillId="0" borderId="60" xfId="15" applyNumberFormat="1" applyFont="1" applyFill="1" applyBorder="1" applyAlignment="1">
      <alignment horizontal="right" wrapText="1"/>
    </xf>
    <xf numFmtId="1" fontId="3" fillId="0" borderId="61" xfId="15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9" xfId="0" applyFont="1" applyFill="1" applyBorder="1" applyAlignment="1">
      <alignment horizontal="right"/>
    </xf>
    <xf numFmtId="165" fontId="1" fillId="0" borderId="59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 horizontal="right"/>
    </xf>
    <xf numFmtId="165" fontId="1" fillId="0" borderId="61" xfId="0" applyNumberFormat="1" applyFont="1" applyFill="1" applyBorder="1" applyAlignment="1">
      <alignment/>
    </xf>
    <xf numFmtId="165" fontId="1" fillId="0" borderId="61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7" borderId="10" xfId="15" applyNumberFormat="1" applyFont="1" applyFill="1" applyBorder="1" applyAlignment="1">
      <alignment/>
    </xf>
    <xf numFmtId="165" fontId="1" fillId="7" borderId="46" xfId="15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5" fontId="6" fillId="0" borderId="61" xfId="0" applyNumberFormat="1" applyFont="1" applyFill="1" applyBorder="1" applyAlignment="1">
      <alignment/>
    </xf>
    <xf numFmtId="165" fontId="1" fillId="0" borderId="38" xfId="0" applyNumberFormat="1" applyFont="1" applyFill="1" applyBorder="1" applyAlignment="1">
      <alignment horizontal="center"/>
    </xf>
    <xf numFmtId="165" fontId="6" fillId="0" borderId="70" xfId="0" applyNumberFormat="1" applyFont="1" applyFill="1" applyBorder="1" applyAlignment="1">
      <alignment horizontal="center"/>
    </xf>
    <xf numFmtId="2" fontId="1" fillId="0" borderId="45" xfId="15" applyNumberFormat="1" applyFont="1" applyFill="1" applyBorder="1" applyAlignment="1">
      <alignment horizontal="center"/>
    </xf>
    <xf numFmtId="2" fontId="6" fillId="0" borderId="59" xfId="15" applyNumberFormat="1" applyFont="1" applyFill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165" fontId="6" fillId="0" borderId="71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 horizontal="center"/>
    </xf>
    <xf numFmtId="43" fontId="6" fillId="0" borderId="61" xfId="0" applyNumberFormat="1" applyFont="1" applyFill="1" applyBorder="1" applyAlignment="1">
      <alignment horizontal="center"/>
    </xf>
    <xf numFmtId="2" fontId="0" fillId="0" borderId="62" xfId="0" applyNumberFormat="1" applyFill="1" applyBorder="1" applyAlignment="1">
      <alignment/>
    </xf>
    <xf numFmtId="2" fontId="0" fillId="0" borderId="63" xfId="0" applyNumberFormat="1" applyFill="1" applyBorder="1" applyAlignment="1">
      <alignment/>
    </xf>
    <xf numFmtId="2" fontId="0" fillId="0" borderId="64" xfId="0" applyNumberFormat="1" applyFill="1" applyBorder="1" applyAlignment="1">
      <alignment/>
    </xf>
    <xf numFmtId="165" fontId="3" fillId="0" borderId="59" xfId="15" applyNumberFormat="1" applyFont="1" applyFill="1" applyBorder="1" applyAlignment="1">
      <alignment horizontal="center" vertical="center" wrapText="1"/>
    </xf>
    <xf numFmtId="165" fontId="3" fillId="0" borderId="61" xfId="15" applyNumberFormat="1" applyFont="1" applyFill="1" applyBorder="1" applyAlignment="1">
      <alignment horizontal="center" vertical="center" wrapText="1"/>
    </xf>
    <xf numFmtId="1" fontId="3" fillId="0" borderId="0" xfId="15" applyNumberFormat="1" applyFont="1" applyFill="1" applyBorder="1" applyAlignment="1">
      <alignment horizontal="center"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165" fontId="3" fillId="0" borderId="1" xfId="15" applyNumberFormat="1" applyFont="1" applyFill="1" applyBorder="1" applyAlignment="1">
      <alignment horizontal="center" vertical="center" wrapText="1"/>
    </xf>
    <xf numFmtId="165" fontId="3" fillId="0" borderId="6" xfId="15" applyNumberFormat="1" applyFont="1" applyFill="1" applyBorder="1" applyAlignment="1">
      <alignment horizontal="center" vertical="center" wrapText="1"/>
    </xf>
    <xf numFmtId="165" fontId="3" fillId="0" borderId="68" xfId="15" applyNumberFormat="1" applyFont="1" applyFill="1" applyBorder="1" applyAlignment="1">
      <alignment horizontal="center" vertical="center" wrapText="1"/>
    </xf>
    <xf numFmtId="165" fontId="3" fillId="0" borderId="60" xfId="15" applyNumberFormat="1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5" fillId="0" borderId="59" xfId="15" applyNumberFormat="1" applyFont="1" applyFill="1" applyBorder="1" applyAlignment="1">
      <alignment horizontal="center" vertical="center" wrapText="1"/>
    </xf>
    <xf numFmtId="165" fontId="5" fillId="0" borderId="61" xfId="15" applyNumberFormat="1" applyFont="1" applyFill="1" applyBorder="1" applyAlignment="1">
      <alignment horizontal="center" vertical="center" wrapText="1"/>
    </xf>
    <xf numFmtId="2" fontId="3" fillId="0" borderId="34" xfId="15" applyNumberFormat="1" applyFont="1" applyFill="1" applyBorder="1" applyAlignment="1">
      <alignment horizontal="center" vertical="center" wrapText="1"/>
    </xf>
    <xf numFmtId="170" fontId="5" fillId="0" borderId="0" xfId="1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4" fillId="0" borderId="59" xfId="15" applyNumberFormat="1" applyFont="1" applyFill="1" applyBorder="1" applyAlignment="1">
      <alignment horizontal="center" vertical="center" wrapText="1"/>
    </xf>
    <xf numFmtId="165" fontId="4" fillId="0" borderId="60" xfId="15" applyNumberFormat="1" applyFont="1" applyFill="1" applyBorder="1" applyAlignment="1">
      <alignment horizontal="center" vertical="center" wrapText="1"/>
    </xf>
    <xf numFmtId="165" fontId="4" fillId="0" borderId="61" xfId="15" applyNumberFormat="1" applyFont="1" applyFill="1" applyBorder="1" applyAlignment="1">
      <alignment horizontal="center" vertical="center" wrapText="1"/>
    </xf>
    <xf numFmtId="2" fontId="3" fillId="0" borderId="59" xfId="15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65" fontId="0" fillId="0" borderId="0" xfId="15" applyNumberFormat="1" applyFont="1" applyBorder="1" applyAlignment="1">
      <alignment/>
    </xf>
    <xf numFmtId="165" fontId="41" fillId="0" borderId="35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41" fillId="0" borderId="0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65" fontId="4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6" fillId="13" borderId="0" xfId="0" applyFont="1" applyFill="1" applyBorder="1" applyAlignment="1">
      <alignment/>
    </xf>
    <xf numFmtId="0" fontId="16" fillId="13" borderId="0" xfId="0" applyFont="1" applyFill="1" applyAlignment="1">
      <alignment/>
    </xf>
    <xf numFmtId="176" fontId="39" fillId="0" borderId="3" xfId="0" applyNumberFormat="1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31" fillId="13" borderId="0" xfId="0" applyFont="1" applyFill="1" applyBorder="1" applyAlignment="1">
      <alignment horizontal="center"/>
    </xf>
    <xf numFmtId="2" fontId="16" fillId="2" borderId="42" xfId="0" applyNumberFormat="1" applyFont="1" applyFill="1" applyBorder="1" applyAlignment="1">
      <alignment horizontal="center"/>
    </xf>
    <xf numFmtId="39" fontId="16" fillId="2" borderId="0" xfId="15" applyNumberFormat="1" applyFont="1" applyFill="1" applyBorder="1" applyAlignment="1">
      <alignment horizontal="center"/>
    </xf>
    <xf numFmtId="39" fontId="16" fillId="2" borderId="42" xfId="15" applyNumberFormat="1" applyFont="1" applyFill="1" applyBorder="1" applyAlignment="1">
      <alignment horizontal="center"/>
    </xf>
    <xf numFmtId="0" fontId="57" fillId="13" borderId="0" xfId="0" applyFont="1" applyFill="1" applyAlignment="1">
      <alignment horizontal="centerContinuous"/>
    </xf>
    <xf numFmtId="0" fontId="58" fillId="13" borderId="0" xfId="0" applyFont="1" applyFill="1" applyAlignment="1">
      <alignment/>
    </xf>
    <xf numFmtId="0" fontId="57" fillId="13" borderId="0" xfId="0" applyFont="1" applyFill="1" applyAlignment="1">
      <alignment/>
    </xf>
    <xf numFmtId="0" fontId="59" fillId="13" borderId="0" xfId="0" applyFont="1" applyFill="1" applyAlignment="1">
      <alignment/>
    </xf>
    <xf numFmtId="0" fontId="60" fillId="13" borderId="0" xfId="0" applyFont="1" applyFill="1" applyBorder="1" applyAlignment="1">
      <alignment horizontal="center" wrapText="1"/>
    </xf>
    <xf numFmtId="0" fontId="57" fillId="13" borderId="0" xfId="0" applyFont="1" applyFill="1" applyBorder="1" applyAlignment="1">
      <alignment/>
    </xf>
    <xf numFmtId="0" fontId="30" fillId="13" borderId="0" xfId="0" applyFont="1" applyFill="1" applyBorder="1" applyAlignment="1">
      <alignment wrapText="1"/>
    </xf>
    <xf numFmtId="167" fontId="32" fillId="13" borderId="0" xfId="0" applyNumberFormat="1" applyFont="1" applyFill="1" applyBorder="1" applyAlignment="1">
      <alignment horizontal="center"/>
    </xf>
    <xf numFmtId="2" fontId="16" fillId="2" borderId="0" xfId="15" applyNumberFormat="1" applyFont="1" applyFill="1" applyBorder="1" applyAlignment="1">
      <alignment horizontal="center"/>
    </xf>
    <xf numFmtId="167" fontId="61" fillId="3" borderId="0" xfId="0" applyNumberFormat="1" applyFont="1" applyFill="1" applyBorder="1" applyAlignment="1">
      <alignment horizontal="center"/>
    </xf>
    <xf numFmtId="167" fontId="19" fillId="2" borderId="0" xfId="0" applyNumberFormat="1" applyFont="1" applyFill="1" applyBorder="1" applyAlignment="1">
      <alignment horizontal="center"/>
    </xf>
    <xf numFmtId="167" fontId="19" fillId="2" borderId="42" xfId="0" applyNumberFormat="1" applyFont="1" applyFill="1" applyBorder="1" applyAlignment="1">
      <alignment horizontal="center"/>
    </xf>
    <xf numFmtId="0" fontId="19" fillId="2" borderId="42" xfId="0" applyFont="1" applyFill="1" applyBorder="1" applyAlignment="1">
      <alignment/>
    </xf>
    <xf numFmtId="39" fontId="19" fillId="2" borderId="0" xfId="15" applyNumberFormat="1" applyFont="1" applyFill="1" applyBorder="1" applyAlignment="1">
      <alignment horizontal="center"/>
    </xf>
    <xf numFmtId="39" fontId="19" fillId="2" borderId="42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5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17" fontId="31" fillId="0" borderId="0" xfId="0" applyNumberFormat="1" applyFont="1" applyFill="1" applyBorder="1" applyAlignment="1">
      <alignment/>
    </xf>
    <xf numFmtId="0" fontId="46" fillId="13" borderId="0" xfId="0" applyFont="1" applyFill="1" applyBorder="1" applyAlignment="1">
      <alignment/>
    </xf>
    <xf numFmtId="14" fontId="31" fillId="0" borderId="0" xfId="0" applyNumberFormat="1" applyFont="1" applyAlignment="1">
      <alignment/>
    </xf>
    <xf numFmtId="0" fontId="4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5" fontId="46" fillId="0" borderId="0" xfId="0" applyNumberFormat="1" applyFont="1" applyFill="1" applyBorder="1" applyAlignment="1">
      <alignment/>
    </xf>
    <xf numFmtId="17" fontId="46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15" fontId="4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15" fontId="4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5" fontId="46" fillId="0" borderId="0" xfId="0" applyNumberFormat="1" applyFont="1" applyFill="1" applyAlignment="1">
      <alignment/>
    </xf>
    <xf numFmtId="15" fontId="43" fillId="0" borderId="0" xfId="0" applyNumberFormat="1" applyFont="1" applyFill="1" applyBorder="1" applyAlignment="1">
      <alignment horizontal="center"/>
    </xf>
    <xf numFmtId="14" fontId="4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 horizontal="center"/>
    </xf>
    <xf numFmtId="15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27" fillId="0" borderId="13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5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5" fillId="0" borderId="5" xfId="0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29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1" fillId="0" borderId="3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72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1" fillId="0" borderId="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165" fontId="63" fillId="0" borderId="35" xfId="15" applyNumberFormat="1" applyFont="1" applyFill="1" applyBorder="1" applyAlignment="1">
      <alignment/>
    </xf>
    <xf numFmtId="1" fontId="0" fillId="7" borderId="45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1" fontId="0" fillId="7" borderId="46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4" borderId="0" xfId="0" applyFill="1" applyAlignment="1">
      <alignment wrapText="1"/>
    </xf>
    <xf numFmtId="0" fontId="56" fillId="14" borderId="1" xfId="0" applyFont="1" applyFill="1" applyBorder="1" applyAlignment="1">
      <alignment horizontal="center" wrapText="1"/>
    </xf>
    <xf numFmtId="0" fontId="56" fillId="14" borderId="3" xfId="0" applyFont="1" applyFill="1" applyBorder="1" applyAlignment="1">
      <alignment horizontal="center" wrapText="1"/>
    </xf>
    <xf numFmtId="14" fontId="0" fillId="14" borderId="0" xfId="0" applyNumberFormat="1" applyFill="1" applyAlignment="1">
      <alignment horizontal="center"/>
    </xf>
    <xf numFmtId="14" fontId="6" fillId="14" borderId="34" xfId="0" applyNumberFormat="1" applyFont="1" applyFill="1" applyBorder="1" applyAlignment="1">
      <alignment horizontal="center"/>
    </xf>
    <xf numFmtId="43" fontId="6" fillId="14" borderId="34" xfId="15" applyFont="1" applyFill="1" applyBorder="1" applyAlignment="1">
      <alignment horizontal="center"/>
    </xf>
    <xf numFmtId="165" fontId="6" fillId="14" borderId="34" xfId="15" applyNumberFormat="1" applyFont="1" applyFill="1" applyBorder="1" applyAlignment="1">
      <alignment horizontal="center"/>
    </xf>
    <xf numFmtId="172" fontId="56" fillId="14" borderId="72" xfId="15" applyNumberFormat="1" applyFont="1" applyFill="1" applyBorder="1" applyAlignment="1">
      <alignment horizontal="center"/>
    </xf>
    <xf numFmtId="43" fontId="56" fillId="14" borderId="33" xfId="15" applyFont="1" applyFill="1" applyBorder="1" applyAlignment="1">
      <alignment horizontal="center"/>
    </xf>
    <xf numFmtId="165" fontId="0" fillId="14" borderId="0" xfId="15" applyNumberFormat="1" applyFill="1" applyAlignment="1">
      <alignment horizontal="center"/>
    </xf>
    <xf numFmtId="0" fontId="0" fillId="14" borderId="0" xfId="0" applyFill="1" applyAlignment="1" quotePrefix="1">
      <alignment/>
    </xf>
    <xf numFmtId="0" fontId="49" fillId="14" borderId="0" xfId="0" applyFont="1" applyFill="1" applyAlignment="1">
      <alignment horizontal="center"/>
    </xf>
    <xf numFmtId="173" fontId="0" fillId="14" borderId="0" xfId="0" applyNumberFormat="1" applyFill="1" applyAlignment="1">
      <alignment horizontal="center"/>
    </xf>
    <xf numFmtId="165" fontId="49" fillId="14" borderId="0" xfId="15" applyNumberFormat="1" applyFont="1" applyFill="1" applyAlignment="1">
      <alignment horizontal="center"/>
    </xf>
    <xf numFmtId="0" fontId="0" fillId="14" borderId="0" xfId="0" applyFill="1" applyAlignment="1">
      <alignment horizontal="right"/>
    </xf>
    <xf numFmtId="165" fontId="0" fillId="14" borderId="0" xfId="0" applyNumberFormat="1" applyFill="1" applyAlignment="1">
      <alignment horizontal="center"/>
    </xf>
    <xf numFmtId="0" fontId="6" fillId="14" borderId="1" xfId="0" applyFont="1" applyFill="1" applyBorder="1" applyAlignment="1">
      <alignment horizontal="right"/>
    </xf>
    <xf numFmtId="165" fontId="6" fillId="14" borderId="3" xfId="0" applyNumberFormat="1" applyFont="1" applyFill="1" applyBorder="1" applyAlignment="1">
      <alignment horizontal="center"/>
    </xf>
    <xf numFmtId="0" fontId="6" fillId="14" borderId="13" xfId="0" applyFont="1" applyFill="1" applyBorder="1" applyAlignment="1">
      <alignment horizontal="right"/>
    </xf>
    <xf numFmtId="0" fontId="6" fillId="14" borderId="5" xfId="0" applyFont="1" applyFill="1" applyBorder="1" applyAlignment="1">
      <alignment horizontal="center"/>
    </xf>
    <xf numFmtId="165" fontId="6" fillId="14" borderId="5" xfId="0" applyNumberFormat="1" applyFont="1" applyFill="1" applyBorder="1" applyAlignment="1">
      <alignment horizontal="center"/>
    </xf>
    <xf numFmtId="0" fontId="6" fillId="14" borderId="72" xfId="0" applyFont="1" applyFill="1" applyBorder="1" applyAlignment="1">
      <alignment horizontal="right"/>
    </xf>
    <xf numFmtId="165" fontId="6" fillId="14" borderId="3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5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58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54" fillId="0" borderId="32" xfId="0" applyFont="1" applyFill="1" applyBorder="1" applyAlignment="1">
      <alignment horizontal="center" vertical="center" wrapText="1"/>
    </xf>
    <xf numFmtId="165" fontId="41" fillId="0" borderId="29" xfId="15" applyNumberFormat="1" applyFont="1" applyFill="1" applyBorder="1" applyAlignment="1">
      <alignment/>
    </xf>
    <xf numFmtId="9" fontId="3" fillId="0" borderId="30" xfId="21" applyFont="1" applyFill="1" applyBorder="1" applyAlignment="1">
      <alignment/>
    </xf>
    <xf numFmtId="9" fontId="3" fillId="0" borderId="31" xfId="21" applyFont="1" applyFill="1" applyBorder="1" applyAlignment="1">
      <alignment/>
    </xf>
    <xf numFmtId="165" fontId="3" fillId="0" borderId="30" xfId="0" applyNumberFormat="1" applyFont="1" applyFill="1" applyBorder="1" applyAlignment="1">
      <alignment/>
    </xf>
    <xf numFmtId="165" fontId="6" fillId="0" borderId="31" xfId="0" applyNumberFormat="1" applyFont="1" applyFill="1" applyBorder="1" applyAlignment="1">
      <alignment/>
    </xf>
    <xf numFmtId="165" fontId="0" fillId="0" borderId="62" xfId="15" applyNumberFormat="1" applyFont="1" applyFill="1" applyBorder="1" applyAlignment="1">
      <alignment/>
    </xf>
    <xf numFmtId="165" fontId="0" fillId="0" borderId="63" xfId="15" applyNumberFormat="1" applyFont="1" applyFill="1" applyBorder="1" applyAlignment="1">
      <alignment/>
    </xf>
    <xf numFmtId="165" fontId="0" fillId="0" borderId="64" xfId="15" applyNumberFormat="1" applyFont="1" applyFill="1" applyBorder="1" applyAlignment="1">
      <alignment/>
    </xf>
    <xf numFmtId="165" fontId="1" fillId="0" borderId="62" xfId="15" applyNumberFormat="1" applyFont="1" applyFill="1" applyBorder="1" applyAlignment="1">
      <alignment/>
    </xf>
    <xf numFmtId="165" fontId="55" fillId="0" borderId="62" xfId="0" applyNumberFormat="1" applyFont="1" applyFill="1" applyBorder="1" applyAlignment="1">
      <alignment/>
    </xf>
    <xf numFmtId="165" fontId="1" fillId="0" borderId="63" xfId="15" applyNumberFormat="1" applyFont="1" applyFill="1" applyBorder="1" applyAlignment="1">
      <alignment/>
    </xf>
    <xf numFmtId="165" fontId="55" fillId="0" borderId="63" xfId="0" applyNumberFormat="1" applyFont="1" applyFill="1" applyBorder="1" applyAlignment="1">
      <alignment/>
    </xf>
    <xf numFmtId="165" fontId="1" fillId="0" borderId="64" xfId="15" applyNumberFormat="1" applyFont="1" applyFill="1" applyBorder="1" applyAlignment="1">
      <alignment/>
    </xf>
    <xf numFmtId="165" fontId="55" fillId="0" borderId="64" xfId="0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0" fontId="0" fillId="7" borderId="49" xfId="0" applyFill="1" applyBorder="1" applyAlignment="1">
      <alignment/>
    </xf>
    <xf numFmtId="166" fontId="0" fillId="7" borderId="4" xfId="0" applyNumberFormat="1" applyFill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12" fillId="0" borderId="39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5" fillId="0" borderId="61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73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/>
    </xf>
    <xf numFmtId="164" fontId="0" fillId="0" borderId="74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4" fontId="0" fillId="0" borderId="63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1" fontId="5" fillId="0" borderId="29" xfId="15" applyNumberFormat="1" applyFont="1" applyFill="1" applyBorder="1" applyAlignment="1">
      <alignment/>
    </xf>
    <xf numFmtId="1" fontId="5" fillId="0" borderId="30" xfId="15" applyNumberFormat="1" applyFont="1" applyFill="1" applyBorder="1" applyAlignment="1">
      <alignment/>
    </xf>
    <xf numFmtId="2" fontId="5" fillId="0" borderId="31" xfId="15" applyNumberFormat="1" applyFont="1" applyFill="1" applyBorder="1" applyAlignment="1">
      <alignment/>
    </xf>
    <xf numFmtId="2" fontId="5" fillId="0" borderId="59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62" xfId="15" applyNumberFormat="1" applyFont="1" applyFill="1" applyBorder="1" applyAlignment="1">
      <alignment/>
    </xf>
    <xf numFmtId="164" fontId="0" fillId="0" borderId="63" xfId="15" applyNumberFormat="1" applyFont="1" applyFill="1" applyBorder="1" applyAlignment="1">
      <alignment/>
    </xf>
    <xf numFmtId="164" fontId="0" fillId="0" borderId="45" xfId="15" applyNumberFormat="1" applyFont="1" applyFill="1" applyBorder="1" applyAlignment="1">
      <alignment/>
    </xf>
    <xf numFmtId="164" fontId="0" fillId="0" borderId="10" xfId="15" applyNumberFormat="1" applyFont="1" applyFill="1" applyBorder="1" applyAlignment="1">
      <alignment/>
    </xf>
    <xf numFmtId="165" fontId="1" fillId="0" borderId="59" xfId="15" applyNumberFormat="1" applyFont="1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wrapText="1"/>
    </xf>
    <xf numFmtId="2" fontId="12" fillId="0" borderId="49" xfId="0" applyNumberFormat="1" applyFont="1" applyFill="1" applyBorder="1" applyAlignment="1">
      <alignment/>
    </xf>
    <xf numFmtId="2" fontId="0" fillId="0" borderId="5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166" fontId="0" fillId="7" borderId="25" xfId="0" applyNumberFormat="1" applyFill="1" applyBorder="1" applyAlignment="1">
      <alignment/>
    </xf>
    <xf numFmtId="166" fontId="0" fillId="7" borderId="38" xfId="0" applyNumberFormat="1" applyFill="1" applyBorder="1" applyAlignment="1">
      <alignment/>
    </xf>
    <xf numFmtId="166" fontId="0" fillId="7" borderId="15" xfId="0" applyNumberFormat="1" applyFill="1" applyBorder="1" applyAlignment="1">
      <alignment/>
    </xf>
    <xf numFmtId="1" fontId="4" fillId="0" borderId="70" xfId="15" applyNumberFormat="1" applyFont="1" applyFill="1" applyBorder="1" applyAlignment="1">
      <alignment/>
    </xf>
    <xf numFmtId="166" fontId="0" fillId="7" borderId="41" xfId="0" applyNumberFormat="1" applyFill="1" applyBorder="1" applyAlignment="1">
      <alignment/>
    </xf>
    <xf numFmtId="1" fontId="4" fillId="0" borderId="30" xfId="15" applyNumberFormat="1" applyFont="1" applyFill="1" applyBorder="1" applyAlignment="1">
      <alignment/>
    </xf>
    <xf numFmtId="166" fontId="0" fillId="7" borderId="12" xfId="0" applyNumberFormat="1" applyFill="1" applyBorder="1" applyAlignment="1">
      <alignment/>
    </xf>
    <xf numFmtId="166" fontId="0" fillId="7" borderId="46" xfId="0" applyNumberFormat="1" applyFill="1" applyBorder="1" applyAlignment="1">
      <alignment/>
    </xf>
    <xf numFmtId="166" fontId="0" fillId="7" borderId="17" xfId="0" applyNumberFormat="1" applyFill="1" applyBorder="1" applyAlignment="1">
      <alignment/>
    </xf>
    <xf numFmtId="166" fontId="0" fillId="7" borderId="48" xfId="0" applyNumberFormat="1" applyFill="1" applyBorder="1" applyAlignment="1">
      <alignment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164" fontId="0" fillId="0" borderId="0" xfId="15" applyNumberFormat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3" xfId="0" applyBorder="1" applyAlignment="1">
      <alignment/>
    </xf>
    <xf numFmtId="1" fontId="5" fillId="13" borderId="0" xfId="15" applyNumberFormat="1" applyFont="1" applyFill="1" applyBorder="1" applyAlignment="1">
      <alignment/>
    </xf>
    <xf numFmtId="2" fontId="5" fillId="13" borderId="0" xfId="15" applyNumberFormat="1" applyFont="1" applyFill="1" applyBorder="1" applyAlignment="1">
      <alignment/>
    </xf>
    <xf numFmtId="2" fontId="0" fillId="13" borderId="0" xfId="0" applyNumberFormat="1" applyFill="1" applyBorder="1" applyAlignment="1">
      <alignment/>
    </xf>
    <xf numFmtId="0" fontId="0" fillId="9" borderId="46" xfId="0" applyFont="1" applyFill="1" applyBorder="1" applyAlignment="1">
      <alignment/>
    </xf>
    <xf numFmtId="0" fontId="0" fillId="9" borderId="0" xfId="0" applyFont="1" applyFill="1" applyBorder="1" applyAlignment="1">
      <alignment wrapText="1"/>
    </xf>
    <xf numFmtId="2" fontId="5" fillId="7" borderId="61" xfId="15" applyNumberFormat="1" applyFont="1" applyFill="1" applyBorder="1" applyAlignment="1">
      <alignment/>
    </xf>
    <xf numFmtId="165" fontId="66" fillId="5" borderId="29" xfId="0" applyNumberFormat="1" applyFont="1" applyFill="1" applyBorder="1" applyAlignment="1">
      <alignment horizontal="centerContinuous"/>
    </xf>
    <xf numFmtId="165" fontId="66" fillId="5" borderId="30" xfId="0" applyNumberFormat="1" applyFont="1" applyFill="1" applyBorder="1" applyAlignment="1">
      <alignment horizontal="centerContinuous"/>
    </xf>
    <xf numFmtId="2" fontId="66" fillId="5" borderId="30" xfId="0" applyNumberFormat="1" applyFont="1" applyFill="1" applyBorder="1" applyAlignment="1">
      <alignment horizontal="centerContinuous"/>
    </xf>
    <xf numFmtId="0" fontId="66" fillId="5" borderId="30" xfId="0" applyFont="1" applyFill="1" applyBorder="1" applyAlignment="1">
      <alignment horizontal="centerContinuous"/>
    </xf>
    <xf numFmtId="165" fontId="66" fillId="5" borderId="30" xfId="15" applyNumberFormat="1" applyFont="1" applyFill="1" applyBorder="1" applyAlignment="1">
      <alignment horizontal="centerContinuous"/>
    </xf>
    <xf numFmtId="165" fontId="66" fillId="5" borderId="59" xfId="15" applyNumberFormat="1" applyFont="1" applyFill="1" applyBorder="1" applyAlignment="1">
      <alignment horizontal="center" vertical="center" wrapText="1"/>
    </xf>
    <xf numFmtId="165" fontId="66" fillId="5" borderId="60" xfId="15" applyNumberFormat="1" applyFont="1" applyFill="1" applyBorder="1" applyAlignment="1">
      <alignment horizontal="center" vertical="center" wrapText="1"/>
    </xf>
    <xf numFmtId="2" fontId="66" fillId="5" borderId="60" xfId="15" applyNumberFormat="1" applyFont="1" applyFill="1" applyBorder="1" applyAlignment="1">
      <alignment horizontal="center" vertical="center" wrapText="1"/>
    </xf>
    <xf numFmtId="0" fontId="66" fillId="5" borderId="60" xfId="0" applyFont="1" applyFill="1" applyBorder="1" applyAlignment="1">
      <alignment horizontal="center" vertical="center" wrapText="1"/>
    </xf>
    <xf numFmtId="165" fontId="66" fillId="5" borderId="71" xfId="15" applyNumberFormat="1" applyFont="1" applyFill="1" applyBorder="1" applyAlignment="1">
      <alignment horizontal="center" vertical="center" wrapText="1"/>
    </xf>
    <xf numFmtId="165" fontId="67" fillId="5" borderId="58" xfId="0" applyNumberFormat="1" applyFont="1" applyFill="1" applyBorder="1" applyAlignment="1">
      <alignment/>
    </xf>
    <xf numFmtId="165" fontId="67" fillId="5" borderId="6" xfId="0" applyNumberFormat="1" applyFont="1" applyFill="1" applyBorder="1" applyAlignment="1">
      <alignment/>
    </xf>
    <xf numFmtId="2" fontId="67" fillId="5" borderId="11" xfId="15" applyNumberFormat="1" applyFont="1" applyFill="1" applyBorder="1" applyAlignment="1">
      <alignment horizontal="center"/>
    </xf>
    <xf numFmtId="2" fontId="67" fillId="5" borderId="11" xfId="0" applyNumberFormat="1" applyFont="1" applyFill="1" applyBorder="1" applyAlignment="1">
      <alignment horizontal="center"/>
    </xf>
    <xf numFmtId="165" fontId="67" fillId="5" borderId="12" xfId="15" applyNumberFormat="1" applyFont="1" applyFill="1" applyBorder="1" applyAlignment="1">
      <alignment/>
    </xf>
    <xf numFmtId="165" fontId="67" fillId="5" borderId="45" xfId="0" applyNumberFormat="1" applyFont="1" applyFill="1" applyBorder="1" applyAlignment="1">
      <alignment/>
    </xf>
    <xf numFmtId="165" fontId="67" fillId="5" borderId="10" xfId="0" applyNumberFormat="1" applyFont="1" applyFill="1" applyBorder="1" applyAlignment="1">
      <alignment/>
    </xf>
    <xf numFmtId="2" fontId="67" fillId="5" borderId="10" xfId="15" applyNumberFormat="1" applyFont="1" applyFill="1" applyBorder="1" applyAlignment="1">
      <alignment horizontal="center"/>
    </xf>
    <xf numFmtId="2" fontId="66" fillId="5" borderId="10" xfId="0" applyNumberFormat="1" applyFont="1" applyFill="1" applyBorder="1" applyAlignment="1">
      <alignment horizontal="center"/>
    </xf>
    <xf numFmtId="165" fontId="67" fillId="5" borderId="10" xfId="0" applyNumberFormat="1" applyFont="1" applyFill="1" applyBorder="1" applyAlignment="1">
      <alignment horizontal="center"/>
    </xf>
    <xf numFmtId="165" fontId="66" fillId="5" borderId="46" xfId="15" applyNumberFormat="1" applyFont="1" applyFill="1" applyBorder="1" applyAlignment="1">
      <alignment/>
    </xf>
    <xf numFmtId="165" fontId="67" fillId="5" borderId="47" xfId="0" applyNumberFormat="1" applyFont="1" applyFill="1" applyBorder="1" applyAlignment="1">
      <alignment/>
    </xf>
    <xf numFmtId="165" fontId="67" fillId="5" borderId="40" xfId="0" applyNumberFormat="1" applyFont="1" applyFill="1" applyBorder="1" applyAlignment="1">
      <alignment/>
    </xf>
    <xf numFmtId="165" fontId="67" fillId="5" borderId="39" xfId="0" applyNumberFormat="1" applyFont="1" applyFill="1" applyBorder="1" applyAlignment="1">
      <alignment/>
    </xf>
    <xf numFmtId="2" fontId="67" fillId="5" borderId="39" xfId="15" applyNumberFormat="1" applyFont="1" applyFill="1" applyBorder="1" applyAlignment="1">
      <alignment horizontal="center"/>
    </xf>
    <xf numFmtId="2" fontId="67" fillId="5" borderId="39" xfId="0" applyNumberFormat="1" applyFont="1" applyFill="1" applyBorder="1" applyAlignment="1">
      <alignment horizontal="center"/>
    </xf>
    <xf numFmtId="165" fontId="67" fillId="5" borderId="39" xfId="0" applyNumberFormat="1" applyFont="1" applyFill="1" applyBorder="1" applyAlignment="1">
      <alignment horizontal="center"/>
    </xf>
    <xf numFmtId="165" fontId="67" fillId="5" borderId="48" xfId="15" applyNumberFormat="1" applyFont="1" applyFill="1" applyBorder="1" applyAlignment="1">
      <alignment/>
    </xf>
    <xf numFmtId="165" fontId="66" fillId="5" borderId="59" xfId="0" applyNumberFormat="1" applyFont="1" applyFill="1" applyBorder="1" applyAlignment="1">
      <alignment/>
    </xf>
    <xf numFmtId="165" fontId="66" fillId="5" borderId="60" xfId="0" applyNumberFormat="1" applyFont="1" applyFill="1" applyBorder="1" applyAlignment="1">
      <alignment/>
    </xf>
    <xf numFmtId="2" fontId="66" fillId="5" borderId="60" xfId="15" applyNumberFormat="1" applyFont="1" applyFill="1" applyBorder="1" applyAlignment="1">
      <alignment horizontal="center"/>
    </xf>
    <xf numFmtId="2" fontId="66" fillId="5" borderId="60" xfId="0" applyNumberFormat="1" applyFont="1" applyFill="1" applyBorder="1" applyAlignment="1">
      <alignment horizontal="center"/>
    </xf>
    <xf numFmtId="165" fontId="66" fillId="5" borderId="60" xfId="0" applyNumberFormat="1" applyFont="1" applyFill="1" applyBorder="1" applyAlignment="1">
      <alignment horizontal="center"/>
    </xf>
    <xf numFmtId="165" fontId="66" fillId="5" borderId="61" xfId="15" applyNumberFormat="1" applyFont="1" applyFill="1" applyBorder="1" applyAlignment="1">
      <alignment/>
    </xf>
    <xf numFmtId="165" fontId="67" fillId="5" borderId="0" xfId="0" applyNumberFormat="1" applyFont="1" applyFill="1" applyBorder="1" applyAlignment="1">
      <alignment/>
    </xf>
    <xf numFmtId="2" fontId="67" fillId="5" borderId="0" xfId="15" applyNumberFormat="1" applyFont="1" applyFill="1" applyBorder="1" applyAlignment="1">
      <alignment horizontal="center"/>
    </xf>
    <xf numFmtId="2" fontId="67" fillId="5" borderId="0" xfId="0" applyNumberFormat="1" applyFont="1" applyFill="1" applyBorder="1" applyAlignment="1">
      <alignment horizontal="center"/>
    </xf>
    <xf numFmtId="165" fontId="67" fillId="5" borderId="0" xfId="0" applyNumberFormat="1" applyFont="1" applyFill="1" applyBorder="1" applyAlignment="1">
      <alignment horizontal="center"/>
    </xf>
    <xf numFmtId="165" fontId="67" fillId="5" borderId="0" xfId="15" applyNumberFormat="1" applyFont="1" applyFill="1" applyBorder="1" applyAlignment="1">
      <alignment/>
    </xf>
    <xf numFmtId="165" fontId="67" fillId="5" borderId="11" xfId="0" applyNumberFormat="1" applyFont="1" applyFill="1" applyBorder="1" applyAlignment="1">
      <alignment/>
    </xf>
    <xf numFmtId="165" fontId="67" fillId="5" borderId="11" xfId="0" applyNumberFormat="1" applyFont="1" applyFill="1" applyBorder="1" applyAlignment="1">
      <alignment horizontal="center"/>
    </xf>
    <xf numFmtId="2" fontId="67" fillId="5" borderId="10" xfId="0" applyNumberFormat="1" applyFont="1" applyFill="1" applyBorder="1" applyAlignment="1">
      <alignment horizontal="center"/>
    </xf>
    <xf numFmtId="165" fontId="67" fillId="5" borderId="46" xfId="15" applyNumberFormat="1" applyFont="1" applyFill="1" applyBorder="1" applyAlignment="1">
      <alignment/>
    </xf>
    <xf numFmtId="165" fontId="67" fillId="5" borderId="14" xfId="0" applyNumberFormat="1" applyFont="1" applyFill="1" applyBorder="1" applyAlignment="1">
      <alignment/>
    </xf>
    <xf numFmtId="165" fontId="67" fillId="5" borderId="16" xfId="0" applyNumberFormat="1" applyFont="1" applyFill="1" applyBorder="1" applyAlignment="1">
      <alignment/>
    </xf>
    <xf numFmtId="165" fontId="67" fillId="5" borderId="4" xfId="0" applyNumberFormat="1" applyFont="1" applyFill="1" applyBorder="1" applyAlignment="1">
      <alignment/>
    </xf>
    <xf numFmtId="2" fontId="67" fillId="5" borderId="16" xfId="15" applyNumberFormat="1" applyFont="1" applyFill="1" applyBorder="1" applyAlignment="1">
      <alignment horizontal="center"/>
    </xf>
    <xf numFmtId="2" fontId="67" fillId="5" borderId="16" xfId="0" applyNumberFormat="1" applyFont="1" applyFill="1" applyBorder="1" applyAlignment="1">
      <alignment horizontal="center"/>
    </xf>
    <xf numFmtId="165" fontId="67" fillId="5" borderId="16" xfId="0" applyNumberFormat="1" applyFont="1" applyFill="1" applyBorder="1" applyAlignment="1">
      <alignment horizontal="center"/>
    </xf>
    <xf numFmtId="165" fontId="67" fillId="5" borderId="17" xfId="15" applyNumberFormat="1" applyFont="1" applyFill="1" applyBorder="1" applyAlignment="1">
      <alignment/>
    </xf>
    <xf numFmtId="165" fontId="67" fillId="5" borderId="35" xfId="0" applyNumberFormat="1" applyFont="1" applyFill="1" applyBorder="1" applyAlignment="1">
      <alignment/>
    </xf>
    <xf numFmtId="165" fontId="66" fillId="5" borderId="35" xfId="0" applyNumberFormat="1" applyFont="1" applyFill="1" applyBorder="1" applyAlignment="1">
      <alignment/>
    </xf>
    <xf numFmtId="2" fontId="66" fillId="5" borderId="35" xfId="15" applyNumberFormat="1" applyFont="1" applyFill="1" applyBorder="1" applyAlignment="1">
      <alignment horizontal="center"/>
    </xf>
    <xf numFmtId="2" fontId="66" fillId="5" borderId="35" xfId="0" applyNumberFormat="1" applyFont="1" applyFill="1" applyBorder="1" applyAlignment="1">
      <alignment horizontal="center"/>
    </xf>
    <xf numFmtId="165" fontId="66" fillId="5" borderId="35" xfId="0" applyNumberFormat="1" applyFont="1" applyFill="1" applyBorder="1" applyAlignment="1">
      <alignment horizontal="center"/>
    </xf>
    <xf numFmtId="165" fontId="66" fillId="5" borderId="35" xfId="15" applyNumberFormat="1" applyFont="1" applyFill="1" applyBorder="1" applyAlignment="1">
      <alignment/>
    </xf>
    <xf numFmtId="165" fontId="67" fillId="5" borderId="59" xfId="0" applyNumberFormat="1" applyFont="1" applyFill="1" applyBorder="1" applyAlignment="1">
      <alignment/>
    </xf>
    <xf numFmtId="165" fontId="67" fillId="5" borderId="60" xfId="0" applyNumberFormat="1" applyFont="1" applyFill="1" applyBorder="1" applyAlignment="1">
      <alignment/>
    </xf>
    <xf numFmtId="2" fontId="67" fillId="5" borderId="60" xfId="15" applyNumberFormat="1" applyFont="1" applyFill="1" applyBorder="1" applyAlignment="1">
      <alignment horizontal="center"/>
    </xf>
    <xf numFmtId="43" fontId="67" fillId="5" borderId="60" xfId="0" applyNumberFormat="1" applyFont="1" applyFill="1" applyBorder="1" applyAlignment="1">
      <alignment horizontal="center"/>
    </xf>
    <xf numFmtId="165" fontId="67" fillId="5" borderId="60" xfId="0" applyNumberFormat="1" applyFont="1" applyFill="1" applyBorder="1" applyAlignment="1">
      <alignment horizontal="center"/>
    </xf>
    <xf numFmtId="165" fontId="67" fillId="5" borderId="61" xfId="15" applyNumberFormat="1" applyFont="1" applyFill="1" applyBorder="1" applyAlignment="1">
      <alignment/>
    </xf>
    <xf numFmtId="165" fontId="0" fillId="0" borderId="50" xfId="0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165" fontId="0" fillId="0" borderId="51" xfId="0" applyNumberFormat="1" applyFont="1" applyFill="1" applyBorder="1" applyAlignment="1">
      <alignment/>
    </xf>
    <xf numFmtId="2" fontId="0" fillId="0" borderId="50" xfId="15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/>
    </xf>
    <xf numFmtId="165" fontId="0" fillId="0" borderId="45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2" fontId="0" fillId="0" borderId="45" xfId="15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2" fontId="0" fillId="0" borderId="14" xfId="15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4" fontId="0" fillId="0" borderId="23" xfId="15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26" xfId="0" applyNumberFormat="1" applyFont="1" applyFill="1" applyBorder="1" applyAlignment="1">
      <alignment/>
    </xf>
    <xf numFmtId="2" fontId="0" fillId="0" borderId="58" xfId="15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64" fontId="0" fillId="0" borderId="81" xfId="15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/>
    </xf>
    <xf numFmtId="165" fontId="5" fillId="0" borderId="38" xfId="0" applyNumberFormat="1" applyFont="1" applyFill="1" applyBorder="1" applyAlignment="1">
      <alignment horizontal="center"/>
    </xf>
    <xf numFmtId="2" fontId="5" fillId="0" borderId="46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164" fontId="0" fillId="0" borderId="82" xfId="15" applyNumberFormat="1" applyFont="1" applyFill="1" applyBorder="1" applyAlignment="1">
      <alignment/>
    </xf>
    <xf numFmtId="165" fontId="0" fillId="0" borderId="69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65" fontId="0" fillId="0" borderId="58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5" fontId="5" fillId="0" borderId="34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62" xfId="0" applyNumberFormat="1" applyFont="1" applyFill="1" applyBorder="1" applyAlignment="1">
      <alignment/>
    </xf>
    <xf numFmtId="165" fontId="0" fillId="0" borderId="63" xfId="0" applyNumberFormat="1" applyFont="1" applyFill="1" applyBorder="1" applyAlignment="1">
      <alignment/>
    </xf>
    <xf numFmtId="165" fontId="0" fillId="0" borderId="64" xfId="0" applyNumberFormat="1" applyFont="1" applyFill="1" applyBorder="1" applyAlignment="1">
      <alignment/>
    </xf>
    <xf numFmtId="165" fontId="5" fillId="2" borderId="63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3" borderId="19" xfId="0" applyFont="1" applyFill="1" applyBorder="1" applyAlignment="1">
      <alignment horizontal="center" vertical="top" wrapText="1"/>
    </xf>
    <xf numFmtId="1" fontId="1" fillId="13" borderId="65" xfId="0" applyNumberFormat="1" applyFont="1" applyFill="1" applyBorder="1" applyAlignment="1">
      <alignment/>
    </xf>
    <xf numFmtId="1" fontId="1" fillId="13" borderId="45" xfId="0" applyNumberFormat="1" applyFont="1" applyFill="1" applyBorder="1" applyAlignment="1">
      <alignment/>
    </xf>
    <xf numFmtId="43" fontId="1" fillId="13" borderId="45" xfId="15" applyNumberFormat="1" applyFont="1" applyFill="1" applyBorder="1" applyAlignment="1">
      <alignment/>
    </xf>
    <xf numFmtId="43" fontId="1" fillId="13" borderId="14" xfId="15" applyNumberFormat="1" applyFont="1" applyFill="1" applyBorder="1" applyAlignment="1">
      <alignment/>
    </xf>
    <xf numFmtId="165" fontId="1" fillId="13" borderId="65" xfId="0" applyNumberFormat="1" applyFont="1" applyFill="1" applyBorder="1" applyAlignment="1">
      <alignment/>
    </xf>
    <xf numFmtId="165" fontId="1" fillId="13" borderId="45" xfId="15" applyNumberFormat="1" applyFont="1" applyFill="1" applyBorder="1" applyAlignment="1">
      <alignment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4" xfId="0" applyBorder="1" applyAlignment="1">
      <alignment/>
    </xf>
    <xf numFmtId="0" fontId="1" fillId="13" borderId="45" xfId="0" applyFont="1" applyFill="1" applyBorder="1" applyAlignment="1">
      <alignment/>
    </xf>
    <xf numFmtId="165" fontId="1" fillId="13" borderId="0" xfId="0" applyNumberFormat="1" applyFont="1" applyFill="1" applyBorder="1" applyAlignment="1">
      <alignment/>
    </xf>
    <xf numFmtId="0" fontId="1" fillId="13" borderId="0" xfId="0" applyFont="1" applyFill="1" applyBorder="1" applyAlignment="1">
      <alignment/>
    </xf>
    <xf numFmtId="1" fontId="1" fillId="13" borderId="0" xfId="0" applyNumberFormat="1" applyFont="1" applyFill="1" applyBorder="1" applyAlignment="1">
      <alignment/>
    </xf>
    <xf numFmtId="43" fontId="1" fillId="13" borderId="0" xfId="15" applyNumberFormat="1" applyFont="1" applyFill="1" applyBorder="1" applyAlignment="1">
      <alignment/>
    </xf>
    <xf numFmtId="0" fontId="31" fillId="13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5" fontId="68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/>
    </xf>
    <xf numFmtId="15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5" fontId="69" fillId="0" borderId="0" xfId="0" applyNumberFormat="1" applyFont="1" applyFill="1" applyBorder="1" applyAlignment="1">
      <alignment horizontal="center"/>
    </xf>
    <xf numFmtId="17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 wrapText="1"/>
    </xf>
    <xf numFmtId="0" fontId="61" fillId="0" borderId="0" xfId="0" applyFont="1" applyFill="1" applyBorder="1" applyAlignment="1">
      <alignment/>
    </xf>
    <xf numFmtId="15" fontId="61" fillId="0" borderId="0" xfId="0" applyNumberFormat="1" applyFont="1" applyFill="1" applyBorder="1" applyAlignment="1">
      <alignment horizontal="center"/>
    </xf>
    <xf numFmtId="17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15" fontId="71" fillId="0" borderId="0" xfId="0" applyNumberFormat="1" applyFont="1" applyFill="1" applyBorder="1" applyAlignment="1">
      <alignment horizontal="center"/>
    </xf>
    <xf numFmtId="17" fontId="71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7" fillId="0" borderId="5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0" fontId="69" fillId="0" borderId="13" xfId="0" applyFont="1" applyFill="1" applyBorder="1" applyAlignment="1">
      <alignment/>
    </xf>
    <xf numFmtId="0" fontId="72" fillId="0" borderId="5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69" fillId="4" borderId="13" xfId="0" applyFont="1" applyFill="1" applyBorder="1" applyAlignment="1">
      <alignment/>
    </xf>
    <xf numFmtId="0" fontId="69" fillId="4" borderId="0" xfId="0" applyFont="1" applyFill="1" applyBorder="1" applyAlignment="1">
      <alignment/>
    </xf>
    <xf numFmtId="15" fontId="69" fillId="4" borderId="0" xfId="0" applyNumberFormat="1" applyFont="1" applyFill="1" applyBorder="1" applyAlignment="1">
      <alignment horizontal="center"/>
    </xf>
    <xf numFmtId="0" fontId="69" fillId="4" borderId="0" xfId="0" applyFont="1" applyFill="1" applyBorder="1" applyAlignment="1">
      <alignment horizontal="center"/>
    </xf>
    <xf numFmtId="17" fontId="69" fillId="4" borderId="0" xfId="0" applyNumberFormat="1" applyFont="1" applyFill="1" applyBorder="1" applyAlignment="1">
      <alignment horizontal="center"/>
    </xf>
    <xf numFmtId="0" fontId="72" fillId="4" borderId="5" xfId="0" applyFont="1" applyFill="1" applyBorder="1" applyAlignment="1">
      <alignment/>
    </xf>
    <xf numFmtId="17" fontId="0" fillId="0" borderId="0" xfId="0" applyNumberFormat="1" applyAlignment="1">
      <alignment/>
    </xf>
    <xf numFmtId="15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15" fontId="42" fillId="4" borderId="0" xfId="0" applyNumberFormat="1" applyFont="1" applyFill="1" applyAlignment="1">
      <alignment horizontal="center"/>
    </xf>
    <xf numFmtId="0" fontId="29" fillId="13" borderId="0" xfId="0" applyFont="1" applyFill="1" applyBorder="1" applyAlignment="1">
      <alignment horizontal="center" wrapText="1"/>
    </xf>
    <xf numFmtId="0" fontId="24" fillId="13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5" fontId="51" fillId="0" borderId="0" xfId="0" applyNumberFormat="1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5" fontId="42" fillId="0" borderId="0" xfId="0" applyNumberFormat="1" applyFont="1" applyFill="1" applyBorder="1" applyAlignment="1">
      <alignment horizontal="center"/>
    </xf>
    <xf numFmtId="17" fontId="42" fillId="0" borderId="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51" fillId="0" borderId="13" xfId="0" applyFont="1" applyFill="1" applyBorder="1" applyAlignment="1">
      <alignment horizontal="left"/>
    </xf>
    <xf numFmtId="0" fontId="51" fillId="0" borderId="5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left"/>
    </xf>
    <xf numFmtId="0" fontId="42" fillId="0" borderId="5" xfId="0" applyFont="1" applyFill="1" applyBorder="1" applyAlignment="1">
      <alignment horizontal="center"/>
    </xf>
    <xf numFmtId="17" fontId="65" fillId="0" borderId="0" xfId="0" applyNumberFormat="1" applyFont="1" applyFill="1" applyBorder="1" applyAlignment="1" quotePrefix="1">
      <alignment horizontal="center"/>
    </xf>
    <xf numFmtId="0" fontId="0" fillId="3" borderId="52" xfId="0" applyFill="1" applyBorder="1" applyAlignment="1">
      <alignment vertical="top" wrapText="1"/>
    </xf>
    <xf numFmtId="0" fontId="0" fillId="3" borderId="41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42" xfId="0" applyFill="1" applyBorder="1" applyAlignment="1">
      <alignment vertical="top" wrapText="1"/>
    </xf>
    <xf numFmtId="0" fontId="0" fillId="3" borderId="43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2" fillId="0" borderId="47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Fill="1" applyBorder="1" applyAlignment="1">
      <alignment/>
    </xf>
    <xf numFmtId="3" fontId="43" fillId="0" borderId="0" xfId="0" applyNumberFormat="1" applyFont="1" applyFill="1" applyAlignment="1">
      <alignment/>
    </xf>
    <xf numFmtId="17" fontId="43" fillId="0" borderId="0" xfId="0" applyNumberFormat="1" applyFont="1" applyFill="1" applyBorder="1" applyAlignment="1">
      <alignment/>
    </xf>
    <xf numFmtId="3" fontId="46" fillId="0" borderId="0" xfId="0" applyNumberFormat="1" applyFont="1" applyFill="1" applyAlignment="1">
      <alignment/>
    </xf>
    <xf numFmtId="17" fontId="16" fillId="0" borderId="0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 horizontal="center"/>
    </xf>
    <xf numFmtId="15" fontId="21" fillId="0" borderId="35" xfId="0" applyNumberFormat="1" applyFont="1" applyFill="1" applyBorder="1" applyAlignment="1">
      <alignment horizontal="center"/>
    </xf>
    <xf numFmtId="17" fontId="21" fillId="0" borderId="35" xfId="0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73" fillId="0" borderId="13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15" fontId="73" fillId="0" borderId="0" xfId="0" applyNumberFormat="1" applyFont="1" applyFill="1" applyBorder="1" applyAlignment="1">
      <alignment horizontal="center"/>
    </xf>
    <xf numFmtId="17" fontId="73" fillId="0" borderId="0" xfId="0" applyNumberFormat="1" applyFont="1" applyFill="1" applyBorder="1" applyAlignment="1">
      <alignment horizontal="center"/>
    </xf>
    <xf numFmtId="0" fontId="73" fillId="0" borderId="5" xfId="0" applyFont="1" applyFill="1" applyBorder="1" applyAlignment="1">
      <alignment horizontal="center"/>
    </xf>
    <xf numFmtId="0" fontId="43" fillId="13" borderId="0" xfId="0" applyFont="1" applyFill="1" applyBorder="1" applyAlignment="1">
      <alignment/>
    </xf>
    <xf numFmtId="15" fontId="21" fillId="0" borderId="0" xfId="0" applyNumberFormat="1" applyFont="1" applyFill="1" applyBorder="1" applyAlignment="1" quotePrefix="1">
      <alignment horizontal="center"/>
    </xf>
    <xf numFmtId="15" fontId="16" fillId="2" borderId="0" xfId="0" applyNumberFormat="1" applyFont="1" applyFill="1" applyBorder="1" applyAlignment="1">
      <alignment/>
    </xf>
    <xf numFmtId="17" fontId="16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6" fillId="0" borderId="0" xfId="15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41" fillId="0" borderId="0" xfId="21" applyFont="1" applyFill="1" applyBorder="1" applyAlignment="1">
      <alignment/>
    </xf>
    <xf numFmtId="165" fontId="63" fillId="0" borderId="0" xfId="15" applyNumberFormat="1" applyFont="1" applyFill="1" applyBorder="1" applyAlignment="1">
      <alignment/>
    </xf>
    <xf numFmtId="1" fontId="74" fillId="0" borderId="0" xfId="0" applyNumberFormat="1" applyFont="1" applyFill="1" applyBorder="1" applyAlignment="1">
      <alignment/>
    </xf>
    <xf numFmtId="165" fontId="76" fillId="0" borderId="0" xfId="15" applyNumberFormat="1" applyFont="1" applyFill="1" applyBorder="1" applyAlignment="1">
      <alignment/>
    </xf>
    <xf numFmtId="166" fontId="77" fillId="0" borderId="0" xfId="0" applyNumberFormat="1" applyFont="1" applyFill="1" applyBorder="1" applyAlignment="1">
      <alignment/>
    </xf>
    <xf numFmtId="165" fontId="77" fillId="0" borderId="0" xfId="0" applyNumberFormat="1" applyFont="1" applyFill="1" applyBorder="1" applyAlignment="1">
      <alignment/>
    </xf>
    <xf numFmtId="2" fontId="77" fillId="0" borderId="0" xfId="15" applyNumberFormat="1" applyFont="1" applyFill="1" applyBorder="1" applyAlignment="1">
      <alignment horizontal="center"/>
    </xf>
    <xf numFmtId="43" fontId="77" fillId="0" borderId="0" xfId="0" applyNumberFormat="1" applyFont="1" applyFill="1" applyBorder="1" applyAlignment="1">
      <alignment horizontal="center"/>
    </xf>
    <xf numFmtId="165" fontId="77" fillId="0" borderId="0" xfId="0" applyNumberFormat="1" applyFont="1" applyFill="1" applyBorder="1" applyAlignment="1">
      <alignment horizontal="center"/>
    </xf>
    <xf numFmtId="165" fontId="77" fillId="0" borderId="0" xfId="15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165" fontId="75" fillId="0" borderId="0" xfId="0" applyNumberFormat="1" applyFont="1" applyFill="1" applyBorder="1" applyAlignment="1">
      <alignment/>
    </xf>
    <xf numFmtId="2" fontId="75" fillId="0" borderId="0" xfId="15" applyNumberFormat="1" applyFont="1" applyFill="1" applyBorder="1" applyAlignment="1">
      <alignment horizontal="center"/>
    </xf>
    <xf numFmtId="43" fontId="75" fillId="0" borderId="0" xfId="0" applyNumberFormat="1" applyFont="1" applyFill="1" applyBorder="1" applyAlignment="1">
      <alignment horizontal="center"/>
    </xf>
    <xf numFmtId="165" fontId="75" fillId="0" borderId="0" xfId="0" applyNumberFormat="1" applyFont="1" applyFill="1" applyBorder="1" applyAlignment="1">
      <alignment horizontal="center"/>
    </xf>
    <xf numFmtId="165" fontId="75" fillId="0" borderId="0" xfId="15" applyNumberFormat="1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165" fontId="79" fillId="0" borderId="0" xfId="15" applyNumberFormat="1" applyFont="1" applyFill="1" applyBorder="1" applyAlignment="1">
      <alignment horizontal="right"/>
    </xf>
    <xf numFmtId="2" fontId="80" fillId="5" borderId="39" xfId="15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2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8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6" fontId="12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15" fontId="0" fillId="0" borderId="0" xfId="0" applyNumberFormat="1" applyFill="1" applyAlignment="1">
      <alignment horizontal="right"/>
    </xf>
    <xf numFmtId="17" fontId="0" fillId="0" borderId="0" xfId="0" applyNumberFormat="1" applyFill="1" applyAlignment="1">
      <alignment horizontal="right"/>
    </xf>
    <xf numFmtId="0" fontId="5" fillId="0" borderId="0" xfId="0" applyFont="1" applyFill="1" applyAlignment="1">
      <alignment/>
    </xf>
    <xf numFmtId="15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9" fontId="0" fillId="0" borderId="0" xfId="21" applyFill="1" applyAlignment="1">
      <alignment/>
    </xf>
    <xf numFmtId="15" fontId="5" fillId="4" borderId="72" xfId="0" applyNumberFormat="1" applyFont="1" applyFill="1" applyBorder="1" applyAlignment="1">
      <alignment horizontal="right"/>
    </xf>
    <xf numFmtId="17" fontId="5" fillId="4" borderId="3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7" fontId="5" fillId="2" borderId="3" xfId="0" applyNumberFormat="1" applyFont="1" applyFill="1" applyBorder="1" applyAlignment="1">
      <alignment horizontal="right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horizontal="centerContinuous"/>
    </xf>
    <xf numFmtId="43" fontId="82" fillId="0" borderId="0" xfId="0" applyNumberFormat="1" applyFont="1" applyFill="1" applyAlignment="1">
      <alignment horizontal="centerContinuous"/>
    </xf>
    <xf numFmtId="2" fontId="82" fillId="0" borderId="0" xfId="0" applyNumberFormat="1" applyFont="1" applyFill="1" applyAlignment="1">
      <alignment horizontal="centerContinuous"/>
    </xf>
    <xf numFmtId="17" fontId="82" fillId="0" borderId="0" xfId="0" applyNumberFormat="1" applyFont="1" applyFill="1" applyAlignment="1" quotePrefix="1">
      <alignment horizontal="centerContinuous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81" fillId="0" borderId="0" xfId="0" applyFont="1" applyFill="1" applyAlignment="1">
      <alignment horizontal="right"/>
    </xf>
    <xf numFmtId="167" fontId="5" fillId="0" borderId="0" xfId="0" applyNumberFormat="1" applyFont="1" applyFill="1" applyAlignment="1">
      <alignment/>
    </xf>
    <xf numFmtId="6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165" fontId="0" fillId="0" borderId="0" xfId="15" applyNumberFormat="1" applyFont="1" applyAlignment="1" quotePrefix="1">
      <alignment/>
    </xf>
    <xf numFmtId="0" fontId="48" fillId="0" borderId="0" xfId="0" applyFont="1" applyFill="1" applyAlignment="1">
      <alignment horizontal="centerContinuous"/>
    </xf>
    <xf numFmtId="17" fontId="48" fillId="0" borderId="0" xfId="0" applyNumberFormat="1" applyFont="1" applyFill="1" applyAlignment="1" quotePrefix="1">
      <alignment horizontal="centerContinuous"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6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0" fontId="0" fillId="8" borderId="62" xfId="0" applyFont="1" applyFill="1" applyBorder="1" applyAlignment="1">
      <alignment/>
    </xf>
    <xf numFmtId="0" fontId="0" fillId="8" borderId="63" xfId="0" applyFont="1" applyFill="1" applyBorder="1" applyAlignment="1">
      <alignment/>
    </xf>
    <xf numFmtId="2" fontId="0" fillId="8" borderId="12" xfId="0" applyNumberFormat="1" applyFont="1" applyFill="1" applyBorder="1" applyAlignment="1">
      <alignment horizontal="center"/>
    </xf>
    <xf numFmtId="2" fontId="5" fillId="8" borderId="45" xfId="15" applyNumberFormat="1" applyFont="1" applyFill="1" applyBorder="1" applyAlignment="1">
      <alignment horizontal="center"/>
    </xf>
    <xf numFmtId="2" fontId="0" fillId="8" borderId="45" xfId="15" applyNumberFormat="1" applyFont="1" applyFill="1" applyBorder="1" applyAlignment="1">
      <alignment horizontal="center"/>
    </xf>
    <xf numFmtId="2" fontId="5" fillId="8" borderId="46" xfId="0" applyNumberFormat="1" applyFont="1" applyFill="1" applyBorder="1" applyAlignment="1">
      <alignment horizontal="center"/>
    </xf>
    <xf numFmtId="2" fontId="0" fillId="8" borderId="58" xfId="15" applyNumberFormat="1" applyFont="1" applyFill="1" applyBorder="1" applyAlignment="1">
      <alignment horizontal="center"/>
    </xf>
    <xf numFmtId="0" fontId="5" fillId="8" borderId="63" xfId="0" applyFont="1" applyFill="1" applyBorder="1" applyAlignment="1">
      <alignment/>
    </xf>
    <xf numFmtId="2" fontId="0" fillId="8" borderId="4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23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1" fillId="0" borderId="83" xfId="0" applyFont="1" applyFill="1" applyBorder="1" applyAlignment="1">
      <alignment horizontal="right"/>
    </xf>
    <xf numFmtId="0" fontId="0" fillId="0" borderId="84" xfId="0" applyBorder="1" applyAlignment="1">
      <alignment/>
    </xf>
    <xf numFmtId="0" fontId="3" fillId="0" borderId="23" xfId="0" applyFont="1" applyFill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29" xfId="0" applyFont="1" applyFill="1" applyBorder="1" applyAlignment="1">
      <alignment horizontal="center"/>
    </xf>
    <xf numFmtId="165" fontId="5" fillId="0" borderId="29" xfId="15" applyNumberFormat="1" applyFont="1" applyFill="1" applyBorder="1" applyAlignment="1">
      <alignment horizontal="center"/>
    </xf>
    <xf numFmtId="165" fontId="5" fillId="0" borderId="30" xfId="15" applyNumberFormat="1" applyFont="1" applyFill="1" applyBorder="1" applyAlignment="1">
      <alignment horizontal="center"/>
    </xf>
    <xf numFmtId="165" fontId="5" fillId="0" borderId="31" xfId="15" applyNumberFormat="1" applyFont="1" applyFill="1" applyBorder="1" applyAlignment="1">
      <alignment horizontal="center"/>
    </xf>
    <xf numFmtId="164" fontId="5" fillId="0" borderId="29" xfId="15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29" fillId="0" borderId="8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3" fillId="0" borderId="81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7" fillId="3" borderId="82" xfId="0" applyFont="1" applyFill="1" applyBorder="1" applyAlignment="1">
      <alignment horizontal="left" vertical="top" wrapText="1"/>
    </xf>
    <xf numFmtId="0" fontId="27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left" vertical="top" wrapText="1"/>
    </xf>
    <xf numFmtId="0" fontId="27" fillId="3" borderId="1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72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5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25" fillId="0" borderId="82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16" fillId="3" borderId="13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7" fillId="3" borderId="5" xfId="0" applyFont="1" applyFill="1" applyBorder="1" applyAlignment="1">
      <alignment vertical="top" wrapText="1"/>
    </xf>
    <xf numFmtId="0" fontId="27" fillId="3" borderId="13" xfId="0" applyFont="1" applyFill="1" applyBorder="1" applyAlignment="1">
      <alignment vertical="top" wrapText="1"/>
    </xf>
    <xf numFmtId="0" fontId="27" fillId="3" borderId="72" xfId="0" applyFont="1" applyFill="1" applyBorder="1" applyAlignment="1">
      <alignment vertical="top" wrapText="1"/>
    </xf>
    <xf numFmtId="0" fontId="27" fillId="3" borderId="35" xfId="0" applyFont="1" applyFill="1" applyBorder="1" applyAlignment="1">
      <alignment vertical="top" wrapText="1"/>
    </xf>
    <xf numFmtId="0" fontId="27" fillId="3" borderId="3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16" fillId="0" borderId="52" xfId="0" applyFont="1" applyBorder="1" applyAlignment="1">
      <alignment/>
    </xf>
    <xf numFmtId="0" fontId="0" fillId="0" borderId="41" xfId="0" applyBorder="1" applyAlignment="1">
      <alignment/>
    </xf>
    <xf numFmtId="0" fontId="16" fillId="3" borderId="18" xfId="0" applyFont="1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0" fillId="3" borderId="4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7" fillId="3" borderId="85" xfId="0" applyFont="1" applyFill="1" applyBorder="1" applyAlignment="1">
      <alignment vertical="top" wrapText="1"/>
    </xf>
    <xf numFmtId="0" fontId="27" fillId="3" borderId="86" xfId="0" applyFont="1" applyFill="1" applyBorder="1" applyAlignment="1">
      <alignment vertical="top" wrapText="1"/>
    </xf>
    <xf numFmtId="0" fontId="18" fillId="0" borderId="72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27" fillId="0" borderId="72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 wrapText="1"/>
    </xf>
    <xf numFmtId="0" fontId="17" fillId="0" borderId="72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43" fillId="3" borderId="18" xfId="0" applyFont="1" applyFill="1" applyBorder="1" applyAlignment="1">
      <alignment horizontal="left" vertical="top" wrapText="1"/>
    </xf>
    <xf numFmtId="0" fontId="44" fillId="3" borderId="0" xfId="0" applyFont="1" applyFill="1" applyBorder="1" applyAlignment="1">
      <alignment horizontal="left" vertical="top" wrapText="1"/>
    </xf>
    <xf numFmtId="0" fontId="44" fillId="3" borderId="42" xfId="0" applyFont="1" applyFill="1" applyBorder="1" applyAlignment="1">
      <alignment horizontal="left" vertical="top" wrapText="1"/>
    </xf>
    <xf numFmtId="0" fontId="44" fillId="3" borderId="43" xfId="0" applyFont="1" applyFill="1" applyBorder="1" applyAlignment="1">
      <alignment horizontal="left" vertical="top" wrapText="1"/>
    </xf>
    <xf numFmtId="0" fontId="44" fillId="3" borderId="9" xfId="0" applyFont="1" applyFill="1" applyBorder="1" applyAlignment="1">
      <alignment horizontal="left" vertical="top" wrapText="1"/>
    </xf>
    <xf numFmtId="0" fontId="44" fillId="3" borderId="44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strike val="0"/>
        <color rgb="FFFFFFFF"/>
      </font>
      <border/>
    </dxf>
    <dxf>
      <font>
        <b/>
        <i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Engr Mgmt &amp; Sys Eng Support
Jobs; 8202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1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Summary!$E$64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Summary!$F$64:$Q$64</c:f>
              <c:numCache>
                <c:ptCount val="12"/>
                <c:pt idx="0">
                  <c:v>82</c:v>
                </c:pt>
                <c:pt idx="1">
                  <c:v>158</c:v>
                </c:pt>
                <c:pt idx="2">
                  <c:v>221</c:v>
                </c:pt>
                <c:pt idx="3">
                  <c:v>290</c:v>
                </c:pt>
                <c:pt idx="4">
                  <c:v>343</c:v>
                </c:pt>
                <c:pt idx="5">
                  <c:v>404</c:v>
                </c:pt>
                <c:pt idx="6">
                  <c:v>457</c:v>
                </c:pt>
                <c:pt idx="7">
                  <c:v>497</c:v>
                </c:pt>
                <c:pt idx="8">
                  <c:v>556</c:v>
                </c:pt>
                <c:pt idx="9">
                  <c:v>612</c:v>
                </c:pt>
                <c:pt idx="10">
                  <c:v>668</c:v>
                </c:pt>
                <c:pt idx="11">
                  <c:v>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Summary!$E$65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Summary!$F$65:$K$65</c:f>
              <c:numCache>
                <c:ptCount val="6"/>
                <c:pt idx="0">
                  <c:v>108</c:v>
                </c:pt>
                <c:pt idx="1">
                  <c:v>208</c:v>
                </c:pt>
                <c:pt idx="2">
                  <c:v>295</c:v>
                </c:pt>
                <c:pt idx="3">
                  <c:v>289.20299167</c:v>
                </c:pt>
                <c:pt idx="4">
                  <c:v>342.46</c:v>
                </c:pt>
                <c:pt idx="5">
                  <c:v>403.1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Summary!$E$66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Summary!$F$66:$K$66</c:f>
              <c:numCache>
                <c:ptCount val="6"/>
                <c:pt idx="0">
                  <c:v>59.59645</c:v>
                </c:pt>
                <c:pt idx="1">
                  <c:v>118.22819999999999</c:v>
                </c:pt>
                <c:pt idx="2">
                  <c:v>176.83109090857948</c:v>
                </c:pt>
                <c:pt idx="3">
                  <c:v>264.20509090857945</c:v>
                </c:pt>
                <c:pt idx="4">
                  <c:v>318.42909090857944</c:v>
                </c:pt>
                <c:pt idx="5">
                  <c:v>373.13109090857944</c:v>
                </c:pt>
              </c:numCache>
            </c:numRef>
          </c:val>
          <c:smooth val="0"/>
        </c:ser>
        <c:axId val="9978997"/>
        <c:axId val="22702110"/>
      </c:lineChart>
      <c:lineChart>
        <c:grouping val="standard"/>
        <c:varyColors val="0"/>
        <c:ser>
          <c:idx val="3"/>
          <c:order val="3"/>
          <c:tx>
            <c:strRef>
              <c:f>Summary!$E$67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Summary!$F$67:$K$67</c:f>
              <c:numCache>
                <c:ptCount val="6"/>
                <c:pt idx="0">
                  <c:v>1.8121884776693915</c:v>
                </c:pt>
                <c:pt idx="1">
                  <c:v>1.759309538671823</c:v>
                </c:pt>
                <c:pt idx="2">
                  <c:v>1.6682586669813233</c:v>
                </c:pt>
                <c:pt idx="3">
                  <c:v>1.0946155150737438</c:v>
                </c:pt>
                <c:pt idx="4">
                  <c:v>1.075467065596465</c:v>
                </c:pt>
                <c:pt idx="5">
                  <c:v>1.0803173732278537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Summary!$F$68:$K$68</c:f>
              <c:numCache>
                <c:ptCount val="6"/>
                <c:pt idx="0">
                  <c:v>1.3170731707317074</c:v>
                </c:pt>
                <c:pt idx="1">
                  <c:v>1.3164556962025316</c:v>
                </c:pt>
                <c:pt idx="2">
                  <c:v>1.334841628959276</c:v>
                </c:pt>
                <c:pt idx="3">
                  <c:v>0.9972516954137932</c:v>
                </c:pt>
                <c:pt idx="4">
                  <c:v>0.9984256559766763</c:v>
                </c:pt>
                <c:pt idx="5">
                  <c:v>0.9977722772277229</c:v>
                </c:pt>
              </c:numCache>
            </c:numRef>
          </c:val>
          <c:smooth val="0"/>
        </c:ser>
        <c:axId val="2992399"/>
        <c:axId val="26931592"/>
      </c:lineChart>
      <c:catAx>
        <c:axId val="997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02110"/>
        <c:crosses val="autoZero"/>
        <c:auto val="1"/>
        <c:lblOffset val="100"/>
        <c:noMultiLvlLbl val="0"/>
      </c:catAx>
      <c:valAx>
        <c:axId val="2270211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78997"/>
        <c:crossesAt val="1"/>
        <c:crossBetween val="midCat"/>
        <c:dispUnits/>
      </c:valAx>
      <c:catAx>
        <c:axId val="2992399"/>
        <c:scaling>
          <c:orientation val="minMax"/>
        </c:scaling>
        <c:axPos val="b"/>
        <c:delete val="1"/>
        <c:majorTickMark val="in"/>
        <c:minorTickMark val="none"/>
        <c:tickLblPos val="nextTo"/>
        <c:crossAx val="26931592"/>
        <c:crosses val="autoZero"/>
        <c:auto val="1"/>
        <c:lblOffset val="100"/>
        <c:noMultiLvlLbl val="0"/>
      </c:catAx>
      <c:valAx>
        <c:axId val="26931592"/>
        <c:scaling>
          <c:orientation val="minMax"/>
          <c:max val="1.9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992399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35"/>
          <c:y val="0.574"/>
          <c:w val="0.25875"/>
          <c:h val="0.226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Period Assy 
Jobs; 1802/1810/1815</a:t>
            </a:r>
          </a:p>
        </c:rich>
      </c:tx>
      <c:layout>
        <c:manualLayout>
          <c:xMode val="factor"/>
          <c:yMode val="factor"/>
          <c:x val="-0.00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97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Summary!$F$46:$Q$46</c:f>
              <c:numCache>
                <c:ptCount val="12"/>
                <c:pt idx="0">
                  <c:v>254.37</c:v>
                </c:pt>
                <c:pt idx="1">
                  <c:v>497.46000000000004</c:v>
                </c:pt>
                <c:pt idx="2">
                  <c:v>838.33</c:v>
                </c:pt>
                <c:pt idx="3">
                  <c:v>1170.53</c:v>
                </c:pt>
                <c:pt idx="4">
                  <c:v>1417.1</c:v>
                </c:pt>
                <c:pt idx="5">
                  <c:v>1754.71</c:v>
                </c:pt>
                <c:pt idx="6">
                  <c:v>1998.28</c:v>
                </c:pt>
                <c:pt idx="7">
                  <c:v>2223.27</c:v>
                </c:pt>
                <c:pt idx="8">
                  <c:v>2531.45</c:v>
                </c:pt>
                <c:pt idx="9">
                  <c:v>2783.46</c:v>
                </c:pt>
                <c:pt idx="10">
                  <c:v>3079.7200000000003</c:v>
                </c:pt>
                <c:pt idx="11">
                  <c:v>3346.46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Summary!$F$47:$K$47</c:f>
              <c:numCache>
                <c:ptCount val="6"/>
                <c:pt idx="0">
                  <c:v>254</c:v>
                </c:pt>
                <c:pt idx="1">
                  <c:v>494</c:v>
                </c:pt>
                <c:pt idx="2">
                  <c:v>808</c:v>
                </c:pt>
                <c:pt idx="3">
                  <c:v>1064.65386914</c:v>
                </c:pt>
                <c:pt idx="4">
                  <c:v>1359.15</c:v>
                </c:pt>
                <c:pt idx="5">
                  <c:v>1600.257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Summary!$F$48:$K$48</c:f>
              <c:numCache>
                <c:ptCount val="6"/>
                <c:pt idx="0">
                  <c:v>191.28094</c:v>
                </c:pt>
                <c:pt idx="1">
                  <c:v>363.58007999999995</c:v>
                </c:pt>
                <c:pt idx="2">
                  <c:v>571.3967854790535</c:v>
                </c:pt>
                <c:pt idx="3">
                  <c:v>851.3267854790536</c:v>
                </c:pt>
                <c:pt idx="4">
                  <c:v>1075.1187854790535</c:v>
                </c:pt>
                <c:pt idx="5">
                  <c:v>1226.7267854790534</c:v>
                </c:pt>
              </c:numCache>
            </c:numRef>
          </c:val>
          <c:smooth val="0"/>
        </c:ser>
        <c:axId val="40745577"/>
        <c:axId val="3116587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Summary!$F$49:$K$49</c:f>
              <c:numCache>
                <c:ptCount val="6"/>
                <c:pt idx="0">
                  <c:v>1.3278897521101685</c:v>
                </c:pt>
                <c:pt idx="1">
                  <c:v>1.358710301180417</c:v>
                </c:pt>
                <c:pt idx="2">
                  <c:v>1.4140786587075052</c:v>
                </c:pt>
                <c:pt idx="3">
                  <c:v>1.2505819002757024</c:v>
                </c:pt>
                <c:pt idx="4">
                  <c:v>1.2641858912309745</c:v>
                </c:pt>
                <c:pt idx="5">
                  <c:v>1.3044934038634186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Summary!$F$50:$K$50</c:f>
              <c:numCache>
                <c:ptCount val="6"/>
                <c:pt idx="0">
                  <c:v>0.9985454259543185</c:v>
                </c:pt>
                <c:pt idx="1">
                  <c:v>0.9930446669078921</c:v>
                </c:pt>
                <c:pt idx="2">
                  <c:v>0.9638209297054858</c:v>
                </c:pt>
                <c:pt idx="3">
                  <c:v>0.9095485541933996</c:v>
                </c:pt>
                <c:pt idx="4">
                  <c:v>0.959106626208454</c:v>
                </c:pt>
                <c:pt idx="5">
                  <c:v>0.9119780476545982</c:v>
                </c:pt>
              </c:numCache>
            </c:numRef>
          </c:val>
          <c:smooth val="0"/>
        </c:ser>
        <c:axId val="12057411"/>
        <c:axId val="41407836"/>
      </c:lineChart>
      <c:catAx>
        <c:axId val="4074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5874"/>
        <c:crosses val="autoZero"/>
        <c:auto val="1"/>
        <c:lblOffset val="100"/>
        <c:noMultiLvlLbl val="0"/>
      </c:catAx>
      <c:valAx>
        <c:axId val="31165874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745577"/>
        <c:crossesAt val="1"/>
        <c:crossBetween val="midCat"/>
        <c:dispUnits/>
      </c:valAx>
      <c:catAx>
        <c:axId val="12057411"/>
        <c:scaling>
          <c:orientation val="minMax"/>
        </c:scaling>
        <c:axPos val="b"/>
        <c:delete val="1"/>
        <c:majorTickMark val="in"/>
        <c:minorTickMark val="none"/>
        <c:tickLblPos val="nextTo"/>
        <c:crossAx val="41407836"/>
        <c:crosses val="autoZero"/>
        <c:auto val="1"/>
        <c:lblOffset val="100"/>
        <c:noMultiLvlLbl val="0"/>
      </c:catAx>
      <c:valAx>
        <c:axId val="41407836"/>
        <c:scaling>
          <c:orientation val="minMax"/>
          <c:max val="1.8"/>
        </c:scaling>
        <c:axPos val="l"/>
        <c:delete val="0"/>
        <c:numFmt formatCode="General" sourceLinked="1"/>
        <c:majorTickMark val="in"/>
        <c:minorTickMark val="none"/>
        <c:tickLblPos val="nextTo"/>
        <c:crossAx val="12057411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518"/>
          <c:w val="0.247"/>
          <c:h val="0.2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Winding Ops 
Jobs; 1451</a:t>
            </a:r>
          </a:p>
        </c:rich>
      </c:tx>
      <c:layout>
        <c:manualLayout>
          <c:xMode val="factor"/>
          <c:yMode val="factor"/>
          <c:x val="-0.00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1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Summary!$F$52:$Q$52</c:f>
              <c:numCache>
                <c:ptCount val="12"/>
                <c:pt idx="0">
                  <c:v>237</c:v>
                </c:pt>
                <c:pt idx="1">
                  <c:v>408</c:v>
                </c:pt>
                <c:pt idx="2">
                  <c:v>639</c:v>
                </c:pt>
                <c:pt idx="3">
                  <c:v>821</c:v>
                </c:pt>
                <c:pt idx="4">
                  <c:v>957</c:v>
                </c:pt>
                <c:pt idx="5">
                  <c:v>1170</c:v>
                </c:pt>
                <c:pt idx="6">
                  <c:v>1358</c:v>
                </c:pt>
                <c:pt idx="7">
                  <c:v>1491</c:v>
                </c:pt>
                <c:pt idx="8">
                  <c:v>1713</c:v>
                </c:pt>
                <c:pt idx="9">
                  <c:v>1924</c:v>
                </c:pt>
                <c:pt idx="10">
                  <c:v>2107</c:v>
                </c:pt>
                <c:pt idx="11">
                  <c:v>2316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Summary!$F$53:$K$53</c:f>
              <c:numCache>
                <c:ptCount val="6"/>
                <c:pt idx="0">
                  <c:v>236</c:v>
                </c:pt>
                <c:pt idx="1">
                  <c:v>412</c:v>
                </c:pt>
                <c:pt idx="2">
                  <c:v>711</c:v>
                </c:pt>
                <c:pt idx="3">
                  <c:v>946.2219701200002</c:v>
                </c:pt>
                <c:pt idx="4">
                  <c:v>1184</c:v>
                </c:pt>
                <c:pt idx="5">
                  <c:v>1439.27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Summary!$F$54:$K$54</c:f>
              <c:numCache>
                <c:ptCount val="6"/>
                <c:pt idx="0">
                  <c:v>283.70750000000004</c:v>
                </c:pt>
                <c:pt idx="1">
                  <c:v>502.50305000000003</c:v>
                </c:pt>
                <c:pt idx="2">
                  <c:v>659.790693632146</c:v>
                </c:pt>
                <c:pt idx="3">
                  <c:v>900.0866936321461</c:v>
                </c:pt>
                <c:pt idx="4">
                  <c:v>1090.423693632146</c:v>
                </c:pt>
                <c:pt idx="5">
                  <c:v>1245.018693632146</c:v>
                </c:pt>
              </c:numCache>
            </c:numRef>
          </c:val>
          <c:smooth val="0"/>
        </c:ser>
        <c:axId val="37126205"/>
        <c:axId val="65700390"/>
      </c:lineChart>
      <c:lineChart>
        <c:grouping val="standard"/>
        <c:varyColors val="0"/>
        <c:ser>
          <c:idx val="3"/>
          <c:order val="3"/>
          <c:tx>
            <c:strRef>
              <c:f>Summary!$E$55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Summary!$F$55:$K$55</c:f>
              <c:numCache>
                <c:ptCount val="6"/>
                <c:pt idx="0">
                  <c:v>0.8318426548469814</c:v>
                </c:pt>
                <c:pt idx="1">
                  <c:v>0.8198955210321609</c:v>
                </c:pt>
                <c:pt idx="2">
                  <c:v>1.0776144720774203</c:v>
                </c:pt>
                <c:pt idx="3">
                  <c:v>1.0512564809748304</c:v>
                </c:pt>
                <c:pt idx="4">
                  <c:v>1.08581646465894</c:v>
                </c:pt>
                <c:pt idx="5">
                  <c:v>1.1560228029999744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Summary!$F$56:$K$56</c:f>
              <c:numCache>
                <c:ptCount val="6"/>
                <c:pt idx="0">
                  <c:v>0.9957805907172996</c:v>
                </c:pt>
                <c:pt idx="1">
                  <c:v>1.0098039215686274</c:v>
                </c:pt>
                <c:pt idx="2">
                  <c:v>1.1126760563380282</c:v>
                </c:pt>
                <c:pt idx="3">
                  <c:v>1.152523715127893</c:v>
                </c:pt>
                <c:pt idx="4">
                  <c:v>1.2371995820271682</c:v>
                </c:pt>
                <c:pt idx="5">
                  <c:v>1.230145299145299</c:v>
                </c:pt>
              </c:numCache>
            </c:numRef>
          </c:val>
          <c:smooth val="0"/>
        </c:ser>
        <c:axId val="54432599"/>
        <c:axId val="20131344"/>
      </c:lineChart>
      <c:catAx>
        <c:axId val="3712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00390"/>
        <c:crosses val="autoZero"/>
        <c:auto val="1"/>
        <c:lblOffset val="100"/>
        <c:noMultiLvlLbl val="0"/>
      </c:catAx>
      <c:valAx>
        <c:axId val="6570039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126205"/>
        <c:crossesAt val="1"/>
        <c:crossBetween val="midCat"/>
        <c:dispUnits/>
        <c:majorUnit val="200"/>
      </c:valAx>
      <c:catAx>
        <c:axId val="54432599"/>
        <c:scaling>
          <c:orientation val="minMax"/>
        </c:scaling>
        <c:axPos val="b"/>
        <c:delete val="1"/>
        <c:majorTickMark val="in"/>
        <c:minorTickMark val="none"/>
        <c:tickLblPos val="nextTo"/>
        <c:crossAx val="20131344"/>
        <c:crosses val="autoZero"/>
        <c:auto val="1"/>
        <c:lblOffset val="100"/>
        <c:noMultiLvlLbl val="0"/>
      </c:catAx>
      <c:valAx>
        <c:axId val="20131344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4432599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75"/>
          <c:y val="0.5795"/>
          <c:w val="0.253"/>
          <c:h val="0.240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Punch List 
Jobs; 1459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"/>
          <c:w val="1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Summary!$F$58:$Q$58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43</c:v>
                </c:pt>
                <c:pt idx="4">
                  <c:v>90</c:v>
                </c:pt>
                <c:pt idx="5">
                  <c:v>147</c:v>
                </c:pt>
                <c:pt idx="6">
                  <c:v>190</c:v>
                </c:pt>
                <c:pt idx="7">
                  <c:v>216</c:v>
                </c:pt>
                <c:pt idx="8">
                  <c:v>258</c:v>
                </c:pt>
                <c:pt idx="9">
                  <c:v>301</c:v>
                </c:pt>
                <c:pt idx="10">
                  <c:v>343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Summary!$F$59:$K$59</c:f>
              <c:numCache>
                <c:ptCount val="6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44.163189</c:v>
                </c:pt>
                <c:pt idx="4">
                  <c:v>135.3</c:v>
                </c:pt>
                <c:pt idx="5">
                  <c:v>168.318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Summary!$F$60:$K$60</c:f>
              <c:numCache>
                <c:ptCount val="6"/>
                <c:pt idx="0">
                  <c:v>42.20441</c:v>
                </c:pt>
                <c:pt idx="1">
                  <c:v>97.48289</c:v>
                </c:pt>
                <c:pt idx="2">
                  <c:v>149.1849940026223</c:v>
                </c:pt>
                <c:pt idx="3">
                  <c:v>213.9909940026223</c:v>
                </c:pt>
                <c:pt idx="4">
                  <c:v>289.4529940026223</c:v>
                </c:pt>
                <c:pt idx="5">
                  <c:v>339.2299940026223</c:v>
                </c:pt>
              </c:numCache>
            </c:numRef>
          </c:val>
          <c:smooth val="0"/>
        </c:ser>
        <c:axId val="46964369"/>
        <c:axId val="20026138"/>
      </c:lineChart>
      <c:lineChart>
        <c:grouping val="standard"/>
        <c:varyColors val="0"/>
        <c:ser>
          <c:idx val="3"/>
          <c:order val="3"/>
          <c:tx>
            <c:strRef>
              <c:f>Summary!$E$61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Summary!$F$61:$K$61</c:f>
              <c:numCache>
                <c:ptCount val="6"/>
                <c:pt idx="0">
                  <c:v>0</c:v>
                </c:pt>
                <c:pt idx="1">
                  <c:v>0.18464778793488787</c:v>
                </c:pt>
                <c:pt idx="2">
                  <c:v>0.2144987853097177</c:v>
                </c:pt>
                <c:pt idx="3">
                  <c:v>0.20637872731905163</c:v>
                </c:pt>
                <c:pt idx="4">
                  <c:v>0.46743340992622195</c:v>
                </c:pt>
                <c:pt idx="5">
                  <c:v>0.4961766440932664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Summary!$E$62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Summary!$F$62:$K$62</c:f>
              <c:numCache>
                <c:ptCount val="6"/>
                <c:pt idx="1">
                  <c:v>4.5</c:v>
                </c:pt>
                <c:pt idx="2">
                  <c:v>1.391304347826087</c:v>
                </c:pt>
                <c:pt idx="3">
                  <c:v>1.0270509069767442</c:v>
                </c:pt>
                <c:pt idx="4">
                  <c:v>1.5033333333333334</c:v>
                </c:pt>
                <c:pt idx="5">
                  <c:v>1.1450204081632653</c:v>
                </c:pt>
              </c:numCache>
            </c:numRef>
          </c:val>
          <c:smooth val="0"/>
        </c:ser>
        <c:axId val="46017515"/>
        <c:axId val="11504452"/>
      </c:lineChart>
      <c:catAx>
        <c:axId val="4696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26138"/>
        <c:crosses val="autoZero"/>
        <c:auto val="1"/>
        <c:lblOffset val="100"/>
        <c:noMultiLvlLbl val="0"/>
      </c:catAx>
      <c:valAx>
        <c:axId val="2002613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64369"/>
        <c:crossesAt val="1"/>
        <c:crossBetween val="midCat"/>
        <c:dispUnits/>
      </c:valAx>
      <c:catAx>
        <c:axId val="46017515"/>
        <c:scaling>
          <c:orientation val="minMax"/>
        </c:scaling>
        <c:axPos val="b"/>
        <c:delete val="1"/>
        <c:majorTickMark val="in"/>
        <c:minorTickMark val="none"/>
        <c:tickLblPos val="nextTo"/>
        <c:crossAx val="11504452"/>
        <c:crosses val="autoZero"/>
        <c:auto val="1"/>
        <c:lblOffset val="100"/>
        <c:noMultiLvlLbl val="0"/>
      </c:catAx>
      <c:valAx>
        <c:axId val="11504452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6017515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8"/>
          <c:y val="0.603"/>
          <c:w val="0.23925"/>
          <c:h val="0.206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PF Coil Design/procurement
Jobs; 1302/1352</a:t>
            </a:r>
          </a:p>
        </c:rich>
      </c:tx>
      <c:layout>
        <c:manualLayout>
          <c:xMode val="factor"/>
          <c:yMode val="factor"/>
          <c:x val="-0.01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"/>
          <c:w val="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Summary!$E$94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Summary!$F$94:$Q$94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14</c:v>
                </c:pt>
                <c:pt idx="4">
                  <c:v>44</c:v>
                </c:pt>
                <c:pt idx="5">
                  <c:v>79</c:v>
                </c:pt>
                <c:pt idx="6">
                  <c:v>104</c:v>
                </c:pt>
                <c:pt idx="7">
                  <c:v>134</c:v>
                </c:pt>
                <c:pt idx="8">
                  <c:v>182</c:v>
                </c:pt>
                <c:pt idx="9">
                  <c:v>214</c:v>
                </c:pt>
                <c:pt idx="10">
                  <c:v>251</c:v>
                </c:pt>
                <c:pt idx="11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Summary!$F$95:$K$95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47.332460999999995</c:v>
                </c:pt>
                <c:pt idx="4">
                  <c:v>60.35</c:v>
                </c:pt>
                <c:pt idx="5">
                  <c:v>61.085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Summary!$F$96:$K$96</c:f>
              <c:numCache>
                <c:ptCount val="6"/>
                <c:pt idx="0">
                  <c:v>4.260039999999999</c:v>
                </c:pt>
                <c:pt idx="1">
                  <c:v>5.800679999999999</c:v>
                </c:pt>
                <c:pt idx="2">
                  <c:v>7.206003202384923</c:v>
                </c:pt>
                <c:pt idx="3">
                  <c:v>13.784003202384923</c:v>
                </c:pt>
                <c:pt idx="4">
                  <c:v>44.38500320238492</c:v>
                </c:pt>
                <c:pt idx="5">
                  <c:v>47.60200320238492</c:v>
                </c:pt>
              </c:numCache>
            </c:numRef>
          </c:val>
          <c:smooth val="0"/>
        </c:ser>
        <c:axId val="36431205"/>
        <c:axId val="59445390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Summary!$F$97:$K$97</c:f>
              <c:numCache>
                <c:ptCount val="6"/>
                <c:pt idx="0">
                  <c:v>1.1736978995502392</c:v>
                </c:pt>
                <c:pt idx="1">
                  <c:v>0.8619679072108789</c:v>
                </c:pt>
                <c:pt idx="2">
                  <c:v>0.6938659142345626</c:v>
                </c:pt>
                <c:pt idx="3">
                  <c:v>3.433868978774648</c:v>
                </c:pt>
                <c:pt idx="4">
                  <c:v>1.3596934920747563</c:v>
                </c:pt>
                <c:pt idx="5">
                  <c:v>1.2832443151665425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Summary!$F$98:$K$98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3.380890071428571</c:v>
                </c:pt>
                <c:pt idx="4">
                  <c:v>1.371590909090909</c:v>
                </c:pt>
                <c:pt idx="5">
                  <c:v>0.7732278481012659</c:v>
                </c:pt>
              </c:numCache>
            </c:numRef>
          </c:val>
          <c:smooth val="0"/>
        </c:ser>
        <c:axId val="65246463"/>
        <c:axId val="50347256"/>
      </c:lineChart>
      <c:catAx>
        <c:axId val="3643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5390"/>
        <c:crosses val="autoZero"/>
        <c:auto val="1"/>
        <c:lblOffset val="100"/>
        <c:noMultiLvlLbl val="0"/>
      </c:catAx>
      <c:valAx>
        <c:axId val="5944539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431205"/>
        <c:crossesAt val="1"/>
        <c:crossBetween val="midCat"/>
        <c:dispUnits/>
      </c:valAx>
      <c:catAx>
        <c:axId val="65246463"/>
        <c:scaling>
          <c:orientation val="minMax"/>
        </c:scaling>
        <c:axPos val="b"/>
        <c:delete val="1"/>
        <c:majorTickMark val="in"/>
        <c:minorTickMark val="none"/>
        <c:tickLblPos val="nextTo"/>
        <c:crossAx val="50347256"/>
        <c:crosses val="autoZero"/>
        <c:auto val="1"/>
        <c:lblOffset val="100"/>
        <c:noMultiLvlLbl val="0"/>
      </c:catAx>
      <c:valAx>
        <c:axId val="50347256"/>
        <c:scaling>
          <c:orientation val="minMax"/>
          <c:max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65246463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49375"/>
          <c:w val="0.2535"/>
          <c:h val="0.216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Diagnostic
Jobs; 3101/3601/3801/3901</a:t>
            </a:r>
          </a:p>
        </c:rich>
      </c:tx>
      <c:layout>
        <c:manualLayout>
          <c:xMode val="factor"/>
          <c:yMode val="factor"/>
          <c:x val="-0.00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Summary!$E$88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Summary!$F$88:$Q$88</c:f>
              <c:numCache>
                <c:ptCount val="12"/>
                <c:pt idx="0">
                  <c:v>14</c:v>
                </c:pt>
                <c:pt idx="1">
                  <c:v>31</c:v>
                </c:pt>
                <c:pt idx="2">
                  <c:v>55</c:v>
                </c:pt>
                <c:pt idx="3">
                  <c:v>153</c:v>
                </c:pt>
                <c:pt idx="4">
                  <c:v>192</c:v>
                </c:pt>
                <c:pt idx="5">
                  <c:v>252</c:v>
                </c:pt>
                <c:pt idx="6">
                  <c:v>278</c:v>
                </c:pt>
                <c:pt idx="7">
                  <c:v>297</c:v>
                </c:pt>
                <c:pt idx="8">
                  <c:v>309</c:v>
                </c:pt>
                <c:pt idx="9">
                  <c:v>312</c:v>
                </c:pt>
                <c:pt idx="10">
                  <c:v>314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Summary!$F$89:$K$89</c:f>
              <c:numCache>
                <c:ptCount val="6"/>
                <c:pt idx="0">
                  <c:v>14</c:v>
                </c:pt>
                <c:pt idx="1">
                  <c:v>58</c:v>
                </c:pt>
                <c:pt idx="2">
                  <c:v>114</c:v>
                </c:pt>
                <c:pt idx="3">
                  <c:v>148.26610024000001</c:v>
                </c:pt>
                <c:pt idx="4">
                  <c:v>155.78051166000003</c:v>
                </c:pt>
                <c:pt idx="5">
                  <c:v>160.581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Summary!$F$90:$K$90</c:f>
              <c:numCache>
                <c:ptCount val="6"/>
                <c:pt idx="0">
                  <c:v>29.68733</c:v>
                </c:pt>
                <c:pt idx="1">
                  <c:v>49.77378</c:v>
                </c:pt>
                <c:pt idx="2">
                  <c:v>94.68383434316308</c:v>
                </c:pt>
                <c:pt idx="3">
                  <c:v>129.37283434316308</c:v>
                </c:pt>
                <c:pt idx="4">
                  <c:v>141.17183434316308</c:v>
                </c:pt>
                <c:pt idx="5">
                  <c:v>145.53283434316307</c:v>
                </c:pt>
              </c:numCache>
            </c:numRef>
          </c:val>
          <c:smooth val="0"/>
        </c:ser>
        <c:axId val="50472121"/>
        <c:axId val="51595906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Summary!$F$91:$K$91</c:f>
              <c:numCache>
                <c:ptCount val="6"/>
                <c:pt idx="0">
                  <c:v>0.47158164779385686</c:v>
                </c:pt>
                <c:pt idx="1">
                  <c:v>1.1652721573487084</c:v>
                </c:pt>
                <c:pt idx="2">
                  <c:v>1.2040070070127202</c:v>
                </c:pt>
                <c:pt idx="3">
                  <c:v>1.1460373500569858</c:v>
                </c:pt>
                <c:pt idx="4">
                  <c:v>1.1034815293348523</c:v>
                </c:pt>
                <c:pt idx="5">
                  <c:v>1.1034004850160046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Summary!$F$92:$K$92</c:f>
              <c:numCache>
                <c:ptCount val="6"/>
                <c:pt idx="0">
                  <c:v>1</c:v>
                </c:pt>
                <c:pt idx="1">
                  <c:v>1.8709677419354838</c:v>
                </c:pt>
                <c:pt idx="2">
                  <c:v>2.0727272727272728</c:v>
                </c:pt>
                <c:pt idx="3">
                  <c:v>0.9690594786928105</c:v>
                </c:pt>
                <c:pt idx="4">
                  <c:v>0.8113568315625002</c:v>
                </c:pt>
                <c:pt idx="5">
                  <c:v>0.6372261904761904</c:v>
                </c:pt>
              </c:numCache>
            </c:numRef>
          </c:val>
          <c:smooth val="0"/>
        </c:ser>
        <c:axId val="61709971"/>
        <c:axId val="18518828"/>
      </c:lineChart>
      <c:catAx>
        <c:axId val="50472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95906"/>
        <c:crosses val="autoZero"/>
        <c:auto val="1"/>
        <c:lblOffset val="100"/>
        <c:noMultiLvlLbl val="0"/>
      </c:catAx>
      <c:valAx>
        <c:axId val="5159590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472121"/>
        <c:crossesAt val="1"/>
        <c:crossBetween val="midCat"/>
        <c:dispUnits/>
      </c:valAx>
      <c:catAx>
        <c:axId val="61709971"/>
        <c:scaling>
          <c:orientation val="minMax"/>
        </c:scaling>
        <c:axPos val="b"/>
        <c:delete val="1"/>
        <c:majorTickMark val="in"/>
        <c:minorTickMark val="none"/>
        <c:tickLblPos val="nextTo"/>
        <c:crossAx val="18518828"/>
        <c:crosses val="autoZero"/>
        <c:auto val="1"/>
        <c:lblOffset val="100"/>
        <c:noMultiLvlLbl val="0"/>
      </c:catAx>
      <c:valAx>
        <c:axId val="18518828"/>
        <c:scaling>
          <c:orientation val="minMax"/>
          <c:max val="2.1"/>
        </c:scaling>
        <c:axPos val="l"/>
        <c:delete val="0"/>
        <c:numFmt formatCode="General" sourceLinked="1"/>
        <c:majorTickMark val="in"/>
        <c:minorTickMark val="none"/>
        <c:tickLblPos val="nextTo"/>
        <c:crossAx val="61709971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25"/>
          <c:y val="0.527"/>
          <c:w val="0.261"/>
          <c:h val="0.226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Type AB Fnl Dsn
Jobs; 1416/1421/1429</a:t>
            </a:r>
          </a:p>
        </c:rich>
      </c:tx>
      <c:layout>
        <c:manualLayout>
          <c:xMode val="factor"/>
          <c:yMode val="factor"/>
          <c:x val="-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25"/>
          <c:w val="1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Summary!$F$106:$O$106</c:f>
              <c:numCache>
                <c:ptCount val="10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Summary!$F$107:$K$107</c:f>
              <c:numCache>
                <c:ptCount val="6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Summary!$F$108:$K$108</c:f>
              <c:numCache>
                <c:ptCount val="6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</c:numCache>
            </c:numRef>
          </c:val>
          <c:smooth val="0"/>
        </c:ser>
        <c:axId val="32451725"/>
        <c:axId val="23630070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Summary!$F$109:$K$109</c:f>
              <c:numCache>
                <c:ptCount val="6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Summary!$F$110:$K$110</c:f>
              <c:numCache>
                <c:ptCount val="6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</c:numCache>
            </c:numRef>
          </c:val>
          <c:smooth val="0"/>
        </c:ser>
        <c:axId val="11344039"/>
        <c:axId val="34987488"/>
      </c:lineChart>
      <c:catAx>
        <c:axId val="324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30070"/>
        <c:crosses val="autoZero"/>
        <c:auto val="1"/>
        <c:lblOffset val="100"/>
        <c:noMultiLvlLbl val="0"/>
      </c:catAx>
      <c:valAx>
        <c:axId val="2363007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451725"/>
        <c:crossesAt val="1"/>
        <c:crossBetween val="midCat"/>
        <c:dispUnits/>
      </c:valAx>
      <c:catAx>
        <c:axId val="11344039"/>
        <c:scaling>
          <c:orientation val="minMax"/>
        </c:scaling>
        <c:axPos val="b"/>
        <c:delete val="1"/>
        <c:majorTickMark val="in"/>
        <c:minorTickMark val="none"/>
        <c:tickLblPos val="nextTo"/>
        <c:crossAx val="34987488"/>
        <c:crosses val="autoZero"/>
        <c:auto val="1"/>
        <c:lblOffset val="100"/>
        <c:noMultiLvlLbl val="0"/>
      </c:catAx>
      <c:valAx>
        <c:axId val="34987488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1344039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5"/>
          <c:y val="0.51975"/>
          <c:w val="0.23675"/>
          <c:h val="0.226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Coil Structure Dsn/Proc
Jobs; 1501/1550</a:t>
            </a:r>
          </a:p>
        </c:rich>
      </c:tx>
      <c:layout>
        <c:manualLayout>
          <c:xMode val="factor"/>
          <c:yMode val="factor"/>
          <c:x val="-0.00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25"/>
          <c:w val="1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Summary!$E$112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Summary!$F$112:$Q$112</c:f>
              <c:numCache>
                <c:ptCount val="12"/>
                <c:pt idx="0">
                  <c:v>7</c:v>
                </c:pt>
                <c:pt idx="1">
                  <c:v>38</c:v>
                </c:pt>
                <c:pt idx="2">
                  <c:v>70</c:v>
                </c:pt>
                <c:pt idx="3">
                  <c:v>128</c:v>
                </c:pt>
                <c:pt idx="4">
                  <c:v>164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Summary!$F$113:$K$113</c:f>
              <c:numCache>
                <c:ptCount val="6"/>
                <c:pt idx="0">
                  <c:v>2</c:v>
                </c:pt>
                <c:pt idx="1">
                  <c:v>45</c:v>
                </c:pt>
                <c:pt idx="2">
                  <c:v>75</c:v>
                </c:pt>
                <c:pt idx="3">
                  <c:v>81.9423845</c:v>
                </c:pt>
                <c:pt idx="4">
                  <c:v>136.7</c:v>
                </c:pt>
                <c:pt idx="5">
                  <c:v>145.001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Summary!$F$114:$K$114</c:f>
              <c:numCache>
                <c:ptCount val="6"/>
                <c:pt idx="0">
                  <c:v>54.10057</c:v>
                </c:pt>
                <c:pt idx="1">
                  <c:v>101.47542999999999</c:v>
                </c:pt>
                <c:pt idx="2">
                  <c:v>138.5961054058865</c:v>
                </c:pt>
                <c:pt idx="3">
                  <c:v>174.65210540588652</c:v>
                </c:pt>
                <c:pt idx="4">
                  <c:v>176.91410540588652</c:v>
                </c:pt>
                <c:pt idx="5">
                  <c:v>160.00010540588653</c:v>
                </c:pt>
              </c:numCache>
            </c:numRef>
          </c:val>
          <c:smooth val="0"/>
        </c:ser>
        <c:axId val="46451937"/>
        <c:axId val="15414250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Summary!$F$115:$K$115</c:f>
              <c:numCache>
                <c:ptCount val="6"/>
                <c:pt idx="0">
                  <c:v>0.03696818721133622</c:v>
                </c:pt>
                <c:pt idx="1">
                  <c:v>0.44345710089624657</c:v>
                </c:pt>
                <c:pt idx="2">
                  <c:v>0.5411407469232867</c:v>
                </c:pt>
                <c:pt idx="3">
                  <c:v>0.4691749023555613</c:v>
                </c:pt>
                <c:pt idx="4">
                  <c:v>0.7726913559909482</c:v>
                </c:pt>
                <c:pt idx="5">
                  <c:v>0.9062556529707467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Summary!$F$116:$K$116</c:f>
              <c:numCache>
                <c:ptCount val="6"/>
                <c:pt idx="0">
                  <c:v>0.2857142857142857</c:v>
                </c:pt>
                <c:pt idx="1">
                  <c:v>1.1842105263157894</c:v>
                </c:pt>
                <c:pt idx="2">
                  <c:v>1.0714285714285714</c:v>
                </c:pt>
                <c:pt idx="3">
                  <c:v>0.64017487890625</c:v>
                </c:pt>
                <c:pt idx="4">
                  <c:v>0.8335365853658536</c:v>
                </c:pt>
                <c:pt idx="5">
                  <c:v>0.7795752688172043</c:v>
                </c:pt>
              </c:numCache>
            </c:numRef>
          </c:val>
          <c:smooth val="0"/>
        </c:ser>
        <c:axId val="4510523"/>
        <c:axId val="40594708"/>
      </c:lineChart>
      <c:catAx>
        <c:axId val="46451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4250"/>
        <c:crosses val="autoZero"/>
        <c:auto val="1"/>
        <c:lblOffset val="100"/>
        <c:noMultiLvlLbl val="0"/>
      </c:catAx>
      <c:valAx>
        <c:axId val="1541425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451937"/>
        <c:crossesAt val="1"/>
        <c:crossBetween val="midCat"/>
        <c:dispUnits/>
        <c:majorUnit val="20"/>
      </c:valAx>
      <c:catAx>
        <c:axId val="4510523"/>
        <c:scaling>
          <c:orientation val="minMax"/>
        </c:scaling>
        <c:axPos val="b"/>
        <c:delete val="1"/>
        <c:majorTickMark val="in"/>
        <c:minorTickMark val="none"/>
        <c:tickLblPos val="nextTo"/>
        <c:crossAx val="40594708"/>
        <c:crosses val="autoZero"/>
        <c:auto val="1"/>
        <c:lblOffset val="100"/>
        <c:noMultiLvlLbl val="0"/>
      </c:catAx>
      <c:valAx>
        <c:axId val="40594708"/>
        <c:scaling>
          <c:orientation val="minMax"/>
          <c:max val="1.2"/>
          <c:min val="0.1"/>
        </c:scaling>
        <c:axPos val="l"/>
        <c:delete val="0"/>
        <c:numFmt formatCode="General" sourceLinked="1"/>
        <c:majorTickMark val="in"/>
        <c:minorTickMark val="none"/>
        <c:tickLblPos val="nextTo"/>
        <c:crossAx val="4510523"/>
        <c:crosses val="max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5"/>
          <c:y val="0.5"/>
          <c:w val="0.25"/>
          <c:h val="0.219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TF Fabrication
Jobs; 1361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1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Summary!$F$100:$Q$100</c:f>
              <c:numCache>
                <c:ptCount val="12"/>
                <c:pt idx="0">
                  <c:v>8</c:v>
                </c:pt>
                <c:pt idx="1">
                  <c:v>73</c:v>
                </c:pt>
                <c:pt idx="2">
                  <c:v>133</c:v>
                </c:pt>
                <c:pt idx="3">
                  <c:v>168</c:v>
                </c:pt>
                <c:pt idx="4">
                  <c:v>228</c:v>
                </c:pt>
                <c:pt idx="5">
                  <c:v>289</c:v>
                </c:pt>
                <c:pt idx="6">
                  <c:v>348</c:v>
                </c:pt>
                <c:pt idx="7">
                  <c:v>404</c:v>
                </c:pt>
                <c:pt idx="8">
                  <c:v>463</c:v>
                </c:pt>
                <c:pt idx="9">
                  <c:v>521</c:v>
                </c:pt>
                <c:pt idx="10">
                  <c:v>625</c:v>
                </c:pt>
                <c:pt idx="11">
                  <c:v>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Summary!$F$101:$K$101</c:f>
              <c:numCache>
                <c:ptCount val="6"/>
                <c:pt idx="0">
                  <c:v>4</c:v>
                </c:pt>
                <c:pt idx="1">
                  <c:v>49</c:v>
                </c:pt>
                <c:pt idx="2">
                  <c:v>108</c:v>
                </c:pt>
                <c:pt idx="3">
                  <c:v>199.41206949999997</c:v>
                </c:pt>
                <c:pt idx="4">
                  <c:v>267.65</c:v>
                </c:pt>
                <c:pt idx="5">
                  <c:v>331.282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Summary!$F$102:$K$102</c:f>
              <c:numCache>
                <c:ptCount val="6"/>
                <c:pt idx="0">
                  <c:v>-6.0157300000000085</c:v>
                </c:pt>
                <c:pt idx="1">
                  <c:v>34.379239999999996</c:v>
                </c:pt>
                <c:pt idx="2">
                  <c:v>88.80752648279773</c:v>
                </c:pt>
                <c:pt idx="3">
                  <c:v>185.35052648279773</c:v>
                </c:pt>
                <c:pt idx="4">
                  <c:v>271.3235264827977</c:v>
                </c:pt>
                <c:pt idx="5">
                  <c:v>340.5435264827977</c:v>
                </c:pt>
              </c:numCache>
            </c:numRef>
          </c:val>
          <c:smooth val="0"/>
        </c:ser>
        <c:axId val="29808053"/>
        <c:axId val="66945886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Summary!$F$103:$K$103</c:f>
              <c:numCache>
                <c:ptCount val="6"/>
                <c:pt idx="0">
                  <c:v>-0.6649234589983252</c:v>
                </c:pt>
                <c:pt idx="1">
                  <c:v>1.4252787438000376</c:v>
                </c:pt>
                <c:pt idx="2">
                  <c:v>1.2161131412766002</c:v>
                </c:pt>
                <c:pt idx="3">
                  <c:v>1.0758645971178684</c:v>
                </c:pt>
                <c:pt idx="4">
                  <c:v>0.9864607152559967</c:v>
                </c:pt>
                <c:pt idx="5">
                  <c:v>0.9728036924429232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Summary!$F$104:$K$104</c:f>
              <c:numCache>
                <c:ptCount val="6"/>
                <c:pt idx="1">
                  <c:v>0.6712328767123288</c:v>
                </c:pt>
                <c:pt idx="2">
                  <c:v>0.8120300751879699</c:v>
                </c:pt>
                <c:pt idx="3">
                  <c:v>1.1869766041666665</c:v>
                </c:pt>
                <c:pt idx="4">
                  <c:v>1.1739035087719296</c:v>
                </c:pt>
                <c:pt idx="5">
                  <c:v>1.1463044982698962</c:v>
                </c:pt>
              </c:numCache>
            </c:numRef>
          </c:val>
          <c:smooth val="0"/>
        </c:ser>
        <c:axId val="65642063"/>
        <c:axId val="53907656"/>
      </c:lineChart>
      <c:catAx>
        <c:axId val="29808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45886"/>
        <c:crosses val="autoZero"/>
        <c:auto val="1"/>
        <c:lblOffset val="100"/>
        <c:noMultiLvlLbl val="0"/>
      </c:catAx>
      <c:valAx>
        <c:axId val="66945886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808053"/>
        <c:crossesAt val="1"/>
        <c:crossBetween val="midCat"/>
        <c:dispUnits/>
        <c:majorUnit val="50"/>
      </c:valAx>
      <c:catAx>
        <c:axId val="65642063"/>
        <c:scaling>
          <c:orientation val="minMax"/>
        </c:scaling>
        <c:axPos val="b"/>
        <c:delete val="1"/>
        <c:majorTickMark val="in"/>
        <c:minorTickMark val="none"/>
        <c:tickLblPos val="nextTo"/>
        <c:crossAx val="53907656"/>
        <c:crosses val="autoZero"/>
        <c:auto val="1"/>
        <c:lblOffset val="100"/>
        <c:noMultiLvlLbl val="0"/>
      </c:catAx>
      <c:valAx>
        <c:axId val="53907656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5642063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25"/>
          <c:y val="0.57825"/>
          <c:w val="0.2495"/>
          <c:h val="0.2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Core Mngtt&amp;Integr
Jobs; 1901</a:t>
            </a:r>
          </a:p>
        </c:rich>
      </c:tx>
      <c:layout>
        <c:manualLayout>
          <c:xMode val="factor"/>
          <c:yMode val="factor"/>
          <c:x val="-0.00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Summary!$E$124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Summary!$F$124:$Q$124</c:f>
              <c:numCache>
                <c:ptCount val="12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133</c:v>
                </c:pt>
                <c:pt idx="4">
                  <c:v>162</c:v>
                </c:pt>
                <c:pt idx="5">
                  <c:v>200</c:v>
                </c:pt>
                <c:pt idx="6">
                  <c:v>233</c:v>
                </c:pt>
                <c:pt idx="7">
                  <c:v>258</c:v>
                </c:pt>
                <c:pt idx="8">
                  <c:v>294</c:v>
                </c:pt>
                <c:pt idx="9">
                  <c:v>328</c:v>
                </c:pt>
                <c:pt idx="10">
                  <c:v>362</c:v>
                </c:pt>
                <c:pt idx="11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Summary!$F$125:$K$125</c:f>
              <c:numCache>
                <c:ptCount val="6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132.64167952</c:v>
                </c:pt>
                <c:pt idx="4">
                  <c:v>161.56</c:v>
                </c:pt>
                <c:pt idx="5">
                  <c:v>199.131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Summary!$F$126:$K$126</c:f>
              <c:numCache>
                <c:ptCount val="6"/>
                <c:pt idx="0">
                  <c:v>36.462</c:v>
                </c:pt>
                <c:pt idx="1">
                  <c:v>53.934000000000005</c:v>
                </c:pt>
                <c:pt idx="2">
                  <c:v>64.98100000000001</c:v>
                </c:pt>
                <c:pt idx="3">
                  <c:v>96.64800000000001</c:v>
                </c:pt>
                <c:pt idx="4">
                  <c:v>109.709</c:v>
                </c:pt>
                <c:pt idx="5">
                  <c:v>119.964</c:v>
                </c:pt>
              </c:numCache>
            </c:numRef>
          </c:val>
          <c:smooth val="0"/>
        </c:ser>
        <c:axId val="15406857"/>
        <c:axId val="4443986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Summary!$F$127:$K$127</c:f>
              <c:numCache>
                <c:ptCount val="6"/>
                <c:pt idx="0">
                  <c:v>0.932477647962262</c:v>
                </c:pt>
                <c:pt idx="1">
                  <c:v>1.223717877405718</c:v>
                </c:pt>
                <c:pt idx="2">
                  <c:v>1.5081331466120864</c:v>
                </c:pt>
                <c:pt idx="3">
                  <c:v>1.3724203244764503</c:v>
                </c:pt>
                <c:pt idx="4">
                  <c:v>1.472623030015769</c:v>
                </c:pt>
                <c:pt idx="5">
                  <c:v>1.659922976893068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Summary!$F$128:$K$128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0.9973058610526315</c:v>
                </c:pt>
                <c:pt idx="4">
                  <c:v>0.9972839506172839</c:v>
                </c:pt>
                <c:pt idx="5">
                  <c:v>0.995655</c:v>
                </c:pt>
              </c:numCache>
            </c:numRef>
          </c:val>
          <c:smooth val="0"/>
        </c:ser>
        <c:axId val="39995875"/>
        <c:axId val="24418556"/>
      </c:lineChart>
      <c:catAx>
        <c:axId val="1540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3986"/>
        <c:crosses val="autoZero"/>
        <c:auto val="1"/>
        <c:lblOffset val="100"/>
        <c:noMultiLvlLbl val="0"/>
      </c:catAx>
      <c:valAx>
        <c:axId val="444398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406857"/>
        <c:crossesAt val="1"/>
        <c:crossBetween val="midCat"/>
        <c:dispUnits/>
        <c:majorUnit val="50"/>
      </c:valAx>
      <c:catAx>
        <c:axId val="39995875"/>
        <c:scaling>
          <c:orientation val="minMax"/>
        </c:scaling>
        <c:axPos val="b"/>
        <c:delete val="1"/>
        <c:majorTickMark val="in"/>
        <c:minorTickMark val="none"/>
        <c:tickLblPos val="nextTo"/>
        <c:crossAx val="24418556"/>
        <c:crosses val="autoZero"/>
        <c:auto val="1"/>
        <c:lblOffset val="100"/>
        <c:noMultiLvlLbl val="0"/>
      </c:catAx>
      <c:valAx>
        <c:axId val="24418556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9995875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25"/>
          <c:y val="0.58675"/>
          <c:w val="0.24825"/>
          <c:h val="0.218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440413"/>
        <c:axId val="31745990"/>
      </c:lineChart>
      <c:catAx>
        <c:axId val="1844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45990"/>
        <c:crosses val="autoZero"/>
        <c:auto val="1"/>
        <c:lblOffset val="100"/>
        <c:noMultiLvlLbl val="0"/>
      </c:catAx>
      <c:valAx>
        <c:axId val="31745990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0413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Design Integration
Jobs; 8203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Summary!$F$71:$K$71</c:f>
              <c:numCache>
                <c:ptCount val="6"/>
                <c:pt idx="0">
                  <c:v>31</c:v>
                </c:pt>
                <c:pt idx="1">
                  <c:v>60</c:v>
                </c:pt>
                <c:pt idx="2">
                  <c:v>89</c:v>
                </c:pt>
                <c:pt idx="3">
                  <c:v>130.90838007</c:v>
                </c:pt>
                <c:pt idx="4">
                  <c:v>160.47</c:v>
                </c:pt>
                <c:pt idx="5">
                  <c:v>194.2511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Summary!$F$72:$K$72</c:f>
              <c:numCache>
                <c:ptCount val="6"/>
                <c:pt idx="0">
                  <c:v>5.07976</c:v>
                </c:pt>
                <c:pt idx="1">
                  <c:v>10.31795</c:v>
                </c:pt>
                <c:pt idx="2">
                  <c:v>11.958999487020458</c:v>
                </c:pt>
                <c:pt idx="3">
                  <c:v>22.05199948702046</c:v>
                </c:pt>
                <c:pt idx="4">
                  <c:v>36.56099948702046</c:v>
                </c:pt>
                <c:pt idx="5">
                  <c:v>55.86599948702046</c:v>
                </c:pt>
              </c:numCache>
            </c:numRef>
          </c:val>
          <c:smooth val="0"/>
        </c:ser>
        <c:axId val="41057737"/>
        <c:axId val="33975314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Summary!$F$73:$K$73</c:f>
              <c:numCache>
                <c:ptCount val="6"/>
                <c:pt idx="0">
                  <c:v>6.102650518922154</c:v>
                </c:pt>
                <c:pt idx="1">
                  <c:v>5.815108621383124</c:v>
                </c:pt>
                <c:pt idx="2">
                  <c:v>7.442094139781089</c:v>
                </c:pt>
                <c:pt idx="3">
                  <c:v>5.936349678724194</c:v>
                </c:pt>
                <c:pt idx="4">
                  <c:v>4.389103204275598</c:v>
                </c:pt>
                <c:pt idx="5">
                  <c:v>3.477089854002004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Summary!$E$74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Summary!$F$74:$K$74</c:f>
              <c:numCache>
                <c:ptCount val="6"/>
                <c:pt idx="0">
                  <c:v>0.9393939393939394</c:v>
                </c:pt>
                <c:pt idx="1">
                  <c:v>0.9230769230769231</c:v>
                </c:pt>
                <c:pt idx="2">
                  <c:v>0.9175257731958762</c:v>
                </c:pt>
                <c:pt idx="3">
                  <c:v>0.9917301520454544</c:v>
                </c:pt>
                <c:pt idx="4">
                  <c:v>0.9967080745341614</c:v>
                </c:pt>
                <c:pt idx="5">
                  <c:v>0.9910770408163265</c:v>
                </c:pt>
              </c:numCache>
            </c:numRef>
          </c:val>
          <c:smooth val="1"/>
        </c:ser>
        <c:axId val="37342371"/>
        <c:axId val="537020"/>
      </c:lineChart>
      <c:catAx>
        <c:axId val="41057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75314"/>
        <c:crosses val="autoZero"/>
        <c:auto val="1"/>
        <c:lblOffset val="100"/>
        <c:noMultiLvlLbl val="0"/>
      </c:catAx>
      <c:valAx>
        <c:axId val="3397531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057737"/>
        <c:crossesAt val="1"/>
        <c:crossBetween val="midCat"/>
        <c:dispUnits/>
      </c:valAx>
      <c:catAx>
        <c:axId val="37342371"/>
        <c:scaling>
          <c:orientation val="minMax"/>
        </c:scaling>
        <c:axPos val="b"/>
        <c:delete val="1"/>
        <c:majorTickMark val="in"/>
        <c:minorTickMark val="none"/>
        <c:tickLblPos val="nextTo"/>
        <c:crossAx val="537020"/>
        <c:crosses val="autoZero"/>
        <c:auto val="1"/>
        <c:lblOffset val="100"/>
        <c:noMultiLvlLbl val="0"/>
      </c:catAx>
      <c:valAx>
        <c:axId val="537020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7342371"/>
        <c:crosses val="max"/>
        <c:crossBetween val="midCat"/>
        <c:dispUnits/>
        <c:majorUnit val="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75"/>
          <c:y val="0.69075"/>
          <c:w val="0.26525"/>
          <c:h val="0.219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278455"/>
        <c:axId val="21288368"/>
      </c:lineChart>
      <c:catAx>
        <c:axId val="172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88368"/>
        <c:crosses val="autoZero"/>
        <c:auto val="1"/>
        <c:lblOffset val="100"/>
        <c:noMultiLvlLbl val="0"/>
      </c:catAx>
      <c:valAx>
        <c:axId val="21288368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78455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Contingency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125"/>
          <c:w val="0.95325"/>
          <c:h val="0.8975"/>
        </c:manualLayout>
      </c:layout>
      <c:areaChart>
        <c:grouping val="standard"/>
        <c:varyColors val="0"/>
        <c:ser>
          <c:idx val="1"/>
          <c:order val="1"/>
          <c:tx>
            <c:strRef>
              <c:f>Contingency!$C$20</c:f>
              <c:strCache>
                <c:ptCount val="1"/>
                <c:pt idx="0">
                  <c:v>Target Contingency Freebalance ($K)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Contingency!$D$20:$T$20</c:f>
              <c:numCache>
                <c:ptCount val="17"/>
                <c:pt idx="0">
                  <c:v>14151.131999999998</c:v>
                </c:pt>
                <c:pt idx="1">
                  <c:v>13809.267999999998</c:v>
                </c:pt>
                <c:pt idx="2">
                  <c:v>13370.051999999998</c:v>
                </c:pt>
                <c:pt idx="3">
                  <c:v>12984.039999999999</c:v>
                </c:pt>
                <c:pt idx="4">
                  <c:v>12663.400999999998</c:v>
                </c:pt>
                <c:pt idx="5">
                  <c:v>12107.872</c:v>
                </c:pt>
                <c:pt idx="6">
                  <c:v>11782.704999999998</c:v>
                </c:pt>
                <c:pt idx="7">
                  <c:v>11532.815999999999</c:v>
                </c:pt>
                <c:pt idx="8">
                  <c:v>11164.349999999999</c:v>
                </c:pt>
                <c:pt idx="9">
                  <c:v>10848.804999999998</c:v>
                </c:pt>
                <c:pt idx="10">
                  <c:v>10531.278999999999</c:v>
                </c:pt>
                <c:pt idx="11">
                  <c:v>10233.562999999998</c:v>
                </c:pt>
                <c:pt idx="12">
                  <c:v>9951.695</c:v>
                </c:pt>
                <c:pt idx="13">
                  <c:v>9654.261999999999</c:v>
                </c:pt>
                <c:pt idx="14">
                  <c:v>9273.626999999999</c:v>
                </c:pt>
                <c:pt idx="15">
                  <c:v>8909.972</c:v>
                </c:pt>
                <c:pt idx="16">
                  <c:v>8563.296999999999</c:v>
                </c:pt>
              </c:numCache>
            </c:numRef>
          </c:val>
        </c:ser>
        <c:axId val="57377585"/>
        <c:axId val="46636218"/>
      </c:areaChart>
      <c:barChart>
        <c:barDir val="col"/>
        <c:grouping val="clustered"/>
        <c:varyColors val="0"/>
        <c:ser>
          <c:idx val="0"/>
          <c:order val="0"/>
          <c:tx>
            <c:strRef>
              <c:f>Contingency!$C$13</c:f>
              <c:strCache>
                <c:ptCount val="1"/>
                <c:pt idx="0">
                  <c:v>FREE BALANCE ($K)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Contingency!$D$13:$T$13</c:f>
              <c:numCache>
                <c:ptCount val="17"/>
                <c:pt idx="0">
                  <c:v>14170.54528</c:v>
                </c:pt>
                <c:pt idx="1">
                  <c:v>14429.05545</c:v>
                </c:pt>
                <c:pt idx="2">
                  <c:v>15051.942437464884</c:v>
                </c:pt>
                <c:pt idx="3">
                  <c:v>14610.93075242679</c:v>
                </c:pt>
                <c:pt idx="4">
                  <c:v>13578.714285714286</c:v>
                </c:pt>
                <c:pt idx="5">
                  <c:v>14863.084637837235</c:v>
                </c:pt>
              </c:numCache>
            </c:numRef>
          </c:val>
        </c:ser>
        <c:gapWidth val="20"/>
        <c:axId val="57377585"/>
        <c:axId val="46636218"/>
      </c:barChart>
      <c:lineChart>
        <c:grouping val="standard"/>
        <c:varyColors val="0"/>
        <c:ser>
          <c:idx val="2"/>
          <c:order val="2"/>
          <c:tx>
            <c:strRef>
              <c:f>Contingency!$C$16</c:f>
              <c:strCache>
                <c:ptCount val="1"/>
                <c:pt idx="0">
                  <c:v>FREE BALANCE (% of ETC)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Contingency!$D$16:$I$16</c:f>
              <c:numCache>
                <c:ptCount val="6"/>
                <c:pt idx="0">
                  <c:v>0.2809776392441457</c:v>
                </c:pt>
                <c:pt idx="1">
                  <c:v>0.29350017188072086</c:v>
                </c:pt>
                <c:pt idx="2">
                  <c:v>0.3157661835500731</c:v>
                </c:pt>
                <c:pt idx="3">
                  <c:v>0.314727958651275</c:v>
                </c:pt>
                <c:pt idx="4">
                  <c:v>0.2997574843973219</c:v>
                </c:pt>
                <c:pt idx="5">
                  <c:v>0.33931308273273675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Contingency!$C$17</c:f>
              <c:strCache>
                <c:ptCount val="1"/>
                <c:pt idx="0">
                  <c:v>Target Drawdown Rate (%)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Contingency!$D$17:$T$17</c:f>
              <c:numCache>
                <c:ptCount val="17"/>
                <c:pt idx="0">
                  <c:v>0.283</c:v>
                </c:pt>
                <c:pt idx="1">
                  <c:v>0.283</c:v>
                </c:pt>
                <c:pt idx="2">
                  <c:v>0.283</c:v>
                </c:pt>
                <c:pt idx="3">
                  <c:v>0.283</c:v>
                </c:pt>
                <c:pt idx="4">
                  <c:v>0.283</c:v>
                </c:pt>
                <c:pt idx="5">
                  <c:v>0.283</c:v>
                </c:pt>
                <c:pt idx="6">
                  <c:v>0.283</c:v>
                </c:pt>
                <c:pt idx="7">
                  <c:v>0.283</c:v>
                </c:pt>
                <c:pt idx="8">
                  <c:v>0.283</c:v>
                </c:pt>
                <c:pt idx="9">
                  <c:v>0.283</c:v>
                </c:pt>
                <c:pt idx="10">
                  <c:v>0.283</c:v>
                </c:pt>
                <c:pt idx="11">
                  <c:v>0.283</c:v>
                </c:pt>
                <c:pt idx="12">
                  <c:v>0.283</c:v>
                </c:pt>
                <c:pt idx="13">
                  <c:v>0.283</c:v>
                </c:pt>
                <c:pt idx="14">
                  <c:v>0.283</c:v>
                </c:pt>
                <c:pt idx="15">
                  <c:v>0.283</c:v>
                </c:pt>
                <c:pt idx="16">
                  <c:v>0.283</c:v>
                </c:pt>
              </c:numCache>
            </c:numRef>
          </c:val>
          <c:smooth val="0"/>
        </c:ser>
        <c:axId val="17072779"/>
        <c:axId val="19437284"/>
      </c:lineChart>
      <c:catAx>
        <c:axId val="5737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36218"/>
        <c:crosses val="autoZero"/>
        <c:auto val="1"/>
        <c:lblOffset val="100"/>
        <c:noMultiLvlLbl val="0"/>
      </c:catAx>
      <c:valAx>
        <c:axId val="466362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Free Balance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377585"/>
        <c:crossesAt val="1"/>
        <c:crossBetween val="between"/>
        <c:dispUnits/>
        <c:majorUnit val="1000"/>
      </c:valAx>
      <c:catAx>
        <c:axId val="17072779"/>
        <c:scaling>
          <c:orientation val="minMax"/>
        </c:scaling>
        <c:axPos val="b"/>
        <c:delete val="1"/>
        <c:majorTickMark val="out"/>
        <c:minorTickMark val="none"/>
        <c:tickLblPos val="nextTo"/>
        <c:crossAx val="19437284"/>
        <c:crosses val="autoZero"/>
        <c:auto val="1"/>
        <c:lblOffset val="100"/>
        <c:noMultiLvlLbl val="0"/>
      </c:catAx>
      <c:valAx>
        <c:axId val="19437284"/>
        <c:scaling>
          <c:orientation val="minMax"/>
          <c:max val="0.35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FreeBallance % of ETC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072779"/>
        <c:crosses val="max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.133"/>
          <c:w val="0.22625"/>
          <c:h val="0.1707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Continegncy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875"/>
          <c:w val="0.9125"/>
          <c:h val="0.84"/>
        </c:manualLayout>
      </c:layout>
      <c:lineChart>
        <c:grouping val="standard"/>
        <c:varyColors val="0"/>
        <c:ser>
          <c:idx val="2"/>
          <c:order val="0"/>
          <c:tx>
            <c:strRef>
              <c:f>Contingency!$C$25</c:f>
              <c:strCache>
                <c:ptCount val="1"/>
                <c:pt idx="0">
                  <c:v>FREE BALANCE (months)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Contingency!$D$25:$I$25</c:f>
              <c:numCach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9.904761904761905</c:v>
                </c:pt>
                <c:pt idx="4">
                  <c:v>8.285714285714285</c:v>
                </c:pt>
                <c:pt idx="5">
                  <c:v>9.143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Contingency!$C$26</c:f>
              <c:strCache>
                <c:ptCount val="1"/>
                <c:pt idx="0">
                  <c:v>Target (months)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Contingency!$D$26:$T$26</c:f>
              <c:numCache>
                <c:ptCount val="17"/>
                <c:pt idx="0">
                  <c:v>10.803571428571429</c:v>
                </c:pt>
                <c:pt idx="1">
                  <c:v>10.607142857142858</c:v>
                </c:pt>
                <c:pt idx="2">
                  <c:v>10.410714285714286</c:v>
                </c:pt>
                <c:pt idx="3">
                  <c:v>10.214285714285715</c:v>
                </c:pt>
                <c:pt idx="4">
                  <c:v>10.017857142857144</c:v>
                </c:pt>
                <c:pt idx="5">
                  <c:v>9.821428571428573</c:v>
                </c:pt>
                <c:pt idx="6">
                  <c:v>9.625000000000002</c:v>
                </c:pt>
                <c:pt idx="7">
                  <c:v>9.42857142857143</c:v>
                </c:pt>
                <c:pt idx="8">
                  <c:v>9.23214285714286</c:v>
                </c:pt>
                <c:pt idx="9">
                  <c:v>9.035714285714288</c:v>
                </c:pt>
                <c:pt idx="10">
                  <c:v>8.839285714285717</c:v>
                </c:pt>
                <c:pt idx="11">
                  <c:v>8.642857142857146</c:v>
                </c:pt>
                <c:pt idx="12">
                  <c:v>8.446428571428575</c:v>
                </c:pt>
                <c:pt idx="13">
                  <c:v>8.250000000000004</c:v>
                </c:pt>
                <c:pt idx="14">
                  <c:v>8.053571428571432</c:v>
                </c:pt>
                <c:pt idx="15">
                  <c:v>7.857142857142861</c:v>
                </c:pt>
                <c:pt idx="16">
                  <c:v>7.66071428571429</c:v>
                </c:pt>
              </c:numCache>
            </c:numRef>
          </c:val>
          <c:smooth val="0"/>
        </c:ser>
        <c:marker val="1"/>
        <c:axId val="40717829"/>
        <c:axId val="30916142"/>
      </c:lineChart>
      <c:catAx>
        <c:axId val="4071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916142"/>
        <c:crosses val="autoZero"/>
        <c:auto val="1"/>
        <c:lblOffset val="100"/>
        <c:noMultiLvlLbl val="0"/>
      </c:catAx>
      <c:valAx>
        <c:axId val="3091614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Schedule Contingency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782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25"/>
          <c:y val="0.5647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1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621.37</c:v>
                </c:pt>
                <c:pt idx="1">
                  <c:v>1829.46</c:v>
                </c:pt>
                <c:pt idx="2">
                  <c:v>3381.33</c:v>
                </c:pt>
                <c:pt idx="3">
                  <c:v>4709.53</c:v>
                </c:pt>
                <c:pt idx="4">
                  <c:v>5777.099999999999</c:v>
                </c:pt>
                <c:pt idx="5">
                  <c:v>7737.709999999999</c:v>
                </c:pt>
                <c:pt idx="6">
                  <c:v>8922.88</c:v>
                </c:pt>
                <c:pt idx="7">
                  <c:v>9855.77</c:v>
                </c:pt>
                <c:pt idx="8">
                  <c:v>11236.15</c:v>
                </c:pt>
                <c:pt idx="9">
                  <c:v>12403.96</c:v>
                </c:pt>
                <c:pt idx="10">
                  <c:v>13600.02</c:v>
                </c:pt>
                <c:pt idx="11">
                  <c:v>14726.46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</c:numCache>
            </c:numRef>
          </c:val>
          <c:smooth val="0"/>
        </c:ser>
        <c:axId val="9809823"/>
        <c:axId val="21179544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Summary!$F$37:$K$37</c:f>
              <c:numCache>
                <c:ptCount val="6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Summary!$F$38:$K$38</c:f>
              <c:numCache>
                <c:ptCount val="6"/>
                <c:pt idx="0">
                  <c:v>0.6775351240001931</c:v>
                </c:pt>
                <c:pt idx="1">
                  <c:v>0.9248630743498081</c:v>
                </c:pt>
                <c:pt idx="2">
                  <c:v>0.9422327900559839</c:v>
                </c:pt>
                <c:pt idx="3">
                  <c:v>0.9404363939076724</c:v>
                </c:pt>
                <c:pt idx="4">
                  <c:v>0.9614271021204411</c:v>
                </c:pt>
                <c:pt idx="5">
                  <c:v>0.9110637514199939</c:v>
                </c:pt>
              </c:numCache>
            </c:numRef>
          </c:val>
          <c:smooth val="0"/>
        </c:ser>
        <c:axId val="56398169"/>
        <c:axId val="37821474"/>
      </c:lineChart>
      <c:catAx>
        <c:axId val="980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79544"/>
        <c:crosses val="autoZero"/>
        <c:auto val="1"/>
        <c:lblOffset val="100"/>
        <c:noMultiLvlLbl val="0"/>
      </c:catAx>
      <c:valAx>
        <c:axId val="21179544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09823"/>
        <c:crossesAt val="1"/>
        <c:crossBetween val="midCat"/>
        <c:dispUnits/>
        <c:majorUnit val="2000"/>
      </c:valAx>
      <c:catAx>
        <c:axId val="56398169"/>
        <c:scaling>
          <c:orientation val="minMax"/>
        </c:scaling>
        <c:axPos val="b"/>
        <c:delete val="1"/>
        <c:majorTickMark val="in"/>
        <c:minorTickMark val="none"/>
        <c:tickLblPos val="nextTo"/>
        <c:crossAx val="37821474"/>
        <c:crosses val="autoZero"/>
        <c:auto val="1"/>
        <c:lblOffset val="100"/>
        <c:noMultiLvlLbl val="0"/>
      </c:catAx>
      <c:valAx>
        <c:axId val="37821474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56398169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41475"/>
          <c:w val="0.12675"/>
          <c:h val="0.380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75"/>
          <c:w val="1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628</c:v>
                </c:pt>
                <c:pt idx="6">
                  <c:v>755</c:v>
                </c:pt>
                <c:pt idx="7">
                  <c:v>850</c:v>
                </c:pt>
                <c:pt idx="8">
                  <c:v>989</c:v>
                </c:pt>
                <c:pt idx="9">
                  <c:v>1121</c:v>
                </c:pt>
                <c:pt idx="10">
                  <c:v>1253</c:v>
                </c:pt>
                <c:pt idx="11">
                  <c:v>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Summary!$F$11:$K$11</c:f>
              <c:numCache>
                <c:ptCount val="6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Summary!$F$12:$K$12</c:f>
              <c:numCache>
                <c:ptCount val="6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</c:numCache>
            </c:numRef>
          </c:val>
          <c:smooth val="0"/>
        </c:ser>
        <c:axId val="4848947"/>
        <c:axId val="43640524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Summary!$F$13:$K$13</c:f>
              <c:numCache>
                <c:ptCount val="6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Summary!$F$14:$K$14</c:f>
              <c:numCache>
                <c:ptCount val="6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0.9995191082802549</c:v>
                </c:pt>
              </c:numCache>
            </c:numRef>
          </c:val>
          <c:smooth val="0"/>
        </c:ser>
        <c:axId val="57220397"/>
        <c:axId val="45221526"/>
      </c:lineChart>
      <c:catAx>
        <c:axId val="484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0524"/>
        <c:crosses val="autoZero"/>
        <c:auto val="1"/>
        <c:lblOffset val="100"/>
        <c:noMultiLvlLbl val="0"/>
      </c:catAx>
      <c:valAx>
        <c:axId val="4364052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48947"/>
        <c:crossesAt val="1"/>
        <c:crossBetween val="midCat"/>
        <c:dispUnits/>
        <c:majorUnit val="200"/>
      </c:valAx>
      <c:catAx>
        <c:axId val="57220397"/>
        <c:scaling>
          <c:orientation val="minMax"/>
        </c:scaling>
        <c:axPos val="b"/>
        <c:delete val="1"/>
        <c:majorTickMark val="in"/>
        <c:minorTickMark val="none"/>
        <c:tickLblPos val="nextTo"/>
        <c:crossAx val="45221526"/>
        <c:crossesAt val="0.1"/>
        <c:auto val="1"/>
        <c:lblOffset val="100"/>
        <c:noMultiLvlLbl val="0"/>
      </c:catAx>
      <c:valAx>
        <c:axId val="45221526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57220397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323"/>
          <c:w val="0.2375"/>
          <c:h val="0.513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1"/>
          <c:w val="0.978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196.37</c:v>
                </c:pt>
                <c:pt idx="1">
                  <c:v>690.46</c:v>
                </c:pt>
                <c:pt idx="2">
                  <c:v>1538.33</c:v>
                </c:pt>
                <c:pt idx="3">
                  <c:v>2264.5299999999997</c:v>
                </c:pt>
                <c:pt idx="4">
                  <c:v>2812.0999999999995</c:v>
                </c:pt>
                <c:pt idx="5">
                  <c:v>4016.7099999999996</c:v>
                </c:pt>
                <c:pt idx="6">
                  <c:v>4658.28</c:v>
                </c:pt>
                <c:pt idx="7">
                  <c:v>5149.2699999999995</c:v>
                </c:pt>
                <c:pt idx="8">
                  <c:v>5882.45</c:v>
                </c:pt>
                <c:pt idx="9">
                  <c:v>6497.46</c:v>
                </c:pt>
                <c:pt idx="10">
                  <c:v>7096.72</c:v>
                </c:pt>
                <c:pt idx="11">
                  <c:v>7662.46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Summary!$F$17:$K$17</c:f>
              <c:numCache>
                <c:ptCount val="6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Summary!$F$18:$K$18</c:f>
              <c:numCache>
                <c:ptCount val="6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</c:numCache>
            </c:numRef>
          </c:val>
          <c:smooth val="0"/>
        </c:ser>
        <c:axId val="4340551"/>
        <c:axId val="39064960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Summary!$F$19:$K$19</c:f>
              <c:numCache>
                <c:ptCount val="6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Summary!$F$20:$K$20</c:f>
              <c:numCache>
                <c:ptCount val="6"/>
                <c:pt idx="0">
                  <c:v>0.6212761623465906</c:v>
                </c:pt>
                <c:pt idx="1">
                  <c:v>1.1267850418561538</c:v>
                </c:pt>
                <c:pt idx="2">
                  <c:v>0.9406304239012436</c:v>
                </c:pt>
                <c:pt idx="3">
                  <c:v>0.9678675787337772</c:v>
                </c:pt>
                <c:pt idx="4">
                  <c:v>1.031300633569219</c:v>
                </c:pt>
                <c:pt idx="5">
                  <c:v>0.9446800988869001</c:v>
                </c:pt>
              </c:numCache>
            </c:numRef>
          </c:val>
          <c:smooth val="0"/>
        </c:ser>
        <c:axId val="16040321"/>
        <c:axId val="10145162"/>
      </c:lineChart>
      <c:catAx>
        <c:axId val="434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64960"/>
        <c:crosses val="autoZero"/>
        <c:auto val="1"/>
        <c:lblOffset val="100"/>
        <c:noMultiLvlLbl val="0"/>
      </c:catAx>
      <c:valAx>
        <c:axId val="39064960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40551"/>
        <c:crossesAt val="1"/>
        <c:crossBetween val="midCat"/>
        <c:dispUnits/>
        <c:majorUnit val="1000"/>
      </c:valAx>
      <c:catAx>
        <c:axId val="16040321"/>
        <c:scaling>
          <c:orientation val="minMax"/>
        </c:scaling>
        <c:axPos val="b"/>
        <c:delete val="1"/>
        <c:majorTickMark val="in"/>
        <c:minorTickMark val="none"/>
        <c:tickLblPos val="nextTo"/>
        <c:crossAx val="10145162"/>
        <c:crosses val="autoZero"/>
        <c:auto val="1"/>
        <c:lblOffset val="100"/>
        <c:noMultiLvlLbl val="0"/>
      </c:catAx>
      <c:valAx>
        <c:axId val="10145162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60403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377"/>
          <c:w val="0.16325"/>
          <c:h val="0.327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1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424</c:v>
                </c:pt>
                <c:pt idx="1">
                  <c:v>1042</c:v>
                </c:pt>
                <c:pt idx="2">
                  <c:v>1650</c:v>
                </c:pt>
                <c:pt idx="3">
                  <c:v>2147</c:v>
                </c:pt>
                <c:pt idx="4">
                  <c:v>2580</c:v>
                </c:pt>
                <c:pt idx="5">
                  <c:v>3188</c:v>
                </c:pt>
                <c:pt idx="6">
                  <c:v>3601.6</c:v>
                </c:pt>
                <c:pt idx="7">
                  <c:v>3946.5</c:v>
                </c:pt>
                <c:pt idx="8">
                  <c:v>4451.7</c:v>
                </c:pt>
                <c:pt idx="9">
                  <c:v>4869.5</c:v>
                </c:pt>
                <c:pt idx="10">
                  <c:v>5331.3</c:v>
                </c:pt>
                <c:pt idx="11">
                  <c:v>5750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Summary!$F$23:$K$23</c:f>
              <c:numCache>
                <c:ptCount val="6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Summary!$F$24:$K$24</c:f>
              <c:numCache>
                <c:ptCount val="6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</c:numCache>
            </c:numRef>
          </c:val>
          <c:smooth val="0"/>
        </c:ser>
        <c:axId val="24197595"/>
        <c:axId val="16451764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Summary!$F$25:$K$25</c:f>
              <c:numCache>
                <c:ptCount val="6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Summary!$F$26:$K$26</c:f>
              <c:numCache>
                <c:ptCount val="6"/>
                <c:pt idx="0">
                  <c:v>0.7075471698113207</c:v>
                </c:pt>
                <c:pt idx="1">
                  <c:v>0.7840690978886756</c:v>
                </c:pt>
                <c:pt idx="2">
                  <c:v>0.936969696969697</c:v>
                </c:pt>
                <c:pt idx="3">
                  <c:v>0.9029557949883558</c:v>
                </c:pt>
                <c:pt idx="4">
                  <c:v>0.8793410852713177</c:v>
                </c:pt>
                <c:pt idx="5">
                  <c:v>0.8538717377666247</c:v>
                </c:pt>
              </c:numCache>
            </c:numRef>
          </c:val>
          <c:smooth val="0"/>
        </c:ser>
        <c:axId val="13848149"/>
        <c:axId val="57524478"/>
      </c:lineChart>
      <c:catAx>
        <c:axId val="2419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1764"/>
        <c:crosses val="autoZero"/>
        <c:auto val="1"/>
        <c:lblOffset val="100"/>
        <c:noMultiLvlLbl val="0"/>
      </c:catAx>
      <c:valAx>
        <c:axId val="16451764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197595"/>
        <c:crossesAt val="1"/>
        <c:crossBetween val="midCat"/>
        <c:dispUnits/>
        <c:majorUnit val="1000"/>
      </c:valAx>
      <c:catAx>
        <c:axId val="13848149"/>
        <c:scaling>
          <c:orientation val="minMax"/>
        </c:scaling>
        <c:axPos val="b"/>
        <c:delete val="1"/>
        <c:majorTickMark val="in"/>
        <c:minorTickMark val="none"/>
        <c:tickLblPos val="nextTo"/>
        <c:crossAx val="57524478"/>
        <c:crosses val="autoZero"/>
        <c:auto val="1"/>
        <c:lblOffset val="100"/>
        <c:noMultiLvlLbl val="0"/>
      </c:catAx>
      <c:valAx>
        <c:axId val="57524478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38481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457"/>
          <c:w val="0.17325"/>
          <c:h val="0.347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95"/>
          <c:w val="0.9522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Summary!$E$28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Summary!$F$28:$Q$28</c:f>
              <c:numCache>
                <c:ptCount val="12"/>
                <c:pt idx="0">
                  <c:v>-103</c:v>
                </c:pt>
                <c:pt idx="1">
                  <c:v>-102</c:v>
                </c:pt>
                <c:pt idx="2">
                  <c:v>-101</c:v>
                </c:pt>
                <c:pt idx="3">
                  <c:v>-99</c:v>
                </c:pt>
                <c:pt idx="4">
                  <c:v>-98</c:v>
                </c:pt>
                <c:pt idx="5">
                  <c:v>-95</c:v>
                </c:pt>
                <c:pt idx="6">
                  <c:v>-92</c:v>
                </c:pt>
                <c:pt idx="7">
                  <c:v>-90</c:v>
                </c:pt>
                <c:pt idx="8">
                  <c:v>-87</c:v>
                </c:pt>
                <c:pt idx="9">
                  <c:v>-84</c:v>
                </c:pt>
                <c:pt idx="10">
                  <c:v>-81</c:v>
                </c:pt>
                <c:pt idx="11">
                  <c:v>-78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Summary!$F$11:$Q$11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Summary!$E$30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Summary!$F$30:$Q$30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  <c:pt idx="4">
                  <c:v>-104.6584988800466</c:v>
                </c:pt>
                <c:pt idx="5">
                  <c:v>-104.6584988800466</c:v>
                </c:pt>
              </c:numCache>
            </c:numRef>
          </c:val>
          <c:smooth val="0"/>
        </c:ser>
        <c:axId val="47958255"/>
        <c:axId val="28971112"/>
      </c:lineChart>
      <c:catAx>
        <c:axId val="4795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1112"/>
        <c:crosses val="autoZero"/>
        <c:auto val="1"/>
        <c:lblOffset val="100"/>
        <c:noMultiLvlLbl val="0"/>
      </c:catAx>
      <c:valAx>
        <c:axId val="28971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9582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6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Systems Analysis
Jobs; 8204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1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Summary!$F$77:$K$77</c:f>
              <c:numCache>
                <c:ptCount val="6"/>
                <c:pt idx="0">
                  <c:v>35</c:v>
                </c:pt>
                <c:pt idx="1">
                  <c:v>69</c:v>
                </c:pt>
                <c:pt idx="2">
                  <c:v>103</c:v>
                </c:pt>
                <c:pt idx="3">
                  <c:v>147.91024786999995</c:v>
                </c:pt>
                <c:pt idx="4">
                  <c:v>180.95</c:v>
                </c:pt>
                <c:pt idx="5">
                  <c:v>207.311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Summary!$F$78:$K$78</c:f>
              <c:numCache>
                <c:ptCount val="6"/>
                <c:pt idx="0">
                  <c:v>42.5836</c:v>
                </c:pt>
                <c:pt idx="1">
                  <c:v>95.73588</c:v>
                </c:pt>
                <c:pt idx="2">
                  <c:v>142.84429825010403</c:v>
                </c:pt>
                <c:pt idx="3">
                  <c:v>193.31329825010403</c:v>
                </c:pt>
                <c:pt idx="4">
                  <c:v>225.40929825010403</c:v>
                </c:pt>
                <c:pt idx="5">
                  <c:v>272.063298250104</c:v>
                </c:pt>
              </c:numCache>
            </c:numRef>
          </c:val>
          <c:smooth val="0"/>
        </c:ser>
        <c:axId val="4833181"/>
        <c:axId val="43498630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Summary!$F$79:$K$79</c:f>
              <c:numCache>
                <c:ptCount val="6"/>
                <c:pt idx="0">
                  <c:v>0.8219126612122978</c:v>
                </c:pt>
                <c:pt idx="1">
                  <c:v>0.7207329164363455</c:v>
                </c:pt>
                <c:pt idx="2">
                  <c:v>0.7210648325609663</c:v>
                </c:pt>
                <c:pt idx="3">
                  <c:v>0.7651322966857524</c:v>
                </c:pt>
                <c:pt idx="4">
                  <c:v>0.8027619153457725</c:v>
                </c:pt>
                <c:pt idx="5">
                  <c:v>0.7619954669865903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Summary!$F$80:$K$80</c:f>
              <c:numCache>
                <c:ptCount val="6"/>
                <c:pt idx="0">
                  <c:v>0.9459459459459459</c:v>
                </c:pt>
                <c:pt idx="1">
                  <c:v>0.9452054794520548</c:v>
                </c:pt>
                <c:pt idx="2">
                  <c:v>0.944954128440367</c:v>
                </c:pt>
                <c:pt idx="3">
                  <c:v>0.9993935666891889</c:v>
                </c:pt>
                <c:pt idx="4">
                  <c:v>1.0052777777777777</c:v>
                </c:pt>
                <c:pt idx="5">
                  <c:v>1.0015024154589371</c:v>
                </c:pt>
              </c:numCache>
            </c:numRef>
          </c:val>
          <c:smooth val="0"/>
        </c:ser>
        <c:axId val="55943351"/>
        <c:axId val="33728112"/>
      </c:lineChart>
      <c:catAx>
        <c:axId val="483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98630"/>
        <c:crosses val="autoZero"/>
        <c:auto val="1"/>
        <c:lblOffset val="100"/>
        <c:noMultiLvlLbl val="0"/>
      </c:catAx>
      <c:valAx>
        <c:axId val="4349863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33181"/>
        <c:crossesAt val="1"/>
        <c:crossBetween val="midCat"/>
        <c:dispUnits/>
      </c:valAx>
      <c:catAx>
        <c:axId val="55943351"/>
        <c:scaling>
          <c:orientation val="minMax"/>
        </c:scaling>
        <c:axPos val="b"/>
        <c:delete val="1"/>
        <c:majorTickMark val="in"/>
        <c:minorTickMark val="none"/>
        <c:tickLblPos val="nextTo"/>
        <c:crossAx val="33728112"/>
        <c:crosses val="autoZero"/>
        <c:auto val="1"/>
        <c:lblOffset val="100"/>
        <c:noMultiLvlLbl val="0"/>
      </c:catAx>
      <c:valAx>
        <c:axId val="33728112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5943351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5"/>
          <c:y val="0.5745"/>
          <c:w val="0.23175"/>
          <c:h val="0.223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Dimensional Control Coordin
Jobs; 8205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25"/>
          <c:w val="1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Summary!$F$82:$Q$82</c:f>
              <c:numCache>
                <c:ptCount val="12"/>
                <c:pt idx="0">
                  <c:v>0</c:v>
                </c:pt>
                <c:pt idx="1">
                  <c:v>27</c:v>
                </c:pt>
                <c:pt idx="2">
                  <c:v>54</c:v>
                </c:pt>
                <c:pt idx="3">
                  <c:v>84</c:v>
                </c:pt>
                <c:pt idx="4">
                  <c:v>102</c:v>
                </c:pt>
                <c:pt idx="5">
                  <c:v>123</c:v>
                </c:pt>
                <c:pt idx="6">
                  <c:v>143</c:v>
                </c:pt>
                <c:pt idx="7">
                  <c:v>158</c:v>
                </c:pt>
                <c:pt idx="8">
                  <c:v>180</c:v>
                </c:pt>
                <c:pt idx="9">
                  <c:v>205</c:v>
                </c:pt>
                <c:pt idx="10">
                  <c:v>240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Summary!$E$83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Summary!$F$83:$K$83</c:f>
              <c:numCache>
                <c:ptCount val="6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75.26736</c:v>
                </c:pt>
                <c:pt idx="4">
                  <c:v>76</c:v>
                </c:pt>
                <c:pt idx="5">
                  <c:v>87.581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Summary!$E$84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Summary!$F$84:$K$84</c:f>
              <c:numCache>
                <c:ptCount val="6"/>
                <c:pt idx="0">
                  <c:v>17.50684</c:v>
                </c:pt>
                <c:pt idx="1">
                  <c:v>37.58991</c:v>
                </c:pt>
                <c:pt idx="2">
                  <c:v>60.08210772351456</c:v>
                </c:pt>
                <c:pt idx="3">
                  <c:v>81.55410772351456</c:v>
                </c:pt>
                <c:pt idx="4">
                  <c:v>92.09610772351456</c:v>
                </c:pt>
                <c:pt idx="5">
                  <c:v>96.13410772351456</c:v>
                </c:pt>
              </c:numCache>
            </c:numRef>
          </c:val>
          <c:smooth val="0"/>
        </c:ser>
        <c:axId val="35117553"/>
        <c:axId val="47622522"/>
      </c:lineChart>
      <c:lineChart>
        <c:grouping val="standard"/>
        <c:varyColors val="0"/>
        <c:ser>
          <c:idx val="3"/>
          <c:order val="3"/>
          <c:tx>
            <c:strRef>
              <c:f>Summary!$E$85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Summary!$F$85:$K$85</c:f>
              <c:numCache>
                <c:ptCount val="6"/>
                <c:pt idx="0">
                  <c:v>0</c:v>
                </c:pt>
                <c:pt idx="1">
                  <c:v>0.5586605554522477</c:v>
                </c:pt>
                <c:pt idx="2">
                  <c:v>0.6990433856494402</c:v>
                </c:pt>
                <c:pt idx="3">
                  <c:v>0.9229131689500184</c:v>
                </c:pt>
                <c:pt idx="4">
                  <c:v>0.8252248860306091</c:v>
                </c:pt>
                <c:pt idx="5">
                  <c:v>0.9110294158228043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Summary!$F$86:$K$86</c:f>
              <c:numCache>
                <c:ptCount val="6"/>
                <c:pt idx="1">
                  <c:v>0.7777777777777778</c:v>
                </c:pt>
                <c:pt idx="2">
                  <c:v>0.7777777777777778</c:v>
                </c:pt>
                <c:pt idx="3">
                  <c:v>0.89604</c:v>
                </c:pt>
                <c:pt idx="4">
                  <c:v>0.7450980392156863</c:v>
                </c:pt>
                <c:pt idx="5">
                  <c:v>0.7120406504065041</c:v>
                </c:pt>
              </c:numCache>
            </c:numRef>
          </c:val>
          <c:smooth val="1"/>
        </c:ser>
        <c:axId val="25949515"/>
        <c:axId val="32219044"/>
      </c:lineChart>
      <c:catAx>
        <c:axId val="35117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22522"/>
        <c:crosses val="autoZero"/>
        <c:auto val="1"/>
        <c:lblOffset val="100"/>
        <c:noMultiLvlLbl val="0"/>
      </c:catAx>
      <c:valAx>
        <c:axId val="4762252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117553"/>
        <c:crossesAt val="1"/>
        <c:crossBetween val="midCat"/>
        <c:dispUnits/>
      </c:valAx>
      <c:catAx>
        <c:axId val="25949515"/>
        <c:scaling>
          <c:orientation val="minMax"/>
        </c:scaling>
        <c:axPos val="b"/>
        <c:delete val="1"/>
        <c:majorTickMark val="in"/>
        <c:minorTickMark val="none"/>
        <c:tickLblPos val="nextTo"/>
        <c:crossAx val="32219044"/>
        <c:crosses val="autoZero"/>
        <c:auto val="1"/>
        <c:lblOffset val="100"/>
        <c:noMultiLvlLbl val="0"/>
      </c:catAx>
      <c:valAx>
        <c:axId val="32219044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5949515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575"/>
          <c:y val="0.6175"/>
          <c:w val="0.2505"/>
          <c:h val="0.2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1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621.37</c:v>
                </c:pt>
                <c:pt idx="1">
                  <c:v>1829.46</c:v>
                </c:pt>
                <c:pt idx="2">
                  <c:v>3381.33</c:v>
                </c:pt>
                <c:pt idx="3">
                  <c:v>4709.53</c:v>
                </c:pt>
                <c:pt idx="4">
                  <c:v>5777.099999999999</c:v>
                </c:pt>
                <c:pt idx="5">
                  <c:v>7737.709999999999</c:v>
                </c:pt>
                <c:pt idx="6">
                  <c:v>8922.88</c:v>
                </c:pt>
                <c:pt idx="7">
                  <c:v>9855.77</c:v>
                </c:pt>
                <c:pt idx="8">
                  <c:v>11236.15</c:v>
                </c:pt>
                <c:pt idx="9">
                  <c:v>12403.96</c:v>
                </c:pt>
                <c:pt idx="10">
                  <c:v>13600.02</c:v>
                </c:pt>
                <c:pt idx="11">
                  <c:v>14726.46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</c:numCache>
            </c:numRef>
          </c:val>
          <c:smooth val="0"/>
        </c:ser>
        <c:axId val="21535941"/>
        <c:axId val="59605742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Summary!$F$37:$K$37</c:f>
              <c:numCache>
                <c:ptCount val="6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Summary!$F$38:$K$38</c:f>
              <c:numCache>
                <c:ptCount val="6"/>
                <c:pt idx="0">
                  <c:v>0.6775351240001931</c:v>
                </c:pt>
                <c:pt idx="1">
                  <c:v>0.9248630743498081</c:v>
                </c:pt>
                <c:pt idx="2">
                  <c:v>0.9422327900559839</c:v>
                </c:pt>
                <c:pt idx="3">
                  <c:v>0.9404363939076724</c:v>
                </c:pt>
                <c:pt idx="4">
                  <c:v>0.9614271021204411</c:v>
                </c:pt>
                <c:pt idx="5">
                  <c:v>0.9110637514199939</c:v>
                </c:pt>
              </c:numCache>
            </c:numRef>
          </c:val>
          <c:smooth val="0"/>
        </c:ser>
        <c:axId val="66689631"/>
        <c:axId val="63335768"/>
      </c:lineChart>
      <c:catAx>
        <c:axId val="215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5742"/>
        <c:crosses val="autoZero"/>
        <c:auto val="1"/>
        <c:lblOffset val="100"/>
        <c:noMultiLvlLbl val="0"/>
      </c:catAx>
      <c:valAx>
        <c:axId val="59605742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535941"/>
        <c:crossesAt val="1"/>
        <c:crossBetween val="midCat"/>
        <c:dispUnits/>
        <c:majorUnit val="2000"/>
      </c:valAx>
      <c:catAx>
        <c:axId val="66689631"/>
        <c:scaling>
          <c:orientation val="minMax"/>
        </c:scaling>
        <c:axPos val="b"/>
        <c:delete val="1"/>
        <c:majorTickMark val="in"/>
        <c:minorTickMark val="none"/>
        <c:tickLblPos val="nextTo"/>
        <c:crossAx val="63335768"/>
        <c:crosses val="autoZero"/>
        <c:auto val="1"/>
        <c:lblOffset val="100"/>
        <c:noMultiLvlLbl val="0"/>
      </c:catAx>
      <c:valAx>
        <c:axId val="63335768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66689631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7"/>
          <c:y val="0.35675"/>
          <c:w val="0.246"/>
          <c:h val="0.3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5"/>
          <c:w val="0.958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196.37</c:v>
                </c:pt>
                <c:pt idx="1">
                  <c:v>690.46</c:v>
                </c:pt>
                <c:pt idx="2">
                  <c:v>1538.33</c:v>
                </c:pt>
                <c:pt idx="3">
                  <c:v>2264.5299999999997</c:v>
                </c:pt>
                <c:pt idx="4">
                  <c:v>2812.0999999999995</c:v>
                </c:pt>
                <c:pt idx="5">
                  <c:v>4016.7099999999996</c:v>
                </c:pt>
                <c:pt idx="6">
                  <c:v>4658.28</c:v>
                </c:pt>
                <c:pt idx="7">
                  <c:v>5149.2699999999995</c:v>
                </c:pt>
                <c:pt idx="8">
                  <c:v>5882.45</c:v>
                </c:pt>
                <c:pt idx="9">
                  <c:v>6497.46</c:v>
                </c:pt>
                <c:pt idx="10">
                  <c:v>7096.72</c:v>
                </c:pt>
                <c:pt idx="11">
                  <c:v>7662.46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Summary!$F$17:$K$17</c:f>
              <c:numCache>
                <c:ptCount val="6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Summary!$F$18:$K$18</c:f>
              <c:numCache>
                <c:ptCount val="6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</c:numCache>
            </c:numRef>
          </c:val>
          <c:smooth val="0"/>
        </c:ser>
        <c:axId val="33151001"/>
        <c:axId val="29923554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Summary!$F$19:$K$19</c:f>
              <c:numCache>
                <c:ptCount val="6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Summary!$F$20:$K$20</c:f>
              <c:numCache>
                <c:ptCount val="6"/>
                <c:pt idx="0">
                  <c:v>0.6212761623465906</c:v>
                </c:pt>
                <c:pt idx="1">
                  <c:v>1.1267850418561538</c:v>
                </c:pt>
                <c:pt idx="2">
                  <c:v>0.9406304239012436</c:v>
                </c:pt>
                <c:pt idx="3">
                  <c:v>0.9678675787337772</c:v>
                </c:pt>
                <c:pt idx="4">
                  <c:v>1.031300633569219</c:v>
                </c:pt>
                <c:pt idx="5">
                  <c:v>0.9446800988869001</c:v>
                </c:pt>
              </c:numCache>
            </c:numRef>
          </c:val>
          <c:smooth val="0"/>
        </c:ser>
        <c:axId val="876531"/>
        <c:axId val="7888780"/>
      </c:lineChart>
      <c:catAx>
        <c:axId val="3315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23554"/>
        <c:crosses val="autoZero"/>
        <c:auto val="1"/>
        <c:lblOffset val="100"/>
        <c:noMultiLvlLbl val="0"/>
      </c:catAx>
      <c:valAx>
        <c:axId val="2992355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151001"/>
        <c:crossesAt val="1"/>
        <c:crossBetween val="midCat"/>
        <c:dispUnits/>
        <c:majorUnit val="1000"/>
      </c:valAx>
      <c:catAx>
        <c:axId val="876531"/>
        <c:scaling>
          <c:orientation val="minMax"/>
        </c:scaling>
        <c:axPos val="b"/>
        <c:delete val="1"/>
        <c:majorTickMark val="in"/>
        <c:minorTickMark val="none"/>
        <c:tickLblPos val="nextTo"/>
        <c:crossAx val="7888780"/>
        <c:crosses val="autoZero"/>
        <c:auto val="1"/>
        <c:lblOffset val="100"/>
        <c:noMultiLvlLbl val="0"/>
      </c:catAx>
      <c:valAx>
        <c:axId val="7888780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8765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3"/>
          <c:y val="0.394"/>
          <c:w val="0.31125"/>
          <c:h val="0.313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628</c:v>
                </c:pt>
                <c:pt idx="6">
                  <c:v>755</c:v>
                </c:pt>
                <c:pt idx="7">
                  <c:v>850</c:v>
                </c:pt>
                <c:pt idx="8">
                  <c:v>989</c:v>
                </c:pt>
                <c:pt idx="9">
                  <c:v>1121</c:v>
                </c:pt>
                <c:pt idx="10">
                  <c:v>1253</c:v>
                </c:pt>
                <c:pt idx="11">
                  <c:v>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Summary!$F$11:$K$11</c:f>
              <c:numCache>
                <c:ptCount val="6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Summary!$F$12:$K$12</c:f>
              <c:numCache>
                <c:ptCount val="6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</c:numCache>
            </c:numRef>
          </c:val>
          <c:smooth val="0"/>
        </c:ser>
        <c:axId val="3890157"/>
        <c:axId val="35011414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Summary!$F$13:$K$13</c:f>
              <c:numCache>
                <c:ptCount val="6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Summary!$F$14:$K$14</c:f>
              <c:numCache>
                <c:ptCount val="6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0.9995191082802549</c:v>
                </c:pt>
              </c:numCache>
            </c:numRef>
          </c:val>
          <c:smooth val="0"/>
        </c:ser>
        <c:axId val="46667271"/>
        <c:axId val="17352256"/>
      </c:lineChart>
      <c:catAx>
        <c:axId val="38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11414"/>
        <c:crosses val="autoZero"/>
        <c:auto val="1"/>
        <c:lblOffset val="100"/>
        <c:noMultiLvlLbl val="0"/>
      </c:catAx>
      <c:valAx>
        <c:axId val="3501141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0157"/>
        <c:crossesAt val="1"/>
        <c:crossBetween val="midCat"/>
        <c:dispUnits/>
        <c:majorUnit val="200"/>
      </c:valAx>
      <c:catAx>
        <c:axId val="46667271"/>
        <c:scaling>
          <c:orientation val="minMax"/>
        </c:scaling>
        <c:axPos val="b"/>
        <c:delete val="1"/>
        <c:majorTickMark val="in"/>
        <c:minorTickMark val="none"/>
        <c:tickLblPos val="nextTo"/>
        <c:crossAx val="17352256"/>
        <c:crossesAt val="0.1"/>
        <c:auto val="1"/>
        <c:lblOffset val="100"/>
        <c:noMultiLvlLbl val="0"/>
      </c:catAx>
      <c:valAx>
        <c:axId val="17352256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6667271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5"/>
          <c:y val="0.3505"/>
          <c:w val="0.22825"/>
          <c:h val="0.381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Design 
Jobs; 1416/1421/1429</a:t>
            </a:r>
          </a:p>
        </c:rich>
      </c:tx>
      <c:layout>
        <c:manualLayout>
          <c:xMode val="factor"/>
          <c:yMode val="factor"/>
          <c:x val="-0.01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25"/>
          <c:w val="1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Summary!$F$40:$Q$40</c:f>
              <c:numCache>
                <c:ptCount val="12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  <c:pt idx="10">
                  <c:v>1606</c:v>
                </c:pt>
                <c:pt idx="11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Summary!$F$41:$K$41</c:f>
              <c:numCache>
                <c:ptCount val="6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Summary!$F$42:$K$42</c:f>
              <c:numCache>
                <c:ptCount val="6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</c:numCache>
            </c:numRef>
          </c:val>
          <c:smooth val="0"/>
        </c:ser>
        <c:axId val="21952577"/>
        <c:axId val="63355466"/>
      </c:lineChart>
      <c:lineChart>
        <c:grouping val="standard"/>
        <c:varyColors val="0"/>
        <c:ser>
          <c:idx val="3"/>
          <c:order val="3"/>
          <c:tx>
            <c:strRef>
              <c:f>Summary!$E$43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Summary!$F$43:$K$43</c:f>
              <c:numCache>
                <c:ptCount val="6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Summary!$E$44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Summary!$F$44:$K$44</c:f>
              <c:numCache>
                <c:ptCount val="6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</c:numCache>
            </c:numRef>
          </c:val>
          <c:smooth val="0"/>
        </c:ser>
        <c:axId val="33328283"/>
        <c:axId val="31519092"/>
      </c:lineChart>
      <c:catAx>
        <c:axId val="2195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55466"/>
        <c:crosses val="autoZero"/>
        <c:auto val="1"/>
        <c:lblOffset val="100"/>
        <c:noMultiLvlLbl val="0"/>
      </c:catAx>
      <c:valAx>
        <c:axId val="63355466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952577"/>
        <c:crossesAt val="1"/>
        <c:crossBetween val="midCat"/>
        <c:dispUnits/>
      </c:valAx>
      <c:catAx>
        <c:axId val="33328283"/>
        <c:scaling>
          <c:orientation val="minMax"/>
        </c:scaling>
        <c:axPos val="b"/>
        <c:delete val="1"/>
        <c:majorTickMark val="in"/>
        <c:minorTickMark val="none"/>
        <c:tickLblPos val="nextTo"/>
        <c:crossAx val="31519092"/>
        <c:crosses val="autoZero"/>
        <c:auto val="1"/>
        <c:lblOffset val="100"/>
        <c:noMultiLvlLbl val="0"/>
      </c:catAx>
      <c:valAx>
        <c:axId val="31519092"/>
        <c:scaling>
          <c:orientation val="minMax"/>
          <c:max val="2"/>
        </c:scaling>
        <c:axPos val="l"/>
        <c:delete val="0"/>
        <c:numFmt formatCode="General" sourceLinked="1"/>
        <c:majorTickMark val="in"/>
        <c:minorTickMark val="none"/>
        <c:tickLblPos val="nextTo"/>
        <c:crossAx val="33328283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488"/>
          <c:w val="0.24475"/>
          <c:h val="0.241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1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424</c:v>
                </c:pt>
                <c:pt idx="1">
                  <c:v>1042</c:v>
                </c:pt>
                <c:pt idx="2">
                  <c:v>1650</c:v>
                </c:pt>
                <c:pt idx="3">
                  <c:v>2147</c:v>
                </c:pt>
                <c:pt idx="4">
                  <c:v>2580</c:v>
                </c:pt>
                <c:pt idx="5">
                  <c:v>3188</c:v>
                </c:pt>
                <c:pt idx="6">
                  <c:v>3601.6</c:v>
                </c:pt>
                <c:pt idx="7">
                  <c:v>3946.5</c:v>
                </c:pt>
                <c:pt idx="8">
                  <c:v>4451.7</c:v>
                </c:pt>
                <c:pt idx="9">
                  <c:v>4869.5</c:v>
                </c:pt>
                <c:pt idx="10">
                  <c:v>5331.3</c:v>
                </c:pt>
                <c:pt idx="11">
                  <c:v>5750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Summary!$F$23:$K$23</c:f>
              <c:numCache>
                <c:ptCount val="6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Summary!$F$24:$K$24</c:f>
              <c:numCache>
                <c:ptCount val="6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</c:numCache>
            </c:numRef>
          </c:val>
          <c:smooth val="0"/>
        </c:ser>
        <c:axId val="15236373"/>
        <c:axId val="2909630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Summary!$F$25:$K$25</c:f>
              <c:numCache>
                <c:ptCount val="6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Summary!$F$26:$K$26</c:f>
              <c:numCache>
                <c:ptCount val="6"/>
                <c:pt idx="0">
                  <c:v>0.7075471698113207</c:v>
                </c:pt>
                <c:pt idx="1">
                  <c:v>0.7840690978886756</c:v>
                </c:pt>
                <c:pt idx="2">
                  <c:v>0.936969696969697</c:v>
                </c:pt>
                <c:pt idx="3">
                  <c:v>0.9029557949883558</c:v>
                </c:pt>
                <c:pt idx="4">
                  <c:v>0.8793410852713177</c:v>
                </c:pt>
                <c:pt idx="5">
                  <c:v>0.8538717377666247</c:v>
                </c:pt>
              </c:numCache>
            </c:numRef>
          </c:val>
          <c:smooth val="0"/>
        </c:ser>
        <c:axId val="26186671"/>
        <c:axId val="34353448"/>
      </c:lineChart>
      <c:catAx>
        <c:axId val="1523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9630"/>
        <c:crosses val="autoZero"/>
        <c:auto val="1"/>
        <c:lblOffset val="100"/>
        <c:noMultiLvlLbl val="0"/>
      </c:catAx>
      <c:valAx>
        <c:axId val="2909630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236373"/>
        <c:crossesAt val="1"/>
        <c:crossBetween val="midCat"/>
        <c:dispUnits/>
        <c:majorUnit val="1000"/>
      </c:valAx>
      <c:catAx>
        <c:axId val="26186671"/>
        <c:scaling>
          <c:orientation val="minMax"/>
        </c:scaling>
        <c:axPos val="b"/>
        <c:delete val="1"/>
        <c:majorTickMark val="in"/>
        <c:minorTickMark val="none"/>
        <c:tickLblPos val="nextTo"/>
        <c:crossAx val="34353448"/>
        <c:crosses val="autoZero"/>
        <c:auto val="1"/>
        <c:lblOffset val="100"/>
        <c:noMultiLvlLbl val="0"/>
      </c:catAx>
      <c:valAx>
        <c:axId val="34353448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61866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075"/>
          <c:y val="0.37725"/>
          <c:w val="0.331"/>
          <c:h val="0.350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0.49175</cdr:y>
    </cdr:from>
    <cdr:to>
      <cdr:x>0.8845</cdr:x>
      <cdr:y>0.49175</cdr:y>
    </cdr:to>
    <cdr:sp>
      <cdr:nvSpPr>
        <cdr:cNvPr id="1" name="Line 1"/>
        <cdr:cNvSpPr>
          <a:spLocks/>
        </cdr:cNvSpPr>
      </cdr:nvSpPr>
      <cdr:spPr>
        <a:xfrm flipV="1">
          <a:off x="295275" y="1295400"/>
          <a:ext cx="2647950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0.46875</cdr:y>
    </cdr:from>
    <cdr:to>
      <cdr:x>0.88425</cdr:x>
      <cdr:y>0.46875</cdr:y>
    </cdr:to>
    <cdr:sp>
      <cdr:nvSpPr>
        <cdr:cNvPr id="1" name="Line 1"/>
        <cdr:cNvSpPr>
          <a:spLocks/>
        </cdr:cNvSpPr>
      </cdr:nvSpPr>
      <cdr:spPr>
        <a:xfrm>
          <a:off x="333375" y="1238250"/>
          <a:ext cx="255270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0.426</cdr:y>
    </cdr:from>
    <cdr:to>
      <cdr:x>0.877</cdr:x>
      <cdr:y>0.426</cdr:y>
    </cdr:to>
    <cdr:sp>
      <cdr:nvSpPr>
        <cdr:cNvPr id="1" name="Line 1"/>
        <cdr:cNvSpPr>
          <a:spLocks/>
        </cdr:cNvSpPr>
      </cdr:nvSpPr>
      <cdr:spPr>
        <a:xfrm>
          <a:off x="400050" y="1133475"/>
          <a:ext cx="2505075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0.5135</cdr:y>
    </cdr:from>
    <cdr:to>
      <cdr:x>0.89175</cdr:x>
      <cdr:y>0.5135</cdr:y>
    </cdr:to>
    <cdr:sp>
      <cdr:nvSpPr>
        <cdr:cNvPr id="1" name="Line 1"/>
        <cdr:cNvSpPr>
          <a:spLocks/>
        </cdr:cNvSpPr>
      </cdr:nvSpPr>
      <cdr:spPr>
        <a:xfrm>
          <a:off x="247650" y="1352550"/>
          <a:ext cx="2686050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0.62975</cdr:y>
    </cdr:from>
    <cdr:to>
      <cdr:x>0.88775</cdr:x>
      <cdr:y>0.62975</cdr:y>
    </cdr:to>
    <cdr:sp>
      <cdr:nvSpPr>
        <cdr:cNvPr id="1" name="Line 1"/>
        <cdr:cNvSpPr>
          <a:spLocks/>
        </cdr:cNvSpPr>
      </cdr:nvSpPr>
      <cdr:spPr>
        <a:xfrm>
          <a:off x="266700" y="1628775"/>
          <a:ext cx="2676525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0.51</cdr:y>
    </cdr:from>
    <cdr:to>
      <cdr:x>0.863</cdr:x>
      <cdr:y>0.51</cdr:y>
    </cdr:to>
    <cdr:sp>
      <cdr:nvSpPr>
        <cdr:cNvPr id="1" name="Line 1"/>
        <cdr:cNvSpPr>
          <a:spLocks/>
        </cdr:cNvSpPr>
      </cdr:nvSpPr>
      <cdr:spPr>
        <a:xfrm>
          <a:off x="781050" y="1352550"/>
          <a:ext cx="20002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0.51525</cdr:y>
    </cdr:from>
    <cdr:to>
      <cdr:x>0.8955</cdr:x>
      <cdr:y>0.51525</cdr:y>
    </cdr:to>
    <cdr:sp>
      <cdr:nvSpPr>
        <cdr:cNvPr id="1" name="Line 1"/>
        <cdr:cNvSpPr>
          <a:spLocks/>
        </cdr:cNvSpPr>
      </cdr:nvSpPr>
      <cdr:spPr>
        <a:xfrm>
          <a:off x="838200" y="1362075"/>
          <a:ext cx="21907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0.30375</cdr:y>
    </cdr:from>
    <cdr:to>
      <cdr:x>0.89</cdr:x>
      <cdr:y>0.30375</cdr:y>
    </cdr:to>
    <cdr:sp>
      <cdr:nvSpPr>
        <cdr:cNvPr id="1" name="Line 1"/>
        <cdr:cNvSpPr>
          <a:spLocks/>
        </cdr:cNvSpPr>
      </cdr:nvSpPr>
      <cdr:spPr>
        <a:xfrm flipV="1">
          <a:off x="257175" y="790575"/>
          <a:ext cx="2619375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0.40275</cdr:y>
    </cdr:from>
    <cdr:to>
      <cdr:x>0.87375</cdr:x>
      <cdr:y>0.4035</cdr:y>
    </cdr:to>
    <cdr:sp>
      <cdr:nvSpPr>
        <cdr:cNvPr id="1" name="Line 1"/>
        <cdr:cNvSpPr>
          <a:spLocks/>
        </cdr:cNvSpPr>
      </cdr:nvSpPr>
      <cdr:spPr>
        <a:xfrm flipV="1">
          <a:off x="266700" y="1066800"/>
          <a:ext cx="26098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0.2885</cdr:y>
    </cdr:from>
    <cdr:to>
      <cdr:x>0.89225</cdr:x>
      <cdr:y>0.2885</cdr:y>
    </cdr:to>
    <cdr:sp>
      <cdr:nvSpPr>
        <cdr:cNvPr id="1" name="Line 1"/>
        <cdr:cNvSpPr>
          <a:spLocks/>
        </cdr:cNvSpPr>
      </cdr:nvSpPr>
      <cdr:spPr>
        <a:xfrm>
          <a:off x="247650" y="752475"/>
          <a:ext cx="26479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57150</xdr:rowOff>
    </xdr:from>
    <xdr:to>
      <xdr:col>10</xdr:col>
      <xdr:colOff>561975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3324225" y="57150"/>
        <a:ext cx="3333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47625</xdr:rowOff>
    </xdr:from>
    <xdr:to>
      <xdr:col>5</xdr:col>
      <xdr:colOff>219075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66675" y="47625"/>
        <a:ext cx="3200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17</xdr:row>
      <xdr:rowOff>0</xdr:rowOff>
    </xdr:from>
    <xdr:to>
      <xdr:col>10</xdr:col>
      <xdr:colOff>561975</xdr:colOff>
      <xdr:row>33</xdr:row>
      <xdr:rowOff>95250</xdr:rowOff>
    </xdr:to>
    <xdr:graphicFrame>
      <xdr:nvGraphicFramePr>
        <xdr:cNvPr id="3" name="Chart 4"/>
        <xdr:cNvGraphicFramePr/>
      </xdr:nvGraphicFramePr>
      <xdr:xfrm>
        <a:off x="3333750" y="2752725"/>
        <a:ext cx="3324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17</xdr:row>
      <xdr:rowOff>9525</xdr:rowOff>
    </xdr:from>
    <xdr:to>
      <xdr:col>5</xdr:col>
      <xdr:colOff>219075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38100" y="2762250"/>
        <a:ext cx="32289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28575</xdr:colOff>
      <xdr:row>0</xdr:row>
      <xdr:rowOff>47625</xdr:rowOff>
    </xdr:from>
    <xdr:to>
      <xdr:col>17</xdr:col>
      <xdr:colOff>333375</xdr:colOff>
      <xdr:row>16</xdr:row>
      <xdr:rowOff>85725</xdr:rowOff>
    </xdr:to>
    <xdr:graphicFrame>
      <xdr:nvGraphicFramePr>
        <xdr:cNvPr id="5" name="Chart 7"/>
        <xdr:cNvGraphicFramePr/>
      </xdr:nvGraphicFramePr>
      <xdr:xfrm>
        <a:off x="7343775" y="47625"/>
        <a:ext cx="3352800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16</xdr:row>
      <xdr:rowOff>152400</xdr:rowOff>
    </xdr:from>
    <xdr:to>
      <xdr:col>17</xdr:col>
      <xdr:colOff>323850</xdr:colOff>
      <xdr:row>33</xdr:row>
      <xdr:rowOff>85725</xdr:rowOff>
    </xdr:to>
    <xdr:graphicFrame>
      <xdr:nvGraphicFramePr>
        <xdr:cNvPr id="6" name="Chart 8"/>
        <xdr:cNvGraphicFramePr/>
      </xdr:nvGraphicFramePr>
      <xdr:xfrm>
        <a:off x="7362825" y="2743200"/>
        <a:ext cx="33242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314325</xdr:colOff>
      <xdr:row>0</xdr:row>
      <xdr:rowOff>38100</xdr:rowOff>
    </xdr:from>
    <xdr:to>
      <xdr:col>22</xdr:col>
      <xdr:colOff>533400</xdr:colOff>
      <xdr:row>16</xdr:row>
      <xdr:rowOff>76200</xdr:rowOff>
    </xdr:to>
    <xdr:graphicFrame>
      <xdr:nvGraphicFramePr>
        <xdr:cNvPr id="7" name="Chart 9"/>
        <xdr:cNvGraphicFramePr/>
      </xdr:nvGraphicFramePr>
      <xdr:xfrm>
        <a:off x="10677525" y="38100"/>
        <a:ext cx="32670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52</xdr:row>
      <xdr:rowOff>38100</xdr:rowOff>
    </xdr:from>
    <xdr:to>
      <xdr:col>5</xdr:col>
      <xdr:colOff>323850</xdr:colOff>
      <xdr:row>68</xdr:row>
      <xdr:rowOff>104775</xdr:rowOff>
    </xdr:to>
    <xdr:graphicFrame>
      <xdr:nvGraphicFramePr>
        <xdr:cNvPr id="8" name="Chart 11"/>
        <xdr:cNvGraphicFramePr/>
      </xdr:nvGraphicFramePr>
      <xdr:xfrm>
        <a:off x="66675" y="8458200"/>
        <a:ext cx="33051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371475</xdr:colOff>
      <xdr:row>16</xdr:row>
      <xdr:rowOff>142875</xdr:rowOff>
    </xdr:from>
    <xdr:to>
      <xdr:col>22</xdr:col>
      <xdr:colOff>581025</xdr:colOff>
      <xdr:row>33</xdr:row>
      <xdr:rowOff>66675</xdr:rowOff>
    </xdr:to>
    <xdr:graphicFrame>
      <xdr:nvGraphicFramePr>
        <xdr:cNvPr id="9" name="Chart 12"/>
        <xdr:cNvGraphicFramePr/>
      </xdr:nvGraphicFramePr>
      <xdr:xfrm>
        <a:off x="10734675" y="2733675"/>
        <a:ext cx="3257550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52</xdr:row>
      <xdr:rowOff>38100</xdr:rowOff>
    </xdr:from>
    <xdr:to>
      <xdr:col>10</xdr:col>
      <xdr:colOff>561975</xdr:colOff>
      <xdr:row>68</xdr:row>
      <xdr:rowOff>104775</xdr:rowOff>
    </xdr:to>
    <xdr:graphicFrame>
      <xdr:nvGraphicFramePr>
        <xdr:cNvPr id="10" name="Chart 13"/>
        <xdr:cNvGraphicFramePr/>
      </xdr:nvGraphicFramePr>
      <xdr:xfrm>
        <a:off x="3381375" y="8458200"/>
        <a:ext cx="3276600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5</xdr:col>
      <xdr:colOff>295275</xdr:colOff>
      <xdr:row>52</xdr:row>
      <xdr:rowOff>28575</xdr:rowOff>
    </xdr:to>
    <xdr:graphicFrame>
      <xdr:nvGraphicFramePr>
        <xdr:cNvPr id="11" name="Chart 14"/>
        <xdr:cNvGraphicFramePr/>
      </xdr:nvGraphicFramePr>
      <xdr:xfrm>
        <a:off x="19050" y="5781675"/>
        <a:ext cx="332422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304800</xdr:colOff>
      <xdr:row>35</xdr:row>
      <xdr:rowOff>114300</xdr:rowOff>
    </xdr:from>
    <xdr:to>
      <xdr:col>10</xdr:col>
      <xdr:colOff>542925</xdr:colOff>
      <xdr:row>52</xdr:row>
      <xdr:rowOff>9525</xdr:rowOff>
    </xdr:to>
    <xdr:graphicFrame>
      <xdr:nvGraphicFramePr>
        <xdr:cNvPr id="12" name="Chart 15"/>
        <xdr:cNvGraphicFramePr/>
      </xdr:nvGraphicFramePr>
      <xdr:xfrm>
        <a:off x="3352800" y="5781675"/>
        <a:ext cx="3286125" cy="2647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114300</xdr:colOff>
      <xdr:row>51</xdr:row>
      <xdr:rowOff>152400</xdr:rowOff>
    </xdr:from>
    <xdr:to>
      <xdr:col>17</xdr:col>
      <xdr:colOff>381000</xdr:colOff>
      <xdr:row>68</xdr:row>
      <xdr:rowOff>0</xdr:rowOff>
    </xdr:to>
    <xdr:graphicFrame>
      <xdr:nvGraphicFramePr>
        <xdr:cNvPr id="13" name="Chart 16"/>
        <xdr:cNvGraphicFramePr/>
      </xdr:nvGraphicFramePr>
      <xdr:xfrm>
        <a:off x="7429500" y="8410575"/>
        <a:ext cx="3314700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95250</xdr:colOff>
      <xdr:row>69</xdr:row>
      <xdr:rowOff>66675</xdr:rowOff>
    </xdr:from>
    <xdr:to>
      <xdr:col>5</xdr:col>
      <xdr:colOff>276225</xdr:colOff>
      <xdr:row>85</xdr:row>
      <xdr:rowOff>133350</xdr:rowOff>
    </xdr:to>
    <xdr:graphicFrame>
      <xdr:nvGraphicFramePr>
        <xdr:cNvPr id="14" name="Chart 18"/>
        <xdr:cNvGraphicFramePr/>
      </xdr:nvGraphicFramePr>
      <xdr:xfrm>
        <a:off x="95250" y="11239500"/>
        <a:ext cx="322897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504825</xdr:colOff>
      <xdr:row>63</xdr:row>
      <xdr:rowOff>9525</xdr:rowOff>
    </xdr:from>
    <xdr:to>
      <xdr:col>35</xdr:col>
      <xdr:colOff>228600</xdr:colOff>
      <xdr:row>79</xdr:row>
      <xdr:rowOff>66675</xdr:rowOff>
    </xdr:to>
    <xdr:graphicFrame>
      <xdr:nvGraphicFramePr>
        <xdr:cNvPr id="15" name="Chart 19"/>
        <xdr:cNvGraphicFramePr/>
      </xdr:nvGraphicFramePr>
      <xdr:xfrm>
        <a:off x="18183225" y="10210800"/>
        <a:ext cx="3381375" cy="2647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409575</xdr:colOff>
      <xdr:row>51</xdr:row>
      <xdr:rowOff>123825</xdr:rowOff>
    </xdr:from>
    <xdr:to>
      <xdr:col>22</xdr:col>
      <xdr:colOff>600075</xdr:colOff>
      <xdr:row>68</xdr:row>
      <xdr:rowOff>0</xdr:rowOff>
    </xdr:to>
    <xdr:graphicFrame>
      <xdr:nvGraphicFramePr>
        <xdr:cNvPr id="16" name="Chart 20"/>
        <xdr:cNvGraphicFramePr/>
      </xdr:nvGraphicFramePr>
      <xdr:xfrm>
        <a:off x="10772775" y="8382000"/>
        <a:ext cx="323850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114300</xdr:colOff>
      <xdr:row>35</xdr:row>
      <xdr:rowOff>76200</xdr:rowOff>
    </xdr:from>
    <xdr:to>
      <xdr:col>17</xdr:col>
      <xdr:colOff>371475</xdr:colOff>
      <xdr:row>51</xdr:row>
      <xdr:rowOff>142875</xdr:rowOff>
    </xdr:to>
    <xdr:graphicFrame>
      <xdr:nvGraphicFramePr>
        <xdr:cNvPr id="17" name="Chart 21"/>
        <xdr:cNvGraphicFramePr/>
      </xdr:nvGraphicFramePr>
      <xdr:xfrm>
        <a:off x="7429500" y="5743575"/>
        <a:ext cx="3305175" cy="2657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381000</xdr:colOff>
      <xdr:row>35</xdr:row>
      <xdr:rowOff>66675</xdr:rowOff>
    </xdr:from>
    <xdr:to>
      <xdr:col>22</xdr:col>
      <xdr:colOff>590550</xdr:colOff>
      <xdr:row>51</xdr:row>
      <xdr:rowOff>114300</xdr:rowOff>
    </xdr:to>
    <xdr:graphicFrame>
      <xdr:nvGraphicFramePr>
        <xdr:cNvPr id="18" name="Chart 22"/>
        <xdr:cNvGraphicFramePr/>
      </xdr:nvGraphicFramePr>
      <xdr:xfrm>
        <a:off x="10744200" y="5734050"/>
        <a:ext cx="325755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0.71875</cdr:y>
    </cdr:from>
    <cdr:to>
      <cdr:x>0.89125</cdr:x>
      <cdr:y>0.7195</cdr:y>
    </cdr:to>
    <cdr:sp>
      <cdr:nvSpPr>
        <cdr:cNvPr id="1" name="Line 1"/>
        <cdr:cNvSpPr>
          <a:spLocks/>
        </cdr:cNvSpPr>
      </cdr:nvSpPr>
      <cdr:spPr>
        <a:xfrm>
          <a:off x="257175" y="1914525"/>
          <a:ext cx="2590800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47625</xdr:rowOff>
    </xdr:from>
    <xdr:to>
      <xdr:col>5</xdr:col>
      <xdr:colOff>0</xdr:colOff>
      <xdr:row>15</xdr:row>
      <xdr:rowOff>161925</xdr:rowOff>
    </xdr:to>
    <xdr:sp>
      <xdr:nvSpPr>
        <xdr:cNvPr id="1" name="TextBox 396"/>
        <xdr:cNvSpPr txBox="1">
          <a:spLocks noChangeArrowheads="1"/>
        </xdr:cNvSpPr>
      </xdr:nvSpPr>
      <xdr:spPr>
        <a:xfrm>
          <a:off x="6819900" y="27241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54</xdr:col>
      <xdr:colOff>85725</xdr:colOff>
      <xdr:row>78</xdr:row>
      <xdr:rowOff>0</xdr:rowOff>
    </xdr:from>
    <xdr:to>
      <xdr:col>78</xdr:col>
      <xdr:colOff>447675</xdr:colOff>
      <xdr:row>78</xdr:row>
      <xdr:rowOff>0</xdr:rowOff>
    </xdr:to>
    <xdr:graphicFrame>
      <xdr:nvGraphicFramePr>
        <xdr:cNvPr id="2" name="Chart 397"/>
        <xdr:cNvGraphicFramePr/>
      </xdr:nvGraphicFramePr>
      <xdr:xfrm>
        <a:off x="28708350" y="13020675"/>
        <a:ext cx="1301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47625</xdr:rowOff>
    </xdr:from>
    <xdr:to>
      <xdr:col>3</xdr:col>
      <xdr:colOff>0</xdr:colOff>
      <xdr:row>15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27622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51</xdr:col>
      <xdr:colOff>85725</xdr:colOff>
      <xdr:row>80</xdr:row>
      <xdr:rowOff>0</xdr:rowOff>
    </xdr:from>
    <xdr:to>
      <xdr:col>69</xdr:col>
      <xdr:colOff>466725</xdr:colOff>
      <xdr:row>80</xdr:row>
      <xdr:rowOff>0</xdr:rowOff>
    </xdr:to>
    <xdr:graphicFrame>
      <xdr:nvGraphicFramePr>
        <xdr:cNvPr id="2" name="Chart 4"/>
        <xdr:cNvGraphicFramePr/>
      </xdr:nvGraphicFramePr>
      <xdr:xfrm>
        <a:off x="9953625" y="13430250"/>
        <a:ext cx="104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27</xdr:row>
      <xdr:rowOff>123825</xdr:rowOff>
    </xdr:from>
    <xdr:to>
      <xdr:col>10</xdr:col>
      <xdr:colOff>561975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95325" y="4667250"/>
        <a:ext cx="12058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55</xdr:row>
      <xdr:rowOff>38100</xdr:rowOff>
    </xdr:from>
    <xdr:to>
      <xdr:col>10</xdr:col>
      <xdr:colOff>552450</xdr:colOff>
      <xdr:row>82</xdr:row>
      <xdr:rowOff>85725</xdr:rowOff>
    </xdr:to>
    <xdr:graphicFrame>
      <xdr:nvGraphicFramePr>
        <xdr:cNvPr id="2" name="Chart 3"/>
        <xdr:cNvGraphicFramePr/>
      </xdr:nvGraphicFramePr>
      <xdr:xfrm>
        <a:off x="695325" y="9115425"/>
        <a:ext cx="120491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15</xdr:row>
      <xdr:rowOff>76200</xdr:rowOff>
    </xdr:from>
    <xdr:to>
      <xdr:col>1</xdr:col>
      <xdr:colOff>561975</xdr:colOff>
      <xdr:row>15</xdr:row>
      <xdr:rowOff>76200</xdr:rowOff>
    </xdr:to>
    <xdr:sp>
      <xdr:nvSpPr>
        <xdr:cNvPr id="3" name="Line 5"/>
        <xdr:cNvSpPr>
          <a:spLocks/>
        </xdr:cNvSpPr>
      </xdr:nvSpPr>
      <xdr:spPr>
        <a:xfrm>
          <a:off x="180975" y="2600325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95250</xdr:rowOff>
    </xdr:from>
    <xdr:to>
      <xdr:col>1</xdr:col>
      <xdr:colOff>504825</xdr:colOff>
      <xdr:row>12</xdr:row>
      <xdr:rowOff>95250</xdr:rowOff>
    </xdr:to>
    <xdr:sp>
      <xdr:nvSpPr>
        <xdr:cNvPr id="4" name="Line 6"/>
        <xdr:cNvSpPr>
          <a:spLocks/>
        </xdr:cNvSpPr>
      </xdr:nvSpPr>
      <xdr:spPr>
        <a:xfrm>
          <a:off x="123825" y="2124075"/>
          <a:ext cx="990600" cy="0"/>
        </a:xfrm>
        <a:prstGeom prst="line">
          <a:avLst/>
        </a:prstGeom>
        <a:noFill/>
        <a:ln w="412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95250</xdr:rowOff>
    </xdr:from>
    <xdr:to>
      <xdr:col>1</xdr:col>
      <xdr:colOff>561975</xdr:colOff>
      <xdr:row>16</xdr:row>
      <xdr:rowOff>95250</xdr:rowOff>
    </xdr:to>
    <xdr:sp>
      <xdr:nvSpPr>
        <xdr:cNvPr id="5" name="Line 7"/>
        <xdr:cNvSpPr>
          <a:spLocks/>
        </xdr:cNvSpPr>
      </xdr:nvSpPr>
      <xdr:spPr>
        <a:xfrm>
          <a:off x="180975" y="2790825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95250</xdr:rowOff>
    </xdr:from>
    <xdr:to>
      <xdr:col>1</xdr:col>
      <xdr:colOff>495300</xdr:colOff>
      <xdr:row>25</xdr:row>
      <xdr:rowOff>95250</xdr:rowOff>
    </xdr:to>
    <xdr:sp>
      <xdr:nvSpPr>
        <xdr:cNvPr id="6" name="Line 8"/>
        <xdr:cNvSpPr>
          <a:spLocks/>
        </xdr:cNvSpPr>
      </xdr:nvSpPr>
      <xdr:spPr>
        <a:xfrm>
          <a:off x="114300" y="4314825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24</xdr:row>
      <xdr:rowOff>66675</xdr:rowOff>
    </xdr:from>
    <xdr:to>
      <xdr:col>1</xdr:col>
      <xdr:colOff>514350</xdr:colOff>
      <xdr:row>24</xdr:row>
      <xdr:rowOff>66675</xdr:rowOff>
    </xdr:to>
    <xdr:sp>
      <xdr:nvSpPr>
        <xdr:cNvPr id="7" name="Line 9"/>
        <xdr:cNvSpPr>
          <a:spLocks/>
        </xdr:cNvSpPr>
      </xdr:nvSpPr>
      <xdr:spPr>
        <a:xfrm>
          <a:off x="133350" y="4114800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47625</xdr:rowOff>
    </xdr:from>
    <xdr:to>
      <xdr:col>6</xdr:col>
      <xdr:colOff>0</xdr:colOff>
      <xdr:row>19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9725" y="4895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14</xdr:col>
      <xdr:colOff>0</xdr:colOff>
      <xdr:row>19</xdr:row>
      <xdr:rowOff>47625</xdr:rowOff>
    </xdr:from>
    <xdr:to>
      <xdr:col>14</xdr:col>
      <xdr:colOff>0</xdr:colOff>
      <xdr:row>19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62925" y="4895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0.3495</cdr:y>
    </cdr:from>
    <cdr:to>
      <cdr:x>0.93675</cdr:x>
      <cdr:y>0.3495</cdr:y>
    </cdr:to>
    <cdr:sp>
      <cdr:nvSpPr>
        <cdr:cNvPr id="1" name="Line 1"/>
        <cdr:cNvSpPr>
          <a:spLocks/>
        </cdr:cNvSpPr>
      </cdr:nvSpPr>
      <cdr:spPr>
        <a:xfrm flipH="1">
          <a:off x="352425" y="857250"/>
          <a:ext cx="54768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3</xdr:col>
      <xdr:colOff>1362075</xdr:colOff>
      <xdr:row>66</xdr:row>
      <xdr:rowOff>142875</xdr:rowOff>
    </xdr:to>
    <xdr:graphicFrame>
      <xdr:nvGraphicFramePr>
        <xdr:cNvPr id="1" name="Chart 5"/>
        <xdr:cNvGraphicFramePr/>
      </xdr:nvGraphicFramePr>
      <xdr:xfrm>
        <a:off x="0" y="8753475"/>
        <a:ext cx="62293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0.334</cdr:y>
    </cdr:from>
    <cdr:to>
      <cdr:x>0.945</cdr:x>
      <cdr:y>0.334</cdr:y>
    </cdr:to>
    <cdr:sp>
      <cdr:nvSpPr>
        <cdr:cNvPr id="1" name="Line 1"/>
        <cdr:cNvSpPr>
          <a:spLocks/>
        </cdr:cNvSpPr>
      </cdr:nvSpPr>
      <cdr:spPr>
        <a:xfrm flipV="1">
          <a:off x="409575" y="1066800"/>
          <a:ext cx="53340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37</xdr:row>
      <xdr:rowOff>38100</xdr:rowOff>
    </xdr:from>
    <xdr:to>
      <xdr:col>4</xdr:col>
      <xdr:colOff>219075</xdr:colOff>
      <xdr:row>45</xdr:row>
      <xdr:rowOff>152400</xdr:rowOff>
    </xdr:to>
    <xdr:sp>
      <xdr:nvSpPr>
        <xdr:cNvPr id="1" name="AutoShape 2"/>
        <xdr:cNvSpPr>
          <a:spLocks noChangeAspect="1"/>
        </xdr:cNvSpPr>
      </xdr:nvSpPr>
      <xdr:spPr>
        <a:xfrm>
          <a:off x="3238500" y="6048375"/>
          <a:ext cx="3067050" cy="1409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N/A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66</xdr:row>
      <xdr:rowOff>0</xdr:rowOff>
    </xdr:to>
    <xdr:graphicFrame>
      <xdr:nvGraphicFramePr>
        <xdr:cNvPr id="2" name="Chart 6"/>
        <xdr:cNvGraphicFramePr/>
      </xdr:nvGraphicFramePr>
      <xdr:xfrm>
        <a:off x="0" y="8353425"/>
        <a:ext cx="6086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0.379</cdr:y>
    </cdr:from>
    <cdr:to>
      <cdr:x>0.94075</cdr:x>
      <cdr:y>0.379</cdr:y>
    </cdr:to>
    <cdr:sp>
      <cdr:nvSpPr>
        <cdr:cNvPr id="1" name="Line 1"/>
        <cdr:cNvSpPr>
          <a:spLocks/>
        </cdr:cNvSpPr>
      </cdr:nvSpPr>
      <cdr:spPr>
        <a:xfrm flipH="1">
          <a:off x="561975" y="933450"/>
          <a:ext cx="51625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0.43675</cdr:y>
    </cdr:from>
    <cdr:to>
      <cdr:x>0.89025</cdr:x>
      <cdr:y>0.43725</cdr:y>
    </cdr:to>
    <cdr:sp>
      <cdr:nvSpPr>
        <cdr:cNvPr id="1" name="Line 1"/>
        <cdr:cNvSpPr>
          <a:spLocks/>
        </cdr:cNvSpPr>
      </cdr:nvSpPr>
      <cdr:spPr>
        <a:xfrm>
          <a:off x="247650" y="1171575"/>
          <a:ext cx="2705100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4</xdr:col>
      <xdr:colOff>0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0" y="7591425"/>
        <a:ext cx="60864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0.3585</cdr:y>
    </cdr:from>
    <cdr:to>
      <cdr:x>0.937</cdr:x>
      <cdr:y>0.3585</cdr:y>
    </cdr:to>
    <cdr:sp>
      <cdr:nvSpPr>
        <cdr:cNvPr id="1" name="Line 1"/>
        <cdr:cNvSpPr>
          <a:spLocks/>
        </cdr:cNvSpPr>
      </cdr:nvSpPr>
      <cdr:spPr>
        <a:xfrm flipV="1">
          <a:off x="333375" y="923925"/>
          <a:ext cx="52482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3</xdr:col>
      <xdr:colOff>1276350</xdr:colOff>
      <xdr:row>63</xdr:row>
      <xdr:rowOff>447675</xdr:rowOff>
    </xdr:to>
    <xdr:graphicFrame>
      <xdr:nvGraphicFramePr>
        <xdr:cNvPr id="1" name="Chart 10"/>
        <xdr:cNvGraphicFramePr/>
      </xdr:nvGraphicFramePr>
      <xdr:xfrm>
        <a:off x="0" y="8829675"/>
        <a:ext cx="5962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40</xdr:row>
      <xdr:rowOff>66675</xdr:rowOff>
    </xdr:from>
    <xdr:to>
      <xdr:col>6</xdr:col>
      <xdr:colOff>323850</xdr:colOff>
      <xdr:row>47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714375" y="6591300"/>
          <a:ext cx="8467725" cy="1181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 Milestones during the period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1076325</xdr:colOff>
      <xdr:row>71</xdr:row>
      <xdr:rowOff>76200</xdr:rowOff>
    </xdr:to>
    <xdr:graphicFrame>
      <xdr:nvGraphicFramePr>
        <xdr:cNvPr id="2" name="Chart 3"/>
        <xdr:cNvGraphicFramePr/>
      </xdr:nvGraphicFramePr>
      <xdr:xfrm>
        <a:off x="0" y="9191625"/>
        <a:ext cx="57626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35</xdr:row>
      <xdr:rowOff>57150</xdr:rowOff>
    </xdr:from>
    <xdr:to>
      <xdr:col>17</xdr:col>
      <xdr:colOff>447675</xdr:colOff>
      <xdr:row>54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67400"/>
          <a:ext cx="10325100" cy="3457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0.40075</cdr:y>
    </cdr:from>
    <cdr:to>
      <cdr:x>0.88975</cdr:x>
      <cdr:y>0.40075</cdr:y>
    </cdr:to>
    <cdr:sp>
      <cdr:nvSpPr>
        <cdr:cNvPr id="1" name="Line 1"/>
        <cdr:cNvSpPr>
          <a:spLocks/>
        </cdr:cNvSpPr>
      </cdr:nvSpPr>
      <cdr:spPr>
        <a:xfrm>
          <a:off x="247650" y="1057275"/>
          <a:ext cx="2619375" cy="0"/>
        </a:xfrm>
        <a:prstGeom prst="line">
          <a:avLst/>
        </a:prstGeom>
        <a:noFill/>
        <a:ln w="1905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0.32575</cdr:y>
    </cdr:from>
    <cdr:to>
      <cdr:x>0.88925</cdr:x>
      <cdr:y>0.32575</cdr:y>
    </cdr:to>
    <cdr:sp>
      <cdr:nvSpPr>
        <cdr:cNvPr id="1" name="Line 1"/>
        <cdr:cNvSpPr>
          <a:spLocks/>
        </cdr:cNvSpPr>
      </cdr:nvSpPr>
      <cdr:spPr>
        <a:xfrm flipH="1">
          <a:off x="390525" y="847725"/>
          <a:ext cx="25908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0.37725</cdr:y>
    </cdr:from>
    <cdr:to>
      <cdr:x>0.8925</cdr:x>
      <cdr:y>0.37725</cdr:y>
    </cdr:to>
    <cdr:sp>
      <cdr:nvSpPr>
        <cdr:cNvPr id="1" name="Line 1"/>
        <cdr:cNvSpPr>
          <a:spLocks/>
        </cdr:cNvSpPr>
      </cdr:nvSpPr>
      <cdr:spPr>
        <a:xfrm flipH="1">
          <a:off x="533400" y="1009650"/>
          <a:ext cx="24288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0.3205</cdr:y>
    </cdr:from>
    <cdr:to>
      <cdr:x>0.89325</cdr:x>
      <cdr:y>0.3205</cdr:y>
    </cdr:to>
    <cdr:sp>
      <cdr:nvSpPr>
        <cdr:cNvPr id="1" name="Line 1"/>
        <cdr:cNvSpPr>
          <a:spLocks/>
        </cdr:cNvSpPr>
      </cdr:nvSpPr>
      <cdr:spPr>
        <a:xfrm flipV="1">
          <a:off x="381000" y="838200"/>
          <a:ext cx="25336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0.51475</cdr:y>
    </cdr:from>
    <cdr:to>
      <cdr:x>0.88975</cdr:x>
      <cdr:y>0.51475</cdr:y>
    </cdr:to>
    <cdr:sp>
      <cdr:nvSpPr>
        <cdr:cNvPr id="1" name="Line 1"/>
        <cdr:cNvSpPr>
          <a:spLocks/>
        </cdr:cNvSpPr>
      </cdr:nvSpPr>
      <cdr:spPr>
        <a:xfrm flipV="1">
          <a:off x="352425" y="1362075"/>
          <a:ext cx="2581275" cy="0"/>
        </a:xfrm>
        <a:prstGeom prst="line">
          <a:avLst/>
        </a:prstGeom>
        <a:noFill/>
        <a:ln w="12700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0.3285</cdr:y>
    </cdr:from>
    <cdr:to>
      <cdr:x>0.8865</cdr:x>
      <cdr:y>0.3285</cdr:y>
    </cdr:to>
    <cdr:sp>
      <cdr:nvSpPr>
        <cdr:cNvPr id="1" name="Line 1"/>
        <cdr:cNvSpPr>
          <a:spLocks/>
        </cdr:cNvSpPr>
      </cdr:nvSpPr>
      <cdr:spPr>
        <a:xfrm flipV="1">
          <a:off x="342900" y="876300"/>
          <a:ext cx="25431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ables/table1.xml><?xml version="1.0" encoding="utf-8"?>
<table xmlns="http://schemas.openxmlformats.org/spreadsheetml/2006/main" id="4" name="List1" displayName="List1" ref="A4:R128" insertRow="1" totalsRowShown="0">
  <autoFilter ref="A4:R128"/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2">
      <selection activeCell="L6" sqref="L6"/>
    </sheetView>
  </sheetViews>
  <sheetFormatPr defaultColWidth="9.140625" defaultRowHeight="12.75" customHeight="1"/>
  <sheetData>
    <row r="1" spans="1:23" ht="12.75" customHeight="1">
      <c r="A1" s="1110"/>
      <c r="B1" s="1111"/>
      <c r="C1" s="1111"/>
      <c r="D1" s="1111"/>
      <c r="E1" s="1111"/>
      <c r="F1" s="1111"/>
      <c r="G1" s="1111"/>
      <c r="H1" s="1111"/>
      <c r="I1" s="1111"/>
      <c r="J1" s="1111"/>
      <c r="K1" s="1112"/>
      <c r="M1" s="1110"/>
      <c r="N1" s="1111"/>
      <c r="O1" s="1111"/>
      <c r="P1" s="1111"/>
      <c r="Q1" s="1111"/>
      <c r="R1" s="1111"/>
      <c r="S1" s="1111"/>
      <c r="T1" s="1111"/>
      <c r="U1" s="1111"/>
      <c r="V1" s="1111"/>
      <c r="W1" s="1112"/>
    </row>
    <row r="2" spans="1:23" ht="12.75" customHeight="1">
      <c r="A2" s="1113"/>
      <c r="B2" s="352"/>
      <c r="C2" s="352"/>
      <c r="D2" s="352"/>
      <c r="E2" s="352"/>
      <c r="F2" s="352"/>
      <c r="G2" s="352"/>
      <c r="H2" s="352"/>
      <c r="I2" s="352"/>
      <c r="J2" s="352"/>
      <c r="K2" s="1114"/>
      <c r="M2" s="1113"/>
      <c r="N2" s="352"/>
      <c r="O2" s="352"/>
      <c r="P2" s="352"/>
      <c r="Q2" s="352"/>
      <c r="R2" s="352"/>
      <c r="S2" s="352"/>
      <c r="T2" s="352"/>
      <c r="U2" s="352"/>
      <c r="V2" s="352"/>
      <c r="W2" s="1114"/>
    </row>
    <row r="3" spans="1:23" ht="12.75" customHeight="1">
      <c r="A3" s="1113"/>
      <c r="B3" s="352"/>
      <c r="C3" s="352"/>
      <c r="D3" s="352"/>
      <c r="E3" s="352"/>
      <c r="F3" s="352"/>
      <c r="G3" s="352"/>
      <c r="H3" s="352"/>
      <c r="I3" s="352"/>
      <c r="J3" s="352"/>
      <c r="K3" s="1114"/>
      <c r="M3" s="1113"/>
      <c r="N3" s="352"/>
      <c r="O3" s="352"/>
      <c r="P3" s="352"/>
      <c r="Q3" s="352"/>
      <c r="R3" s="352"/>
      <c r="S3" s="352"/>
      <c r="T3" s="352"/>
      <c r="U3" s="352"/>
      <c r="V3" s="352"/>
      <c r="W3" s="1114"/>
    </row>
    <row r="4" spans="1:23" ht="12.75" customHeight="1">
      <c r="A4" s="1113"/>
      <c r="B4" s="352"/>
      <c r="C4" s="352"/>
      <c r="D4" s="352"/>
      <c r="E4" s="352"/>
      <c r="F4" s="352"/>
      <c r="G4" s="352"/>
      <c r="H4" s="352"/>
      <c r="I4" s="352"/>
      <c r="J4" s="352"/>
      <c r="K4" s="1114"/>
      <c r="M4" s="1113"/>
      <c r="N4" s="352"/>
      <c r="O4" s="352"/>
      <c r="P4" s="352"/>
      <c r="Q4" s="352"/>
      <c r="R4" s="352"/>
      <c r="S4" s="352"/>
      <c r="T4" s="352"/>
      <c r="U4" s="352"/>
      <c r="V4" s="352"/>
      <c r="W4" s="1114"/>
    </row>
    <row r="5" spans="1:23" ht="12.75" customHeight="1">
      <c r="A5" s="1113"/>
      <c r="B5" s="352"/>
      <c r="C5" s="352"/>
      <c r="D5" s="352"/>
      <c r="E5" s="352"/>
      <c r="F5" s="352"/>
      <c r="G5" s="352"/>
      <c r="H5" s="352"/>
      <c r="I5" s="352"/>
      <c r="J5" s="352"/>
      <c r="K5" s="1114"/>
      <c r="M5" s="1113"/>
      <c r="N5" s="352"/>
      <c r="O5" s="352"/>
      <c r="P5" s="352"/>
      <c r="Q5" s="352"/>
      <c r="R5" s="352"/>
      <c r="S5" s="352"/>
      <c r="T5" s="352"/>
      <c r="U5" s="352"/>
      <c r="V5" s="352"/>
      <c r="W5" s="1114"/>
    </row>
    <row r="6" spans="1:23" ht="12.75" customHeight="1">
      <c r="A6" s="1113"/>
      <c r="B6" s="352"/>
      <c r="C6" s="352"/>
      <c r="D6" s="352"/>
      <c r="E6" s="352"/>
      <c r="F6" s="352"/>
      <c r="G6" s="352"/>
      <c r="H6" s="352"/>
      <c r="I6" s="352"/>
      <c r="J6" s="352"/>
      <c r="K6" s="1114"/>
      <c r="M6" s="1113"/>
      <c r="N6" s="352"/>
      <c r="O6" s="352"/>
      <c r="P6" s="352"/>
      <c r="Q6" s="352"/>
      <c r="R6" s="352"/>
      <c r="S6" s="352"/>
      <c r="T6" s="352"/>
      <c r="U6" s="352"/>
      <c r="V6" s="352"/>
      <c r="W6" s="1114"/>
    </row>
    <row r="7" spans="1:23" ht="12.75" customHeight="1">
      <c r="A7" s="1113"/>
      <c r="B7" s="352"/>
      <c r="C7" s="352"/>
      <c r="D7" s="352"/>
      <c r="E7" s="352"/>
      <c r="F7" s="352"/>
      <c r="G7" s="352"/>
      <c r="H7" s="352"/>
      <c r="I7" s="352"/>
      <c r="J7" s="352"/>
      <c r="K7" s="1114"/>
      <c r="M7" s="1113"/>
      <c r="N7" s="352"/>
      <c r="O7" s="352"/>
      <c r="P7" s="352"/>
      <c r="Q7" s="352"/>
      <c r="R7" s="352"/>
      <c r="S7" s="352"/>
      <c r="T7" s="352"/>
      <c r="U7" s="352"/>
      <c r="V7" s="352"/>
      <c r="W7" s="1114"/>
    </row>
    <row r="8" spans="1:23" ht="12.75" customHeight="1">
      <c r="A8" s="1113"/>
      <c r="B8" s="352"/>
      <c r="C8" s="352"/>
      <c r="D8" s="352"/>
      <c r="E8" s="352"/>
      <c r="F8" s="352"/>
      <c r="G8" s="352"/>
      <c r="H8" s="352"/>
      <c r="I8" s="352"/>
      <c r="J8" s="352"/>
      <c r="K8" s="1114"/>
      <c r="M8" s="1113"/>
      <c r="N8" s="352"/>
      <c r="O8" s="352"/>
      <c r="P8" s="352"/>
      <c r="Q8" s="352"/>
      <c r="R8" s="352"/>
      <c r="S8" s="352"/>
      <c r="T8" s="352"/>
      <c r="U8" s="352"/>
      <c r="V8" s="352"/>
      <c r="W8" s="1114"/>
    </row>
    <row r="9" spans="1:23" ht="12.75" customHeight="1">
      <c r="A9" s="1113"/>
      <c r="B9" s="352"/>
      <c r="C9" s="352"/>
      <c r="D9" s="352"/>
      <c r="E9" s="352"/>
      <c r="F9" s="352"/>
      <c r="G9" s="352"/>
      <c r="H9" s="352"/>
      <c r="I9" s="352"/>
      <c r="J9" s="352"/>
      <c r="K9" s="1114"/>
      <c r="M9" s="1113"/>
      <c r="N9" s="352"/>
      <c r="O9" s="352"/>
      <c r="P9" s="352"/>
      <c r="Q9" s="352"/>
      <c r="R9" s="352"/>
      <c r="S9" s="352"/>
      <c r="T9" s="352"/>
      <c r="U9" s="352"/>
      <c r="V9" s="352"/>
      <c r="W9" s="1114"/>
    </row>
    <row r="10" spans="1:23" ht="12.75" customHeight="1">
      <c r="A10" s="1113"/>
      <c r="B10" s="352"/>
      <c r="C10" s="352"/>
      <c r="D10" s="352"/>
      <c r="E10" s="352"/>
      <c r="F10" s="352"/>
      <c r="G10" s="352"/>
      <c r="H10" s="352"/>
      <c r="I10" s="352"/>
      <c r="J10" s="352"/>
      <c r="K10" s="1114"/>
      <c r="M10" s="1113"/>
      <c r="N10" s="352"/>
      <c r="O10" s="352"/>
      <c r="P10" s="352"/>
      <c r="Q10" s="352"/>
      <c r="R10" s="352"/>
      <c r="S10" s="352"/>
      <c r="T10" s="352"/>
      <c r="U10" s="352"/>
      <c r="V10" s="352"/>
      <c r="W10" s="1114"/>
    </row>
    <row r="11" spans="1:23" ht="12.75" customHeight="1">
      <c r="A11" s="1113"/>
      <c r="B11" s="352"/>
      <c r="C11" s="352"/>
      <c r="D11" s="352"/>
      <c r="E11" s="352"/>
      <c r="F11" s="352"/>
      <c r="G11" s="352"/>
      <c r="H11" s="352"/>
      <c r="I11" s="352"/>
      <c r="J11" s="352"/>
      <c r="K11" s="1114"/>
      <c r="M11" s="1113"/>
      <c r="N11" s="352"/>
      <c r="O11" s="352"/>
      <c r="P11" s="352"/>
      <c r="Q11" s="352"/>
      <c r="R11" s="352"/>
      <c r="S11" s="352"/>
      <c r="T11" s="352"/>
      <c r="U11" s="352"/>
      <c r="V11" s="352"/>
      <c r="W11" s="1114"/>
    </row>
    <row r="12" spans="1:23" ht="12.75" customHeight="1">
      <c r="A12" s="1113"/>
      <c r="B12" s="352"/>
      <c r="C12" s="352"/>
      <c r="D12" s="352"/>
      <c r="E12" s="352"/>
      <c r="F12" s="352"/>
      <c r="G12" s="352"/>
      <c r="H12" s="352"/>
      <c r="I12" s="352"/>
      <c r="J12" s="352"/>
      <c r="K12" s="1114"/>
      <c r="M12" s="1113"/>
      <c r="N12" s="352"/>
      <c r="O12" s="352"/>
      <c r="P12" s="352"/>
      <c r="Q12" s="352"/>
      <c r="R12" s="352"/>
      <c r="S12" s="352"/>
      <c r="T12" s="352"/>
      <c r="U12" s="352"/>
      <c r="V12" s="352"/>
      <c r="W12" s="1114"/>
    </row>
    <row r="13" spans="1:23" ht="12.75" customHeight="1">
      <c r="A13" s="1113"/>
      <c r="B13" s="352"/>
      <c r="C13" s="352"/>
      <c r="D13" s="352"/>
      <c r="E13" s="352"/>
      <c r="F13" s="352"/>
      <c r="G13" s="352"/>
      <c r="H13" s="352"/>
      <c r="I13" s="352"/>
      <c r="J13" s="352"/>
      <c r="K13" s="1114"/>
      <c r="M13" s="1113"/>
      <c r="N13" s="352"/>
      <c r="O13" s="352"/>
      <c r="P13" s="352"/>
      <c r="Q13" s="352"/>
      <c r="R13" s="352"/>
      <c r="S13" s="352"/>
      <c r="T13" s="352"/>
      <c r="U13" s="352"/>
      <c r="V13" s="352"/>
      <c r="W13" s="1114"/>
    </row>
    <row r="14" spans="1:23" ht="12.75" customHeight="1">
      <c r="A14" s="1113"/>
      <c r="B14" s="352"/>
      <c r="C14" s="352"/>
      <c r="D14" s="352"/>
      <c r="E14" s="352"/>
      <c r="F14" s="352"/>
      <c r="G14" s="352"/>
      <c r="H14" s="352"/>
      <c r="I14" s="352"/>
      <c r="J14" s="352"/>
      <c r="K14" s="1114"/>
      <c r="M14" s="1113"/>
      <c r="N14" s="352"/>
      <c r="O14" s="352"/>
      <c r="P14" s="352"/>
      <c r="Q14" s="352"/>
      <c r="R14" s="352"/>
      <c r="S14" s="352"/>
      <c r="T14" s="352"/>
      <c r="U14" s="352"/>
      <c r="V14" s="352"/>
      <c r="W14" s="1114"/>
    </row>
    <row r="15" spans="1:23" ht="12.75" customHeight="1">
      <c r="A15" s="1113"/>
      <c r="B15" s="352"/>
      <c r="C15" s="352"/>
      <c r="D15" s="352"/>
      <c r="E15" s="352"/>
      <c r="F15" s="352"/>
      <c r="G15" s="352"/>
      <c r="H15" s="352"/>
      <c r="I15" s="352"/>
      <c r="J15" s="352"/>
      <c r="K15" s="1114"/>
      <c r="M15" s="1113"/>
      <c r="N15" s="352"/>
      <c r="O15" s="352"/>
      <c r="P15" s="352"/>
      <c r="Q15" s="352"/>
      <c r="R15" s="352"/>
      <c r="S15" s="352"/>
      <c r="T15" s="352"/>
      <c r="U15" s="352"/>
      <c r="V15" s="352"/>
      <c r="W15" s="1114"/>
    </row>
    <row r="16" spans="1:23" ht="12.75" customHeight="1">
      <c r="A16" s="1113"/>
      <c r="B16" s="352"/>
      <c r="C16" s="352"/>
      <c r="D16" s="352"/>
      <c r="E16" s="352"/>
      <c r="F16" s="352"/>
      <c r="G16" s="352"/>
      <c r="H16" s="352"/>
      <c r="I16" s="352"/>
      <c r="J16" s="352"/>
      <c r="K16" s="1114"/>
      <c r="M16" s="1113"/>
      <c r="N16" s="352"/>
      <c r="O16" s="352"/>
      <c r="P16" s="352"/>
      <c r="Q16" s="352"/>
      <c r="R16" s="352"/>
      <c r="S16" s="352"/>
      <c r="T16" s="352"/>
      <c r="U16" s="352"/>
      <c r="V16" s="352"/>
      <c r="W16" s="1114"/>
    </row>
    <row r="17" spans="1:23" ht="12.75" customHeight="1">
      <c r="A17" s="1113"/>
      <c r="B17" s="352"/>
      <c r="C17" s="352"/>
      <c r="D17" s="352"/>
      <c r="E17" s="352"/>
      <c r="F17" s="352"/>
      <c r="G17" s="352"/>
      <c r="H17" s="352"/>
      <c r="I17" s="352"/>
      <c r="J17" s="352"/>
      <c r="K17" s="1114"/>
      <c r="M17" s="1113"/>
      <c r="N17" s="352"/>
      <c r="O17" s="352"/>
      <c r="P17" s="352"/>
      <c r="Q17" s="352"/>
      <c r="R17" s="352"/>
      <c r="S17" s="352"/>
      <c r="T17" s="352"/>
      <c r="U17" s="352"/>
      <c r="V17" s="352"/>
      <c r="W17" s="1114"/>
    </row>
    <row r="18" spans="1:23" ht="12.75" customHeight="1">
      <c r="A18" s="1113"/>
      <c r="B18" s="352"/>
      <c r="C18" s="352"/>
      <c r="D18" s="352"/>
      <c r="E18" s="352"/>
      <c r="F18" s="352"/>
      <c r="G18" s="352"/>
      <c r="H18" s="352"/>
      <c r="I18" s="352"/>
      <c r="J18" s="352"/>
      <c r="K18" s="1114"/>
      <c r="M18" s="1113"/>
      <c r="N18" s="352"/>
      <c r="O18" s="352"/>
      <c r="P18" s="352"/>
      <c r="Q18" s="352"/>
      <c r="R18" s="352"/>
      <c r="S18" s="352"/>
      <c r="T18" s="352"/>
      <c r="U18" s="352"/>
      <c r="V18" s="352"/>
      <c r="W18" s="1114"/>
    </row>
    <row r="19" spans="1:23" ht="12.75" customHeight="1">
      <c r="A19" s="1113"/>
      <c r="B19" s="352"/>
      <c r="C19" s="352"/>
      <c r="D19" s="352"/>
      <c r="E19" s="352"/>
      <c r="F19" s="352"/>
      <c r="G19" s="352"/>
      <c r="H19" s="352"/>
      <c r="I19" s="352"/>
      <c r="J19" s="352"/>
      <c r="K19" s="1114"/>
      <c r="M19" s="1113"/>
      <c r="N19" s="352"/>
      <c r="O19" s="352"/>
      <c r="P19" s="352"/>
      <c r="Q19" s="352"/>
      <c r="R19" s="352"/>
      <c r="S19" s="352"/>
      <c r="T19" s="352"/>
      <c r="U19" s="352"/>
      <c r="V19" s="352"/>
      <c r="W19" s="1114"/>
    </row>
    <row r="20" spans="1:23" ht="12.75" customHeight="1">
      <c r="A20" s="1113"/>
      <c r="B20" s="352"/>
      <c r="C20" s="352"/>
      <c r="D20" s="352"/>
      <c r="E20" s="352"/>
      <c r="F20" s="352"/>
      <c r="G20" s="352"/>
      <c r="H20" s="352"/>
      <c r="I20" s="352"/>
      <c r="J20" s="352"/>
      <c r="K20" s="1114"/>
      <c r="M20" s="1113"/>
      <c r="N20" s="352"/>
      <c r="O20" s="352"/>
      <c r="P20" s="352"/>
      <c r="Q20" s="352"/>
      <c r="R20" s="352"/>
      <c r="S20" s="352"/>
      <c r="T20" s="352"/>
      <c r="U20" s="352"/>
      <c r="V20" s="352"/>
      <c r="W20" s="1114"/>
    </row>
    <row r="21" spans="1:23" ht="12.75" customHeight="1">
      <c r="A21" s="1113"/>
      <c r="B21" s="352"/>
      <c r="C21" s="352"/>
      <c r="D21" s="352"/>
      <c r="E21" s="352"/>
      <c r="F21" s="352"/>
      <c r="G21" s="352"/>
      <c r="H21" s="352"/>
      <c r="I21" s="352"/>
      <c r="J21" s="352"/>
      <c r="K21" s="1114"/>
      <c r="M21" s="1113"/>
      <c r="N21" s="352"/>
      <c r="O21" s="352"/>
      <c r="P21" s="352"/>
      <c r="Q21" s="352"/>
      <c r="R21" s="352"/>
      <c r="S21" s="352"/>
      <c r="T21" s="352"/>
      <c r="U21" s="352"/>
      <c r="V21" s="352"/>
      <c r="W21" s="1114"/>
    </row>
    <row r="22" spans="1:23" ht="12.75" customHeight="1">
      <c r="A22" s="1113"/>
      <c r="B22" s="352"/>
      <c r="C22" s="352"/>
      <c r="D22" s="352"/>
      <c r="E22" s="352"/>
      <c r="F22" s="352"/>
      <c r="G22" s="352"/>
      <c r="H22" s="352"/>
      <c r="I22" s="352"/>
      <c r="J22" s="352"/>
      <c r="K22" s="1114"/>
      <c r="M22" s="1113"/>
      <c r="N22" s="352"/>
      <c r="O22" s="352"/>
      <c r="P22" s="352"/>
      <c r="Q22" s="352"/>
      <c r="R22" s="352"/>
      <c r="S22" s="352"/>
      <c r="T22" s="352"/>
      <c r="U22" s="352"/>
      <c r="V22" s="352"/>
      <c r="W22" s="1114"/>
    </row>
    <row r="23" spans="1:23" ht="12.75" customHeight="1">
      <c r="A23" s="1113"/>
      <c r="B23" s="352"/>
      <c r="C23" s="352"/>
      <c r="D23" s="352"/>
      <c r="E23" s="352"/>
      <c r="F23" s="352"/>
      <c r="G23" s="352"/>
      <c r="H23" s="352"/>
      <c r="I23" s="352"/>
      <c r="J23" s="352"/>
      <c r="K23" s="1114"/>
      <c r="M23" s="1113"/>
      <c r="N23" s="352"/>
      <c r="O23" s="352"/>
      <c r="P23" s="352"/>
      <c r="Q23" s="352"/>
      <c r="R23" s="352"/>
      <c r="S23" s="352"/>
      <c r="T23" s="352"/>
      <c r="U23" s="352"/>
      <c r="V23" s="352"/>
      <c r="W23" s="1114"/>
    </row>
    <row r="24" spans="1:23" ht="12.75" customHeight="1">
      <c r="A24" s="1113"/>
      <c r="B24" s="352"/>
      <c r="C24" s="352"/>
      <c r="D24" s="352"/>
      <c r="E24" s="352"/>
      <c r="F24" s="352"/>
      <c r="G24" s="352"/>
      <c r="H24" s="352"/>
      <c r="I24" s="352"/>
      <c r="J24" s="352"/>
      <c r="K24" s="1114"/>
      <c r="M24" s="1113"/>
      <c r="N24" s="352"/>
      <c r="O24" s="352"/>
      <c r="P24" s="352"/>
      <c r="Q24" s="352"/>
      <c r="R24" s="352"/>
      <c r="S24" s="352"/>
      <c r="T24" s="352"/>
      <c r="U24" s="352"/>
      <c r="V24" s="352"/>
      <c r="W24" s="1114"/>
    </row>
    <row r="25" spans="1:23" ht="12.75" customHeight="1">
      <c r="A25" s="1113"/>
      <c r="B25" s="352"/>
      <c r="C25" s="352"/>
      <c r="D25" s="352"/>
      <c r="E25" s="352"/>
      <c r="F25" s="352"/>
      <c r="G25" s="352"/>
      <c r="H25" s="352"/>
      <c r="I25" s="352"/>
      <c r="J25" s="352"/>
      <c r="K25" s="1114"/>
      <c r="M25" s="1113"/>
      <c r="N25" s="352"/>
      <c r="O25" s="352"/>
      <c r="P25" s="352"/>
      <c r="Q25" s="352"/>
      <c r="R25" s="352"/>
      <c r="S25" s="352"/>
      <c r="T25" s="352"/>
      <c r="U25" s="352"/>
      <c r="V25" s="352"/>
      <c r="W25" s="1114"/>
    </row>
    <row r="26" spans="1:23" ht="12.75" customHeight="1">
      <c r="A26" s="1113"/>
      <c r="B26" s="352"/>
      <c r="C26" s="352"/>
      <c r="D26" s="352"/>
      <c r="E26" s="352"/>
      <c r="F26" s="352"/>
      <c r="G26" s="352"/>
      <c r="H26" s="352"/>
      <c r="I26" s="352"/>
      <c r="J26" s="352"/>
      <c r="K26" s="1114"/>
      <c r="M26" s="1113"/>
      <c r="N26" s="352"/>
      <c r="O26" s="352"/>
      <c r="P26" s="352"/>
      <c r="Q26" s="352"/>
      <c r="R26" s="352"/>
      <c r="S26" s="352"/>
      <c r="T26" s="352"/>
      <c r="U26" s="352"/>
      <c r="V26" s="352"/>
      <c r="W26" s="1114"/>
    </row>
    <row r="27" spans="1:23" ht="12.75" customHeight="1">
      <c r="A27" s="1113"/>
      <c r="B27" s="352"/>
      <c r="C27" s="352"/>
      <c r="D27" s="352"/>
      <c r="E27" s="352"/>
      <c r="F27" s="352"/>
      <c r="G27" s="352"/>
      <c r="H27" s="352"/>
      <c r="I27" s="352"/>
      <c r="J27" s="352"/>
      <c r="K27" s="1114"/>
      <c r="M27" s="1113"/>
      <c r="N27" s="352"/>
      <c r="O27" s="352"/>
      <c r="P27" s="352"/>
      <c r="Q27" s="352"/>
      <c r="R27" s="352"/>
      <c r="S27" s="352"/>
      <c r="T27" s="352"/>
      <c r="U27" s="352"/>
      <c r="V27" s="352"/>
      <c r="W27" s="1114"/>
    </row>
    <row r="28" spans="1:23" ht="12.75" customHeight="1">
      <c r="A28" s="1113"/>
      <c r="B28" s="352"/>
      <c r="C28" s="352"/>
      <c r="D28" s="352"/>
      <c r="E28" s="352"/>
      <c r="F28" s="352"/>
      <c r="G28" s="352"/>
      <c r="H28" s="352"/>
      <c r="I28" s="352"/>
      <c r="J28" s="352"/>
      <c r="K28" s="1114"/>
      <c r="M28" s="1113"/>
      <c r="N28" s="352"/>
      <c r="O28" s="352"/>
      <c r="P28" s="352"/>
      <c r="Q28" s="352"/>
      <c r="R28" s="352"/>
      <c r="S28" s="352"/>
      <c r="T28" s="352"/>
      <c r="U28" s="352"/>
      <c r="V28" s="352"/>
      <c r="W28" s="1114"/>
    </row>
    <row r="29" spans="1:23" ht="12.75" customHeight="1">
      <c r="A29" s="1113"/>
      <c r="B29" s="352"/>
      <c r="C29" s="352"/>
      <c r="D29" s="352"/>
      <c r="E29" s="352"/>
      <c r="F29" s="352"/>
      <c r="G29" s="352"/>
      <c r="H29" s="352"/>
      <c r="I29" s="352"/>
      <c r="J29" s="352"/>
      <c r="K29" s="1114"/>
      <c r="M29" s="1113"/>
      <c r="N29" s="352"/>
      <c r="O29" s="352"/>
      <c r="P29" s="352"/>
      <c r="Q29" s="352"/>
      <c r="R29" s="352"/>
      <c r="S29" s="352"/>
      <c r="T29" s="352"/>
      <c r="U29" s="352"/>
      <c r="V29" s="352"/>
      <c r="W29" s="1114"/>
    </row>
    <row r="30" spans="1:23" ht="12.75" customHeight="1">
      <c r="A30" s="1113"/>
      <c r="B30" s="352"/>
      <c r="C30" s="352"/>
      <c r="D30" s="352"/>
      <c r="E30" s="352"/>
      <c r="F30" s="352"/>
      <c r="G30" s="352"/>
      <c r="H30" s="352"/>
      <c r="I30" s="352"/>
      <c r="J30" s="352"/>
      <c r="K30" s="1114"/>
      <c r="M30" s="1113"/>
      <c r="N30" s="352"/>
      <c r="O30" s="352"/>
      <c r="P30" s="352"/>
      <c r="Q30" s="352"/>
      <c r="R30" s="352"/>
      <c r="S30" s="352"/>
      <c r="T30" s="352"/>
      <c r="U30" s="352"/>
      <c r="V30" s="352"/>
      <c r="W30" s="1114"/>
    </row>
    <row r="31" spans="1:23" ht="12.75" customHeight="1">
      <c r="A31" s="1113"/>
      <c r="B31" s="352"/>
      <c r="C31" s="352"/>
      <c r="D31" s="352"/>
      <c r="E31" s="352"/>
      <c r="F31" s="352"/>
      <c r="G31" s="352"/>
      <c r="H31" s="352"/>
      <c r="I31" s="352"/>
      <c r="J31" s="352"/>
      <c r="K31" s="1114"/>
      <c r="M31" s="1113"/>
      <c r="N31" s="352"/>
      <c r="O31" s="352"/>
      <c r="P31" s="352"/>
      <c r="Q31" s="352"/>
      <c r="R31" s="352"/>
      <c r="S31" s="352"/>
      <c r="T31" s="352"/>
      <c r="U31" s="352"/>
      <c r="V31" s="352"/>
      <c r="W31" s="1114"/>
    </row>
    <row r="32" spans="1:23" ht="12.75" customHeight="1">
      <c r="A32" s="1113"/>
      <c r="B32" s="352"/>
      <c r="C32" s="352"/>
      <c r="D32" s="352"/>
      <c r="E32" s="352"/>
      <c r="F32" s="352"/>
      <c r="G32" s="352"/>
      <c r="H32" s="352"/>
      <c r="I32" s="352"/>
      <c r="J32" s="352"/>
      <c r="K32" s="1114"/>
      <c r="M32" s="1113"/>
      <c r="N32" s="352"/>
      <c r="O32" s="352"/>
      <c r="P32" s="352"/>
      <c r="Q32" s="352"/>
      <c r="R32" s="352"/>
      <c r="S32" s="352"/>
      <c r="T32" s="352"/>
      <c r="U32" s="352"/>
      <c r="V32" s="352"/>
      <c r="W32" s="1114"/>
    </row>
    <row r="33" spans="1:23" ht="12.75" customHeight="1">
      <c r="A33" s="1113"/>
      <c r="B33" s="352"/>
      <c r="C33" s="352"/>
      <c r="D33" s="352"/>
      <c r="E33" s="352"/>
      <c r="F33" s="352"/>
      <c r="G33" s="352"/>
      <c r="H33" s="352"/>
      <c r="I33" s="352"/>
      <c r="J33" s="352"/>
      <c r="K33" s="1114"/>
      <c r="M33" s="1113"/>
      <c r="N33" s="352"/>
      <c r="O33" s="352"/>
      <c r="P33" s="352"/>
      <c r="Q33" s="352"/>
      <c r="R33" s="352"/>
      <c r="S33" s="352"/>
      <c r="T33" s="352"/>
      <c r="U33" s="352"/>
      <c r="V33" s="352"/>
      <c r="W33" s="1114"/>
    </row>
    <row r="34" spans="1:23" ht="12.75" customHeight="1" thickBot="1">
      <c r="A34" s="1115"/>
      <c r="B34" s="1116"/>
      <c r="C34" s="1116"/>
      <c r="D34" s="1116"/>
      <c r="E34" s="1116"/>
      <c r="F34" s="1116"/>
      <c r="G34" s="1116"/>
      <c r="H34" s="1116"/>
      <c r="I34" s="1116"/>
      <c r="J34" s="1116"/>
      <c r="K34" s="1117"/>
      <c r="M34" s="1115"/>
      <c r="N34" s="1116"/>
      <c r="O34" s="1116"/>
      <c r="P34" s="1116"/>
      <c r="Q34" s="1116"/>
      <c r="R34" s="1116"/>
      <c r="S34" s="1116"/>
      <c r="T34" s="1116"/>
      <c r="U34" s="1116"/>
      <c r="V34" s="1116"/>
      <c r="W34" s="1117"/>
    </row>
    <row r="35" ht="12.75" customHeight="1" thickBot="1"/>
    <row r="36" spans="1:23" ht="12.75" customHeight="1">
      <c r="A36" s="1110"/>
      <c r="B36" s="1111"/>
      <c r="C36" s="1111"/>
      <c r="D36" s="1111"/>
      <c r="E36" s="1111"/>
      <c r="F36" s="1111"/>
      <c r="G36" s="1111"/>
      <c r="H36" s="1111"/>
      <c r="I36" s="1111"/>
      <c r="J36" s="1111"/>
      <c r="K36" s="1112"/>
      <c r="M36" s="1110"/>
      <c r="N36" s="1111"/>
      <c r="O36" s="1111"/>
      <c r="P36" s="1111"/>
      <c r="Q36" s="1111"/>
      <c r="R36" s="1111"/>
      <c r="S36" s="1111"/>
      <c r="T36" s="1111"/>
      <c r="U36" s="1111"/>
      <c r="V36" s="1111"/>
      <c r="W36" s="1112"/>
    </row>
    <row r="37" spans="1:23" ht="12.75" customHeight="1">
      <c r="A37" s="1113"/>
      <c r="B37" s="352"/>
      <c r="C37" s="352"/>
      <c r="D37" s="352"/>
      <c r="E37" s="352"/>
      <c r="F37" s="352"/>
      <c r="G37" s="352"/>
      <c r="H37" s="352"/>
      <c r="I37" s="352"/>
      <c r="J37" s="352"/>
      <c r="K37" s="1114"/>
      <c r="M37" s="1113"/>
      <c r="N37" s="352"/>
      <c r="O37" s="352"/>
      <c r="P37" s="352"/>
      <c r="Q37" s="352"/>
      <c r="R37" s="352"/>
      <c r="S37" s="352"/>
      <c r="T37" s="352"/>
      <c r="U37" s="352"/>
      <c r="V37" s="352"/>
      <c r="W37" s="1114"/>
    </row>
    <row r="38" spans="1:23" ht="12.75" customHeight="1">
      <c r="A38" s="1113"/>
      <c r="B38" s="352"/>
      <c r="C38" s="352"/>
      <c r="D38" s="352"/>
      <c r="E38" s="352"/>
      <c r="F38" s="352"/>
      <c r="G38" s="352"/>
      <c r="H38" s="352"/>
      <c r="I38" s="352"/>
      <c r="J38" s="352"/>
      <c r="K38" s="1114"/>
      <c r="M38" s="1113"/>
      <c r="N38" s="352"/>
      <c r="O38" s="352"/>
      <c r="P38" s="352"/>
      <c r="Q38" s="352"/>
      <c r="R38" s="352"/>
      <c r="S38" s="352"/>
      <c r="T38" s="352"/>
      <c r="U38" s="352"/>
      <c r="V38" s="352"/>
      <c r="W38" s="1114"/>
    </row>
    <row r="39" spans="1:23" ht="12.75" customHeight="1">
      <c r="A39" s="1113"/>
      <c r="B39" s="352"/>
      <c r="C39" s="352"/>
      <c r="D39" s="352"/>
      <c r="E39" s="352"/>
      <c r="F39" s="352"/>
      <c r="G39" s="352"/>
      <c r="H39" s="352"/>
      <c r="I39" s="352"/>
      <c r="J39" s="352"/>
      <c r="K39" s="1114"/>
      <c r="M39" s="1113"/>
      <c r="N39" s="352"/>
      <c r="O39" s="352"/>
      <c r="P39" s="352"/>
      <c r="Q39" s="352"/>
      <c r="R39" s="352"/>
      <c r="S39" s="352"/>
      <c r="T39" s="352"/>
      <c r="U39" s="352"/>
      <c r="V39" s="352"/>
      <c r="W39" s="1114"/>
    </row>
    <row r="40" spans="1:23" ht="12.75" customHeight="1">
      <c r="A40" s="1113"/>
      <c r="B40" s="352"/>
      <c r="C40" s="352"/>
      <c r="D40" s="352"/>
      <c r="E40" s="352"/>
      <c r="F40" s="352"/>
      <c r="G40" s="352"/>
      <c r="H40" s="352"/>
      <c r="I40" s="352"/>
      <c r="J40" s="352"/>
      <c r="K40" s="1114"/>
      <c r="M40" s="1113"/>
      <c r="N40" s="352"/>
      <c r="O40" s="352"/>
      <c r="P40" s="352"/>
      <c r="Q40" s="352"/>
      <c r="R40" s="352"/>
      <c r="S40" s="352"/>
      <c r="T40" s="352"/>
      <c r="U40" s="352"/>
      <c r="V40" s="352"/>
      <c r="W40" s="1114"/>
    </row>
    <row r="41" spans="1:23" ht="12.75" customHeight="1">
      <c r="A41" s="1113"/>
      <c r="B41" s="352"/>
      <c r="C41" s="352"/>
      <c r="D41" s="352"/>
      <c r="E41" s="352"/>
      <c r="F41" s="352"/>
      <c r="G41" s="352"/>
      <c r="H41" s="352"/>
      <c r="I41" s="352"/>
      <c r="J41" s="352"/>
      <c r="K41" s="1114"/>
      <c r="M41" s="1113"/>
      <c r="N41" s="352"/>
      <c r="O41" s="352"/>
      <c r="P41" s="352"/>
      <c r="Q41" s="352"/>
      <c r="R41" s="352"/>
      <c r="S41" s="352"/>
      <c r="T41" s="352"/>
      <c r="U41" s="352"/>
      <c r="V41" s="352"/>
      <c r="W41" s="1114"/>
    </row>
    <row r="42" spans="1:23" ht="12.75" customHeight="1">
      <c r="A42" s="1113"/>
      <c r="B42" s="352"/>
      <c r="C42" s="352"/>
      <c r="D42" s="352"/>
      <c r="E42" s="352"/>
      <c r="F42" s="352"/>
      <c r="G42" s="352"/>
      <c r="H42" s="352"/>
      <c r="I42" s="352"/>
      <c r="J42" s="352"/>
      <c r="K42" s="1114"/>
      <c r="M42" s="1113"/>
      <c r="N42" s="352"/>
      <c r="O42" s="352"/>
      <c r="P42" s="352"/>
      <c r="Q42" s="352"/>
      <c r="R42" s="352"/>
      <c r="S42" s="352"/>
      <c r="T42" s="352"/>
      <c r="U42" s="352"/>
      <c r="V42" s="352"/>
      <c r="W42" s="1114"/>
    </row>
    <row r="43" spans="1:23" ht="12.75" customHeight="1">
      <c r="A43" s="1113"/>
      <c r="B43" s="352"/>
      <c r="C43" s="352"/>
      <c r="D43" s="352"/>
      <c r="E43" s="352"/>
      <c r="F43" s="352"/>
      <c r="G43" s="352"/>
      <c r="H43" s="352"/>
      <c r="I43" s="352"/>
      <c r="J43" s="352"/>
      <c r="K43" s="1114"/>
      <c r="M43" s="1113"/>
      <c r="N43" s="352"/>
      <c r="O43" s="352"/>
      <c r="P43" s="352"/>
      <c r="Q43" s="352"/>
      <c r="R43" s="352"/>
      <c r="S43" s="352"/>
      <c r="T43" s="352"/>
      <c r="U43" s="352"/>
      <c r="V43" s="352"/>
      <c r="W43" s="1114"/>
    </row>
    <row r="44" spans="1:23" ht="12.75" customHeight="1">
      <c r="A44" s="1113"/>
      <c r="B44" s="352"/>
      <c r="C44" s="352"/>
      <c r="D44" s="352"/>
      <c r="E44" s="352"/>
      <c r="F44" s="352"/>
      <c r="G44" s="352"/>
      <c r="H44" s="352"/>
      <c r="I44" s="352"/>
      <c r="J44" s="352"/>
      <c r="K44" s="1114"/>
      <c r="M44" s="1113"/>
      <c r="N44" s="352"/>
      <c r="O44" s="352"/>
      <c r="P44" s="352"/>
      <c r="Q44" s="352"/>
      <c r="R44" s="352"/>
      <c r="S44" s="352"/>
      <c r="T44" s="352"/>
      <c r="U44" s="352"/>
      <c r="V44" s="352"/>
      <c r="W44" s="1114"/>
    </row>
    <row r="45" spans="1:23" ht="12.75" customHeight="1">
      <c r="A45" s="1113"/>
      <c r="B45" s="352"/>
      <c r="C45" s="352"/>
      <c r="D45" s="352"/>
      <c r="E45" s="352"/>
      <c r="F45" s="352"/>
      <c r="G45" s="352"/>
      <c r="H45" s="352"/>
      <c r="I45" s="352"/>
      <c r="J45" s="352"/>
      <c r="K45" s="1114"/>
      <c r="M45" s="1113"/>
      <c r="N45" s="352"/>
      <c r="O45" s="352"/>
      <c r="P45" s="352"/>
      <c r="Q45" s="352"/>
      <c r="R45" s="352"/>
      <c r="S45" s="352"/>
      <c r="T45" s="352"/>
      <c r="U45" s="352"/>
      <c r="V45" s="352"/>
      <c r="W45" s="1114"/>
    </row>
    <row r="46" spans="1:23" ht="12.75" customHeight="1">
      <c r="A46" s="1113"/>
      <c r="B46" s="352"/>
      <c r="C46" s="352"/>
      <c r="D46" s="352"/>
      <c r="E46" s="352"/>
      <c r="F46" s="352"/>
      <c r="G46" s="352"/>
      <c r="H46" s="352"/>
      <c r="I46" s="352"/>
      <c r="J46" s="352"/>
      <c r="K46" s="1114"/>
      <c r="M46" s="1113"/>
      <c r="N46" s="352"/>
      <c r="O46" s="352"/>
      <c r="P46" s="352"/>
      <c r="Q46" s="352"/>
      <c r="R46" s="352"/>
      <c r="S46" s="352"/>
      <c r="T46" s="352"/>
      <c r="U46" s="352"/>
      <c r="V46" s="352"/>
      <c r="W46" s="1114"/>
    </row>
    <row r="47" spans="1:23" ht="12.75" customHeight="1">
      <c r="A47" s="1113"/>
      <c r="B47" s="352"/>
      <c r="C47" s="352"/>
      <c r="D47" s="352"/>
      <c r="E47" s="352"/>
      <c r="F47" s="352"/>
      <c r="G47" s="352"/>
      <c r="H47" s="352"/>
      <c r="I47" s="352"/>
      <c r="J47" s="352"/>
      <c r="K47" s="1114"/>
      <c r="M47" s="1113"/>
      <c r="N47" s="352"/>
      <c r="O47" s="352"/>
      <c r="P47" s="352"/>
      <c r="Q47" s="352"/>
      <c r="R47" s="352"/>
      <c r="S47" s="352"/>
      <c r="T47" s="352"/>
      <c r="U47" s="352"/>
      <c r="V47" s="352"/>
      <c r="W47" s="1114"/>
    </row>
    <row r="48" spans="1:23" ht="12.75" customHeight="1">
      <c r="A48" s="1113"/>
      <c r="B48" s="352"/>
      <c r="C48" s="352"/>
      <c r="D48" s="352"/>
      <c r="E48" s="352"/>
      <c r="F48" s="352"/>
      <c r="G48" s="352"/>
      <c r="H48" s="352"/>
      <c r="I48" s="352"/>
      <c r="J48" s="352"/>
      <c r="K48" s="1114"/>
      <c r="M48" s="1113"/>
      <c r="N48" s="352"/>
      <c r="O48" s="352"/>
      <c r="P48" s="352"/>
      <c r="Q48" s="352"/>
      <c r="R48" s="352"/>
      <c r="S48" s="352"/>
      <c r="T48" s="352"/>
      <c r="U48" s="352"/>
      <c r="V48" s="352"/>
      <c r="W48" s="1114"/>
    </row>
    <row r="49" spans="1:23" ht="12.75" customHeight="1">
      <c r="A49" s="1113"/>
      <c r="B49" s="352"/>
      <c r="C49" s="352"/>
      <c r="D49" s="352"/>
      <c r="E49" s="352"/>
      <c r="F49" s="352"/>
      <c r="G49" s="352"/>
      <c r="H49" s="352"/>
      <c r="I49" s="352"/>
      <c r="J49" s="352"/>
      <c r="K49" s="1114"/>
      <c r="M49" s="1113"/>
      <c r="N49" s="352"/>
      <c r="O49" s="352"/>
      <c r="P49" s="352"/>
      <c r="Q49" s="352"/>
      <c r="R49" s="352"/>
      <c r="S49" s="352"/>
      <c r="T49" s="352"/>
      <c r="U49" s="352"/>
      <c r="V49" s="352"/>
      <c r="W49" s="1114"/>
    </row>
    <row r="50" spans="1:23" ht="12.75" customHeight="1">
      <c r="A50" s="1113"/>
      <c r="B50" s="352"/>
      <c r="C50" s="352"/>
      <c r="D50" s="352"/>
      <c r="E50" s="352"/>
      <c r="F50" s="352"/>
      <c r="G50" s="352"/>
      <c r="H50" s="352"/>
      <c r="I50" s="352"/>
      <c r="J50" s="352"/>
      <c r="K50" s="1114"/>
      <c r="M50" s="1113"/>
      <c r="N50" s="352"/>
      <c r="O50" s="352"/>
      <c r="P50" s="352"/>
      <c r="Q50" s="352"/>
      <c r="R50" s="352"/>
      <c r="S50" s="352"/>
      <c r="T50" s="352"/>
      <c r="U50" s="352"/>
      <c r="V50" s="352"/>
      <c r="W50" s="1114"/>
    </row>
    <row r="51" spans="1:23" ht="12.75" customHeight="1">
      <c r="A51" s="1113"/>
      <c r="B51" s="352"/>
      <c r="C51" s="352"/>
      <c r="D51" s="352"/>
      <c r="E51" s="352"/>
      <c r="F51" s="352"/>
      <c r="G51" s="352"/>
      <c r="H51" s="352"/>
      <c r="I51" s="352"/>
      <c r="J51" s="352"/>
      <c r="K51" s="1114"/>
      <c r="M51" s="1113"/>
      <c r="N51" s="352"/>
      <c r="O51" s="352"/>
      <c r="P51" s="352"/>
      <c r="Q51" s="352"/>
      <c r="R51" s="352"/>
      <c r="S51" s="352"/>
      <c r="T51" s="352"/>
      <c r="U51" s="352"/>
      <c r="V51" s="352"/>
      <c r="W51" s="1114"/>
    </row>
    <row r="52" spans="1:23" ht="12.75" customHeight="1">
      <c r="A52" s="1113"/>
      <c r="B52" s="352"/>
      <c r="C52" s="352"/>
      <c r="D52" s="352"/>
      <c r="E52" s="352"/>
      <c r="F52" s="352"/>
      <c r="G52" s="352"/>
      <c r="H52" s="352"/>
      <c r="I52" s="352"/>
      <c r="J52" s="352"/>
      <c r="K52" s="1114"/>
      <c r="M52" s="1113"/>
      <c r="N52" s="352"/>
      <c r="O52" s="352"/>
      <c r="P52" s="352"/>
      <c r="Q52" s="352"/>
      <c r="R52" s="352"/>
      <c r="S52" s="352"/>
      <c r="T52" s="352"/>
      <c r="U52" s="352"/>
      <c r="V52" s="352"/>
      <c r="W52" s="1114"/>
    </row>
    <row r="53" spans="1:23" ht="12.75" customHeight="1">
      <c r="A53" s="1113"/>
      <c r="B53" s="352"/>
      <c r="C53" s="352"/>
      <c r="D53" s="352"/>
      <c r="E53" s="352"/>
      <c r="F53" s="352"/>
      <c r="G53" s="352"/>
      <c r="H53" s="352"/>
      <c r="I53" s="352"/>
      <c r="J53" s="352"/>
      <c r="K53" s="1114"/>
      <c r="M53" s="1113"/>
      <c r="N53" s="352"/>
      <c r="O53" s="352"/>
      <c r="P53" s="352"/>
      <c r="Q53" s="352"/>
      <c r="R53" s="352"/>
      <c r="S53" s="352"/>
      <c r="T53" s="352"/>
      <c r="U53" s="352"/>
      <c r="V53" s="352"/>
      <c r="W53" s="1114"/>
    </row>
    <row r="54" spans="1:23" ht="12.75" customHeight="1">
      <c r="A54" s="1113"/>
      <c r="B54" s="352"/>
      <c r="C54" s="352"/>
      <c r="D54" s="352"/>
      <c r="E54" s="352"/>
      <c r="F54" s="352"/>
      <c r="G54" s="352"/>
      <c r="H54" s="352"/>
      <c r="I54" s="352"/>
      <c r="J54" s="352"/>
      <c r="K54" s="1114"/>
      <c r="M54" s="1113"/>
      <c r="N54" s="352"/>
      <c r="O54" s="352"/>
      <c r="P54" s="352"/>
      <c r="Q54" s="352"/>
      <c r="R54" s="352"/>
      <c r="S54" s="352"/>
      <c r="T54" s="352"/>
      <c r="U54" s="352"/>
      <c r="V54" s="352"/>
      <c r="W54" s="1114"/>
    </row>
    <row r="55" spans="1:23" ht="12.75" customHeight="1">
      <c r="A55" s="1113"/>
      <c r="B55" s="352"/>
      <c r="C55" s="352"/>
      <c r="D55" s="352"/>
      <c r="E55" s="352"/>
      <c r="F55" s="352"/>
      <c r="G55" s="352"/>
      <c r="H55" s="352"/>
      <c r="I55" s="352"/>
      <c r="J55" s="352"/>
      <c r="K55" s="1114"/>
      <c r="M55" s="1113"/>
      <c r="N55" s="352"/>
      <c r="O55" s="352"/>
      <c r="P55" s="352"/>
      <c r="Q55" s="352"/>
      <c r="R55" s="352"/>
      <c r="S55" s="352"/>
      <c r="T55" s="352"/>
      <c r="U55" s="352"/>
      <c r="V55" s="352"/>
      <c r="W55" s="1114"/>
    </row>
    <row r="56" spans="1:23" ht="12.75" customHeight="1">
      <c r="A56" s="1113"/>
      <c r="B56" s="352"/>
      <c r="C56" s="352"/>
      <c r="D56" s="352"/>
      <c r="E56" s="352"/>
      <c r="F56" s="352"/>
      <c r="G56" s="352"/>
      <c r="H56" s="352"/>
      <c r="I56" s="352"/>
      <c r="J56" s="352"/>
      <c r="K56" s="1114"/>
      <c r="M56" s="1113"/>
      <c r="N56" s="352"/>
      <c r="O56" s="352"/>
      <c r="P56" s="352"/>
      <c r="Q56" s="352"/>
      <c r="R56" s="352"/>
      <c r="S56" s="352"/>
      <c r="T56" s="352"/>
      <c r="U56" s="352"/>
      <c r="V56" s="352"/>
      <c r="W56" s="1114"/>
    </row>
    <row r="57" spans="1:23" ht="12.75" customHeight="1">
      <c r="A57" s="1113"/>
      <c r="B57" s="352"/>
      <c r="C57" s="352"/>
      <c r="D57" s="352"/>
      <c r="E57" s="352"/>
      <c r="F57" s="352"/>
      <c r="G57" s="352"/>
      <c r="H57" s="352"/>
      <c r="I57" s="352"/>
      <c r="J57" s="352"/>
      <c r="K57" s="1114"/>
      <c r="M57" s="1113"/>
      <c r="N57" s="352"/>
      <c r="O57" s="352"/>
      <c r="P57" s="352"/>
      <c r="Q57" s="352"/>
      <c r="R57" s="352"/>
      <c r="S57" s="352"/>
      <c r="T57" s="352"/>
      <c r="U57" s="352"/>
      <c r="V57" s="352"/>
      <c r="W57" s="1114"/>
    </row>
    <row r="58" spans="1:23" ht="12.75" customHeight="1">
      <c r="A58" s="1113"/>
      <c r="B58" s="352"/>
      <c r="C58" s="352"/>
      <c r="D58" s="352"/>
      <c r="E58" s="352"/>
      <c r="F58" s="352"/>
      <c r="G58" s="352"/>
      <c r="H58" s="352"/>
      <c r="I58" s="352"/>
      <c r="J58" s="352"/>
      <c r="K58" s="1114"/>
      <c r="M58" s="1113"/>
      <c r="N58" s="352"/>
      <c r="O58" s="352"/>
      <c r="P58" s="352"/>
      <c r="Q58" s="352"/>
      <c r="R58" s="352"/>
      <c r="S58" s="352"/>
      <c r="T58" s="352"/>
      <c r="U58" s="352"/>
      <c r="V58" s="352"/>
      <c r="W58" s="1114"/>
    </row>
    <row r="59" spans="1:23" ht="12.75" customHeight="1">
      <c r="A59" s="1113"/>
      <c r="B59" s="352"/>
      <c r="C59" s="352"/>
      <c r="D59" s="352"/>
      <c r="E59" s="352"/>
      <c r="F59" s="352"/>
      <c r="G59" s="352"/>
      <c r="H59" s="352"/>
      <c r="I59" s="352"/>
      <c r="J59" s="352"/>
      <c r="K59" s="1114"/>
      <c r="M59" s="1113"/>
      <c r="N59" s="352"/>
      <c r="O59" s="352"/>
      <c r="P59" s="352"/>
      <c r="Q59" s="352"/>
      <c r="R59" s="352"/>
      <c r="S59" s="352"/>
      <c r="T59" s="352"/>
      <c r="U59" s="352"/>
      <c r="V59" s="352"/>
      <c r="W59" s="1114"/>
    </row>
    <row r="60" spans="1:23" ht="12.75" customHeight="1">
      <c r="A60" s="1113"/>
      <c r="B60" s="352"/>
      <c r="C60" s="352"/>
      <c r="D60" s="352"/>
      <c r="E60" s="352"/>
      <c r="F60" s="352"/>
      <c r="G60" s="352"/>
      <c r="H60" s="352"/>
      <c r="I60" s="352"/>
      <c r="J60" s="352"/>
      <c r="K60" s="1114"/>
      <c r="M60" s="1113"/>
      <c r="N60" s="352"/>
      <c r="O60" s="352"/>
      <c r="P60" s="352"/>
      <c r="Q60" s="352"/>
      <c r="R60" s="352"/>
      <c r="S60" s="352"/>
      <c r="T60" s="352"/>
      <c r="U60" s="352"/>
      <c r="V60" s="352"/>
      <c r="W60" s="1114"/>
    </row>
    <row r="61" spans="1:23" ht="12.75" customHeight="1">
      <c r="A61" s="1113"/>
      <c r="B61" s="352"/>
      <c r="C61" s="352"/>
      <c r="D61" s="352"/>
      <c r="E61" s="352"/>
      <c r="F61" s="352"/>
      <c r="G61" s="352"/>
      <c r="H61" s="352"/>
      <c r="I61" s="352"/>
      <c r="J61" s="352"/>
      <c r="K61" s="1114"/>
      <c r="M61" s="1113"/>
      <c r="N61" s="352"/>
      <c r="O61" s="352"/>
      <c r="P61" s="352"/>
      <c r="Q61" s="352"/>
      <c r="R61" s="352"/>
      <c r="S61" s="352"/>
      <c r="T61" s="352"/>
      <c r="U61" s="352"/>
      <c r="V61" s="352"/>
      <c r="W61" s="1114"/>
    </row>
    <row r="62" spans="1:23" ht="12.75" customHeight="1">
      <c r="A62" s="1113"/>
      <c r="B62" s="352"/>
      <c r="C62" s="352"/>
      <c r="D62" s="352"/>
      <c r="E62" s="352"/>
      <c r="F62" s="352"/>
      <c r="G62" s="352"/>
      <c r="H62" s="352"/>
      <c r="I62" s="352"/>
      <c r="J62" s="352"/>
      <c r="K62" s="1114"/>
      <c r="M62" s="1113"/>
      <c r="N62" s="352"/>
      <c r="O62" s="352"/>
      <c r="P62" s="352"/>
      <c r="Q62" s="352"/>
      <c r="R62" s="352"/>
      <c r="S62" s="352"/>
      <c r="T62" s="352"/>
      <c r="U62" s="352"/>
      <c r="V62" s="352"/>
      <c r="W62" s="1114"/>
    </row>
    <row r="63" spans="1:23" ht="12.75" customHeight="1">
      <c r="A63" s="1113"/>
      <c r="B63" s="352"/>
      <c r="C63" s="352"/>
      <c r="D63" s="352"/>
      <c r="E63" s="352"/>
      <c r="F63" s="352"/>
      <c r="G63" s="352"/>
      <c r="H63" s="352"/>
      <c r="I63" s="352"/>
      <c r="J63" s="352"/>
      <c r="K63" s="1114"/>
      <c r="M63" s="1113"/>
      <c r="N63" s="352"/>
      <c r="O63" s="352"/>
      <c r="P63" s="352"/>
      <c r="Q63" s="352"/>
      <c r="R63" s="352"/>
      <c r="S63" s="352"/>
      <c r="T63" s="352"/>
      <c r="U63" s="352"/>
      <c r="V63" s="352"/>
      <c r="W63" s="1114"/>
    </row>
    <row r="64" spans="1:23" ht="12.75" customHeight="1">
      <c r="A64" s="1113"/>
      <c r="B64" s="352"/>
      <c r="C64" s="352"/>
      <c r="D64" s="352"/>
      <c r="E64" s="352"/>
      <c r="F64" s="352"/>
      <c r="G64" s="352"/>
      <c r="H64" s="352"/>
      <c r="I64" s="352"/>
      <c r="J64" s="352"/>
      <c r="K64" s="1114"/>
      <c r="M64" s="1113"/>
      <c r="N64" s="352"/>
      <c r="O64" s="352"/>
      <c r="P64" s="352"/>
      <c r="Q64" s="352"/>
      <c r="R64" s="352"/>
      <c r="S64" s="352"/>
      <c r="T64" s="352"/>
      <c r="U64" s="352"/>
      <c r="V64" s="352"/>
      <c r="W64" s="1114"/>
    </row>
    <row r="65" spans="1:23" ht="12.75" customHeight="1">
      <c r="A65" s="1113"/>
      <c r="B65" s="352"/>
      <c r="C65" s="352"/>
      <c r="D65" s="352"/>
      <c r="E65" s="352"/>
      <c r="F65" s="352"/>
      <c r="G65" s="352"/>
      <c r="H65" s="352"/>
      <c r="I65" s="352"/>
      <c r="J65" s="352"/>
      <c r="K65" s="1114"/>
      <c r="M65" s="1113"/>
      <c r="N65" s="352"/>
      <c r="O65" s="352"/>
      <c r="P65" s="352"/>
      <c r="Q65" s="352"/>
      <c r="R65" s="352"/>
      <c r="S65" s="352"/>
      <c r="T65" s="352"/>
      <c r="U65" s="352"/>
      <c r="V65" s="352"/>
      <c r="W65" s="1114"/>
    </row>
    <row r="66" spans="1:23" ht="12.75" customHeight="1">
      <c r="A66" s="1113"/>
      <c r="B66" s="352"/>
      <c r="C66" s="352"/>
      <c r="D66" s="352"/>
      <c r="E66" s="352"/>
      <c r="F66" s="352"/>
      <c r="G66" s="352"/>
      <c r="H66" s="352"/>
      <c r="I66" s="352"/>
      <c r="J66" s="352"/>
      <c r="K66" s="1114"/>
      <c r="M66" s="1113"/>
      <c r="N66" s="352"/>
      <c r="O66" s="352"/>
      <c r="P66" s="352"/>
      <c r="Q66" s="352"/>
      <c r="R66" s="352"/>
      <c r="S66" s="352"/>
      <c r="T66" s="352"/>
      <c r="U66" s="352"/>
      <c r="V66" s="352"/>
      <c r="W66" s="1114"/>
    </row>
    <row r="67" spans="1:23" ht="12.75" customHeight="1">
      <c r="A67" s="1113"/>
      <c r="B67" s="352"/>
      <c r="C67" s="352"/>
      <c r="D67" s="352"/>
      <c r="E67" s="352"/>
      <c r="F67" s="352"/>
      <c r="G67" s="352"/>
      <c r="H67" s="352"/>
      <c r="I67" s="352"/>
      <c r="J67" s="352"/>
      <c r="K67" s="1114"/>
      <c r="M67" s="1113"/>
      <c r="N67" s="352"/>
      <c r="O67" s="352"/>
      <c r="P67" s="352"/>
      <c r="Q67" s="352"/>
      <c r="R67" s="352"/>
      <c r="S67" s="352"/>
      <c r="T67" s="352"/>
      <c r="U67" s="352"/>
      <c r="V67" s="352"/>
      <c r="W67" s="1114"/>
    </row>
    <row r="68" spans="1:23" ht="12.75" customHeight="1">
      <c r="A68" s="1113"/>
      <c r="B68" s="352"/>
      <c r="C68" s="352"/>
      <c r="D68" s="352"/>
      <c r="E68" s="352"/>
      <c r="F68" s="352"/>
      <c r="G68" s="352"/>
      <c r="H68" s="352"/>
      <c r="I68" s="352"/>
      <c r="J68" s="352"/>
      <c r="K68" s="1114"/>
      <c r="M68" s="1113"/>
      <c r="N68" s="352"/>
      <c r="O68" s="352"/>
      <c r="P68" s="352"/>
      <c r="Q68" s="352"/>
      <c r="R68" s="352"/>
      <c r="S68" s="352"/>
      <c r="T68" s="352"/>
      <c r="U68" s="352"/>
      <c r="V68" s="352"/>
      <c r="W68" s="1114"/>
    </row>
    <row r="69" spans="1:23" ht="12.75" customHeight="1" thickBot="1">
      <c r="A69" s="1115"/>
      <c r="B69" s="1116"/>
      <c r="C69" s="1116"/>
      <c r="D69" s="1116"/>
      <c r="E69" s="1116"/>
      <c r="F69" s="1116"/>
      <c r="G69" s="1116"/>
      <c r="H69" s="1116"/>
      <c r="I69" s="1116"/>
      <c r="J69" s="1116"/>
      <c r="K69" s="1117"/>
      <c r="M69" s="1115"/>
      <c r="N69" s="1116"/>
      <c r="O69" s="1116"/>
      <c r="P69" s="1116"/>
      <c r="Q69" s="1116"/>
      <c r="R69" s="1116"/>
      <c r="S69" s="1116"/>
      <c r="T69" s="1116"/>
      <c r="U69" s="1116"/>
      <c r="V69" s="1116"/>
      <c r="W69" s="1117"/>
    </row>
  </sheetData>
  <printOptions horizontalCentered="1" verticalCentered="1"/>
  <pageMargins left="0.25" right="0.25" top="0.2" bottom="0.2" header="0.2" footer="0.2"/>
  <pageSetup horizontalDpi="600" verticalDpi="600" orientation="landscape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tabSelected="1" workbookViewId="0" topLeftCell="A1">
      <selection activeCell="A20" sqref="A20:G20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5.421875" style="86" customWidth="1"/>
    <col min="6" max="6" width="17.140625" style="86" customWidth="1"/>
    <col min="7" max="7" width="19.421875" style="86" customWidth="1"/>
    <col min="8" max="8" width="154.140625" style="86" customWidth="1"/>
    <col min="9" max="10" width="13.140625" style="86" customWidth="1"/>
    <col min="11" max="11" width="4.8515625" style="86" customWidth="1"/>
    <col min="12" max="12" width="25.8515625" style="86" customWidth="1"/>
    <col min="13" max="13" width="6.421875" style="86" customWidth="1"/>
    <col min="14" max="16" width="15.00390625" style="86" customWidth="1"/>
    <col min="17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21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7.25">
      <c r="A2" s="26" t="s">
        <v>491</v>
      </c>
      <c r="B2" s="27"/>
      <c r="C2" s="27"/>
      <c r="D2" s="28"/>
      <c r="E2" s="28"/>
      <c r="F2" s="28"/>
      <c r="G2" s="29"/>
      <c r="H2" s="1020" t="s">
        <v>186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8" thickBot="1">
      <c r="A3" s="1259" t="s">
        <v>19</v>
      </c>
      <c r="B3" s="1260"/>
      <c r="C3" s="1260"/>
      <c r="D3" s="1261"/>
      <c r="E3" s="231" t="s">
        <v>170</v>
      </c>
      <c r="F3" s="232" t="s">
        <v>21</v>
      </c>
      <c r="G3" s="233" t="s">
        <v>18</v>
      </c>
      <c r="H3" s="1021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171</v>
      </c>
      <c r="B4" s="34"/>
      <c r="C4" s="34"/>
      <c r="D4" s="34"/>
      <c r="E4" s="237" t="s">
        <v>488</v>
      </c>
      <c r="F4" s="35"/>
      <c r="G4" s="614">
        <v>39386</v>
      </c>
      <c r="H4" s="1022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3.5">
      <c r="A5" s="200" t="s">
        <v>0</v>
      </c>
      <c r="B5" s="188" t="s">
        <v>194</v>
      </c>
      <c r="C5" s="189" t="s">
        <v>21</v>
      </c>
      <c r="D5" s="186" t="s">
        <v>0</v>
      </c>
      <c r="E5" s="187"/>
      <c r="F5" s="188" t="s">
        <v>194</v>
      </c>
      <c r="G5" s="201" t="s">
        <v>21</v>
      </c>
      <c r="H5" s="221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1048" t="s">
        <v>157</v>
      </c>
      <c r="B6" s="1049" t="s">
        <v>158</v>
      </c>
      <c r="C6" s="1050"/>
      <c r="D6" s="1051" t="s">
        <v>165</v>
      </c>
      <c r="E6" s="1052"/>
      <c r="F6" s="1050" t="s">
        <v>166</v>
      </c>
      <c r="G6" s="203"/>
      <c r="H6" s="221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1053" t="s">
        <v>159</v>
      </c>
      <c r="B7" s="1054" t="s">
        <v>160</v>
      </c>
      <c r="C7" s="1055"/>
      <c r="D7" s="1056" t="s">
        <v>167</v>
      </c>
      <c r="E7" s="1057"/>
      <c r="F7" s="1055" t="s">
        <v>150</v>
      </c>
      <c r="G7" s="185"/>
      <c r="H7" s="221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1053" t="s">
        <v>161</v>
      </c>
      <c r="B8" s="1054" t="s">
        <v>148</v>
      </c>
      <c r="C8" s="1055"/>
      <c r="D8" s="1056" t="s">
        <v>168</v>
      </c>
      <c r="E8" s="1057"/>
      <c r="F8" s="1055" t="s">
        <v>152</v>
      </c>
      <c r="G8" s="185"/>
      <c r="H8" s="221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1053" t="s">
        <v>162</v>
      </c>
      <c r="B9" s="1054" t="s">
        <v>156</v>
      </c>
      <c r="C9" s="1055"/>
      <c r="D9" s="1056" t="s">
        <v>169</v>
      </c>
      <c r="E9" s="1057"/>
      <c r="F9" s="1055" t="s">
        <v>68</v>
      </c>
      <c r="G9" s="185"/>
      <c r="H9" s="221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1058" t="s">
        <v>163</v>
      </c>
      <c r="B10" s="1059" t="s">
        <v>164</v>
      </c>
      <c r="C10" s="1060"/>
      <c r="D10" s="1061"/>
      <c r="E10" s="1062"/>
      <c r="F10" s="1060"/>
      <c r="G10" s="206"/>
      <c r="H10" s="221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253"/>
      <c r="B11" s="1254"/>
      <c r="C11" s="1254"/>
      <c r="D11" s="1254"/>
      <c r="E11" s="190"/>
      <c r="F11" s="39"/>
      <c r="G11" s="40"/>
      <c r="H11" s="221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255"/>
      <c r="B12" s="1255"/>
      <c r="C12" s="1255"/>
      <c r="D12" s="1256"/>
      <c r="E12" s="1255"/>
      <c r="F12" s="1256"/>
      <c r="G12" s="1256"/>
      <c r="H12" s="338"/>
      <c r="I12"/>
      <c r="J12"/>
      <c r="K12"/>
      <c r="L12"/>
      <c r="M12"/>
      <c r="N12"/>
      <c r="O12"/>
      <c r="P12"/>
      <c r="Q12"/>
      <c r="R12"/>
      <c r="S12"/>
    </row>
    <row r="13" spans="1:19" ht="13.5">
      <c r="A13" s="1244" t="s">
        <v>1</v>
      </c>
      <c r="B13" s="1245"/>
      <c r="C13" s="1245"/>
      <c r="D13" s="1246"/>
      <c r="E13" s="1246"/>
      <c r="F13" s="1246"/>
      <c r="G13" s="1247"/>
      <c r="H13" s="338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217" t="s">
        <v>897</v>
      </c>
      <c r="B14" s="1218"/>
      <c r="C14" s="1218"/>
      <c r="D14" s="1188"/>
      <c r="E14" s="1188"/>
      <c r="F14" s="1188"/>
      <c r="G14" s="1219"/>
      <c r="H14" s="338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217"/>
      <c r="B15" s="1218"/>
      <c r="C15" s="1218"/>
      <c r="D15" s="1188"/>
      <c r="E15" s="1188"/>
      <c r="F15" s="1188"/>
      <c r="G15" s="1219"/>
      <c r="H15" s="338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217"/>
      <c r="B16" s="1218"/>
      <c r="C16" s="1218"/>
      <c r="D16" s="1188"/>
      <c r="E16" s="1188"/>
      <c r="F16" s="1188"/>
      <c r="G16" s="1219"/>
      <c r="H16" s="338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220"/>
      <c r="B17" s="1188"/>
      <c r="C17" s="1188"/>
      <c r="D17" s="1188"/>
      <c r="E17" s="1188"/>
      <c r="F17" s="1188"/>
      <c r="G17" s="1219"/>
      <c r="H17" s="338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220"/>
      <c r="B18" s="1188"/>
      <c r="C18" s="1188"/>
      <c r="D18" s="1188"/>
      <c r="E18" s="1188"/>
      <c r="F18" s="1188"/>
      <c r="G18" s="1219"/>
      <c r="H18" s="33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s="1248"/>
      <c r="B19" s="1192"/>
      <c r="C19" s="1192"/>
      <c r="D19" s="1192"/>
      <c r="E19" s="1192"/>
      <c r="F19" s="1192"/>
      <c r="G19" s="1249"/>
      <c r="H19" s="338"/>
      <c r="I19"/>
      <c r="J19"/>
      <c r="K19"/>
      <c r="L19"/>
      <c r="M19"/>
      <c r="N19"/>
      <c r="O19"/>
      <c r="P19"/>
      <c r="Q19"/>
      <c r="R19"/>
      <c r="S19"/>
    </row>
    <row r="20" spans="1:19" ht="13.5">
      <c r="A20" s="1213" t="s">
        <v>2</v>
      </c>
      <c r="B20" s="1214"/>
      <c r="C20" s="1214"/>
      <c r="D20" s="1215"/>
      <c r="E20" s="1215"/>
      <c r="F20" s="1215"/>
      <c r="G20" s="1216"/>
      <c r="H20" s="338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217"/>
      <c r="B21" s="1218"/>
      <c r="C21" s="1218"/>
      <c r="D21" s="1188"/>
      <c r="E21" s="1188"/>
      <c r="F21" s="1188"/>
      <c r="G21" s="1219"/>
      <c r="H21" s="338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217"/>
      <c r="B22" s="1218"/>
      <c r="C22" s="1218"/>
      <c r="D22" s="1188"/>
      <c r="E22" s="1188"/>
      <c r="F22" s="1188"/>
      <c r="G22" s="1219"/>
      <c r="H22" s="338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217"/>
      <c r="B23" s="1218"/>
      <c r="C23" s="1218"/>
      <c r="D23" s="1188"/>
      <c r="E23" s="1188"/>
      <c r="F23" s="1188"/>
      <c r="G23" s="1219"/>
      <c r="H23" s="338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220"/>
      <c r="B24" s="1188"/>
      <c r="C24" s="1188"/>
      <c r="D24" s="1188"/>
      <c r="E24" s="1188"/>
      <c r="F24" s="1188"/>
      <c r="G24" s="1219"/>
      <c r="H24" s="338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220"/>
      <c r="B25" s="1188"/>
      <c r="C25" s="1188"/>
      <c r="D25" s="1188"/>
      <c r="E25" s="1188"/>
      <c r="F25" s="1188"/>
      <c r="G25" s="1219"/>
      <c r="H25" s="338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 s="1248"/>
      <c r="B26" s="1192"/>
      <c r="C26" s="1192"/>
      <c r="D26" s="1192"/>
      <c r="E26" s="1192"/>
      <c r="F26" s="1192"/>
      <c r="G26" s="1249"/>
      <c r="H26" s="338"/>
      <c r="I26"/>
      <c r="J26"/>
      <c r="K26"/>
      <c r="L26"/>
      <c r="M26"/>
      <c r="N26"/>
      <c r="O26"/>
      <c r="P26"/>
      <c r="Q26"/>
      <c r="R26"/>
      <c r="S26"/>
    </row>
    <row r="27" spans="1:19" ht="13.5">
      <c r="A27" s="1213" t="s">
        <v>16</v>
      </c>
      <c r="B27" s="1214"/>
      <c r="C27" s="1214"/>
      <c r="D27" s="1215"/>
      <c r="E27" s="1215"/>
      <c r="F27" s="1215"/>
      <c r="G27" s="1216"/>
      <c r="H27" s="338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217"/>
      <c r="B28" s="1218"/>
      <c r="C28" s="1218"/>
      <c r="D28" s="1188"/>
      <c r="E28" s="1188"/>
      <c r="F28" s="1188"/>
      <c r="G28" s="1219"/>
      <c r="H28" s="33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 s="1217"/>
      <c r="B29" s="1218"/>
      <c r="C29" s="1218"/>
      <c r="D29" s="1188"/>
      <c r="E29" s="1188"/>
      <c r="F29" s="1188"/>
      <c r="G29" s="1219"/>
      <c r="H29" s="338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 s="1217"/>
      <c r="B30" s="1218"/>
      <c r="C30" s="1218"/>
      <c r="D30" s="1188"/>
      <c r="E30" s="1188"/>
      <c r="F30" s="1188"/>
      <c r="G30" s="1219"/>
      <c r="H30" s="221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1217"/>
      <c r="B31" s="1218"/>
      <c r="C31" s="1218"/>
      <c r="D31" s="1188"/>
      <c r="E31" s="1188"/>
      <c r="F31" s="1188"/>
      <c r="G31" s="1219"/>
      <c r="H31" s="221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6" ht="12.75">
      <c r="A32" s="1220"/>
      <c r="B32" s="1188"/>
      <c r="C32" s="1188"/>
      <c r="D32" s="1188"/>
      <c r="E32" s="1188"/>
      <c r="F32" s="1188"/>
      <c r="G32" s="1219"/>
      <c r="H32" s="22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>
      <c r="A33" s="1220"/>
      <c r="B33" s="1188"/>
      <c r="C33" s="1188"/>
      <c r="D33" s="1188"/>
      <c r="E33" s="1188"/>
      <c r="F33" s="1188"/>
      <c r="G33" s="1219"/>
      <c r="H33" s="221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thickBot="1">
      <c r="A34" s="1221"/>
      <c r="B34" s="1222"/>
      <c r="C34" s="1222"/>
      <c r="D34" s="1222"/>
      <c r="E34" s="1222"/>
      <c r="F34" s="1222"/>
      <c r="G34" s="1223"/>
      <c r="H34" s="22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6.75" customHeight="1" thickBot="1">
      <c r="A35" s="42"/>
      <c r="B35" s="42"/>
      <c r="C35" s="42"/>
      <c r="D35" s="42"/>
      <c r="E35" s="42"/>
      <c r="F35" s="42"/>
      <c r="G35" s="42"/>
      <c r="H35" s="221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thickBot="1">
      <c r="A36" s="1224" t="s">
        <v>730</v>
      </c>
      <c r="B36" s="1225"/>
      <c r="C36" s="1225"/>
      <c r="D36" s="1226"/>
      <c r="E36" s="1226"/>
      <c r="F36" s="1226"/>
      <c r="G36" s="1227"/>
      <c r="H36" s="221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>
      <c r="A37" s="996" t="s">
        <v>20</v>
      </c>
      <c r="B37" s="997" t="s">
        <v>192</v>
      </c>
      <c r="C37" s="997" t="s">
        <v>96</v>
      </c>
      <c r="D37" s="257" t="s">
        <v>492</v>
      </c>
      <c r="E37" s="257" t="s">
        <v>493</v>
      </c>
      <c r="F37" s="257" t="s">
        <v>499</v>
      </c>
      <c r="G37" s="258" t="s">
        <v>293</v>
      </c>
      <c r="H37" s="613"/>
      <c r="I37" s="25" t="s">
        <v>51</v>
      </c>
      <c r="J37" s="25" t="s">
        <v>52</v>
      </c>
      <c r="K37" s="25" t="s">
        <v>54</v>
      </c>
      <c r="L37" s="25" t="s">
        <v>55</v>
      </c>
      <c r="M37" s="25" t="s">
        <v>503</v>
      </c>
      <c r="N37" s="25" t="s">
        <v>57</v>
      </c>
      <c r="O37" s="25" t="s">
        <v>727</v>
      </c>
      <c r="P37" s="25" t="s">
        <v>53</v>
      </c>
      <c r="Q37" s="25" t="s">
        <v>729</v>
      </c>
      <c r="R37" s="25"/>
      <c r="S37" s="25"/>
      <c r="T37" s="25"/>
      <c r="U37" s="25"/>
      <c r="V37" s="25"/>
      <c r="W37" s="25"/>
      <c r="X37" s="25"/>
      <c r="Y37" s="25"/>
      <c r="Z37" s="25"/>
    </row>
    <row r="38" spans="1:35" ht="12.75">
      <c r="A38" s="1032" t="s">
        <v>46</v>
      </c>
      <c r="B38" s="243">
        <v>1803</v>
      </c>
      <c r="C38" s="243" t="s">
        <v>148</v>
      </c>
      <c r="D38" s="49">
        <v>39276</v>
      </c>
      <c r="E38" s="243" t="s">
        <v>505</v>
      </c>
      <c r="F38" s="243"/>
      <c r="G38" s="52">
        <v>3</v>
      </c>
      <c r="H38" s="615"/>
      <c r="I38" s="243" t="s">
        <v>146</v>
      </c>
      <c r="J38" s="243" t="s">
        <v>46</v>
      </c>
      <c r="K38" s="243">
        <v>1803</v>
      </c>
      <c r="L38" s="243" t="s">
        <v>148</v>
      </c>
      <c r="M38" s="49">
        <v>39276</v>
      </c>
      <c r="N38" s="243" t="s">
        <v>505</v>
      </c>
      <c r="O38" s="243"/>
      <c r="P38" s="243">
        <v>3</v>
      </c>
      <c r="Q38" s="243"/>
      <c r="R38" s="243"/>
      <c r="S38" s="243"/>
      <c r="T38" s="243"/>
      <c r="U38" s="243"/>
      <c r="V38" s="243"/>
      <c r="W38" s="243"/>
      <c r="X38" s="25"/>
      <c r="Y38" s="25" t="s">
        <v>51</v>
      </c>
      <c r="Z38" s="25" t="s">
        <v>52</v>
      </c>
      <c r="AA38" s="25" t="s">
        <v>53</v>
      </c>
      <c r="AB38" s="25" t="s">
        <v>54</v>
      </c>
      <c r="AC38" s="25" t="s">
        <v>55</v>
      </c>
      <c r="AD38" s="25" t="s">
        <v>502</v>
      </c>
      <c r="AE38" s="53" t="s">
        <v>503</v>
      </c>
      <c r="AF38" s="25" t="s">
        <v>56</v>
      </c>
      <c r="AG38" s="25" t="s">
        <v>57</v>
      </c>
      <c r="AH38" s="25" t="s">
        <v>543</v>
      </c>
      <c r="AI38" s="25"/>
    </row>
    <row r="39" spans="1:35" ht="12.75">
      <c r="A39" s="1033" t="s">
        <v>551</v>
      </c>
      <c r="B39" s="1024">
        <v>3101</v>
      </c>
      <c r="C39" s="1024" t="s">
        <v>150</v>
      </c>
      <c r="D39" s="1025">
        <v>39331</v>
      </c>
      <c r="E39" s="1024" t="s">
        <v>542</v>
      </c>
      <c r="F39" s="1024"/>
      <c r="G39" s="1034">
        <v>3</v>
      </c>
      <c r="H39" s="612"/>
      <c r="I39" s="71" t="s">
        <v>149</v>
      </c>
      <c r="J39" s="86" t="s">
        <v>551</v>
      </c>
      <c r="K39" s="86">
        <v>3101</v>
      </c>
      <c r="L39" s="86" t="s">
        <v>150</v>
      </c>
      <c r="M39" s="264">
        <v>39331</v>
      </c>
      <c r="N39" s="86" t="s">
        <v>542</v>
      </c>
      <c r="P39" s="86">
        <v>3</v>
      </c>
      <c r="Q39" s="71"/>
      <c r="R39" s="71"/>
      <c r="S39" s="71"/>
      <c r="T39" s="71"/>
      <c r="U39" s="71"/>
      <c r="V39" s="71"/>
      <c r="W39" s="71"/>
      <c r="X39" s="25" t="s">
        <v>550</v>
      </c>
      <c r="Y39" s="25" t="s">
        <v>146</v>
      </c>
      <c r="Z39" s="25" t="s">
        <v>46</v>
      </c>
      <c r="AA39" s="25">
        <v>3</v>
      </c>
      <c r="AB39" s="25">
        <v>1803</v>
      </c>
      <c r="AC39" s="25" t="s">
        <v>148</v>
      </c>
      <c r="AD39" s="53" t="s">
        <v>147</v>
      </c>
      <c r="AE39" s="223">
        <v>39276</v>
      </c>
      <c r="AF39" s="25" t="s">
        <v>504</v>
      </c>
      <c r="AG39" s="53" t="s">
        <v>505</v>
      </c>
      <c r="AH39" s="25">
        <v>-2</v>
      </c>
      <c r="AI39" s="25"/>
    </row>
    <row r="40" spans="1:35" ht="12.75">
      <c r="A40" s="1033" t="s">
        <v>552</v>
      </c>
      <c r="B40" s="1024">
        <v>1810</v>
      </c>
      <c r="C40" s="1024" t="s">
        <v>156</v>
      </c>
      <c r="D40" s="1025">
        <v>39484</v>
      </c>
      <c r="E40" s="1025">
        <v>39454</v>
      </c>
      <c r="F40" s="1024"/>
      <c r="G40" s="1034">
        <v>3</v>
      </c>
      <c r="H40" s="612"/>
      <c r="I40" s="71" t="s">
        <v>155</v>
      </c>
      <c r="J40" s="86" t="s">
        <v>552</v>
      </c>
      <c r="K40" s="86">
        <v>1810</v>
      </c>
      <c r="L40" s="86" t="s">
        <v>156</v>
      </c>
      <c r="M40" s="264">
        <v>39484</v>
      </c>
      <c r="N40" s="264">
        <v>39454</v>
      </c>
      <c r="P40" s="86">
        <v>3</v>
      </c>
      <c r="Q40" s="71">
        <v>319</v>
      </c>
      <c r="R40" s="71"/>
      <c r="S40" s="71"/>
      <c r="T40" s="71"/>
      <c r="U40" s="71"/>
      <c r="V40" s="71"/>
      <c r="W40" s="71"/>
      <c r="X40" s="25" t="s">
        <v>550</v>
      </c>
      <c r="Y40" s="25" t="s">
        <v>149</v>
      </c>
      <c r="Z40" s="25" t="s">
        <v>551</v>
      </c>
      <c r="AA40" s="25">
        <v>3</v>
      </c>
      <c r="AB40" s="25">
        <v>3101</v>
      </c>
      <c r="AC40" s="25" t="s">
        <v>150</v>
      </c>
      <c r="AD40" s="53"/>
      <c r="AE40" s="223">
        <v>39331</v>
      </c>
      <c r="AF40" s="25"/>
      <c r="AG40" s="53" t="s">
        <v>542</v>
      </c>
      <c r="AH40" s="25">
        <v>19</v>
      </c>
      <c r="AI40" s="53"/>
    </row>
    <row r="41" spans="1:35" ht="13.5">
      <c r="A41" s="1035" t="s">
        <v>44</v>
      </c>
      <c r="B41" s="1026">
        <v>1431</v>
      </c>
      <c r="C41" s="1026" t="s">
        <v>152</v>
      </c>
      <c r="D41" s="1027">
        <v>39345</v>
      </c>
      <c r="E41" s="1027">
        <v>39458</v>
      </c>
      <c r="F41" s="1028">
        <v>39417</v>
      </c>
      <c r="G41" s="1036">
        <v>2</v>
      </c>
      <c r="H41" s="612"/>
      <c r="I41" s="71" t="s">
        <v>151</v>
      </c>
      <c r="J41" s="86" t="s">
        <v>44</v>
      </c>
      <c r="K41" s="86">
        <v>1431</v>
      </c>
      <c r="L41" s="86" t="s">
        <v>152</v>
      </c>
      <c r="M41" s="264">
        <v>39345</v>
      </c>
      <c r="N41" s="264">
        <v>39458</v>
      </c>
      <c r="O41" s="1023">
        <v>39417</v>
      </c>
      <c r="P41" s="86">
        <v>2</v>
      </c>
      <c r="Q41" s="71">
        <v>-39</v>
      </c>
      <c r="R41" s="71"/>
      <c r="S41" s="71"/>
      <c r="T41" s="71"/>
      <c r="U41" s="71"/>
      <c r="V41" s="71"/>
      <c r="W41" s="71"/>
      <c r="X41" s="25" t="s">
        <v>550</v>
      </c>
      <c r="Y41" s="25" t="s">
        <v>151</v>
      </c>
      <c r="Z41" s="25" t="s">
        <v>44</v>
      </c>
      <c r="AA41" s="25">
        <v>2</v>
      </c>
      <c r="AB41" s="25">
        <v>1431</v>
      </c>
      <c r="AC41" s="86" t="s">
        <v>152</v>
      </c>
      <c r="AD41" s="53">
        <v>39345</v>
      </c>
      <c r="AE41" s="223"/>
      <c r="AF41" s="264">
        <v>39349</v>
      </c>
      <c r="AG41" s="53"/>
      <c r="AH41" s="86">
        <v>-2</v>
      </c>
      <c r="AI41" s="53"/>
    </row>
    <row r="42" spans="1:35" ht="12.75">
      <c r="A42" s="1033" t="s">
        <v>154</v>
      </c>
      <c r="B42" s="1024">
        <v>1803</v>
      </c>
      <c r="C42" s="1024" t="s">
        <v>148</v>
      </c>
      <c r="D42" s="1025">
        <v>39407</v>
      </c>
      <c r="E42" s="1025">
        <v>39497</v>
      </c>
      <c r="F42" s="1024"/>
      <c r="G42" s="1034">
        <v>3</v>
      </c>
      <c r="H42" s="612"/>
      <c r="I42" s="71" t="s">
        <v>153</v>
      </c>
      <c r="J42" s="86" t="s">
        <v>154</v>
      </c>
      <c r="K42" s="86">
        <v>1803</v>
      </c>
      <c r="L42" s="86" t="s">
        <v>148</v>
      </c>
      <c r="M42" s="264">
        <v>39407</v>
      </c>
      <c r="N42" s="264">
        <v>39497</v>
      </c>
      <c r="P42" s="86">
        <v>3</v>
      </c>
      <c r="Q42" s="71">
        <v>72</v>
      </c>
      <c r="R42" s="71"/>
      <c r="S42" s="71"/>
      <c r="T42" s="71"/>
      <c r="U42" s="71"/>
      <c r="V42" s="71"/>
      <c r="W42" s="71"/>
      <c r="X42" s="25" t="s">
        <v>550</v>
      </c>
      <c r="Y42" s="25" t="s">
        <v>153</v>
      </c>
      <c r="Z42" s="25" t="s">
        <v>154</v>
      </c>
      <c r="AA42" s="25">
        <v>3</v>
      </c>
      <c r="AB42" s="25">
        <v>1803</v>
      </c>
      <c r="AC42" s="25" t="s">
        <v>148</v>
      </c>
      <c r="AD42" s="53"/>
      <c r="AE42" s="223">
        <v>39407</v>
      </c>
      <c r="AF42" s="25"/>
      <c r="AG42" s="53">
        <v>39384</v>
      </c>
      <c r="AH42" s="25">
        <v>17</v>
      </c>
      <c r="AI42" s="53"/>
    </row>
    <row r="43" spans="1:35" ht="13.5">
      <c r="A43" s="1037" t="s">
        <v>822</v>
      </c>
      <c r="B43" s="1029">
        <v>1451</v>
      </c>
      <c r="C43" s="1029" t="s">
        <v>158</v>
      </c>
      <c r="D43" s="1030">
        <v>39644</v>
      </c>
      <c r="E43" s="1030">
        <v>39580</v>
      </c>
      <c r="F43" s="1031">
        <v>39753</v>
      </c>
      <c r="G43" s="1038">
        <v>2</v>
      </c>
      <c r="H43" s="612"/>
      <c r="I43" s="71" t="s">
        <v>821</v>
      </c>
      <c r="J43" s="86" t="s">
        <v>822</v>
      </c>
      <c r="K43" s="86">
        <v>1451</v>
      </c>
      <c r="L43" s="86" t="s">
        <v>158</v>
      </c>
      <c r="M43" s="264">
        <v>39644</v>
      </c>
      <c r="N43" s="264">
        <v>39580</v>
      </c>
      <c r="O43" s="1023">
        <v>39753</v>
      </c>
      <c r="P43" s="86">
        <v>2</v>
      </c>
      <c r="Q43" s="71">
        <v>85</v>
      </c>
      <c r="R43" s="71"/>
      <c r="S43" s="71"/>
      <c r="T43" s="71"/>
      <c r="U43" s="71"/>
      <c r="V43" s="71"/>
      <c r="W43" s="71"/>
      <c r="X43" s="25" t="s">
        <v>550</v>
      </c>
      <c r="Y43" s="25" t="s">
        <v>155</v>
      </c>
      <c r="Z43" s="25" t="s">
        <v>552</v>
      </c>
      <c r="AA43" s="25">
        <v>3</v>
      </c>
      <c r="AB43" s="25">
        <v>1810</v>
      </c>
      <c r="AC43" s="53" t="s">
        <v>156</v>
      </c>
      <c r="AD43" s="53">
        <v>39479</v>
      </c>
      <c r="AE43" s="223">
        <v>39484</v>
      </c>
      <c r="AF43" s="53">
        <v>39511</v>
      </c>
      <c r="AG43" s="53">
        <v>39514</v>
      </c>
      <c r="AH43" s="53">
        <v>-22</v>
      </c>
      <c r="AI43" s="53"/>
    </row>
    <row r="44" spans="1:35" ht="12.75">
      <c r="A44" s="662" t="s">
        <v>824</v>
      </c>
      <c r="B44" s="637">
        <v>1803</v>
      </c>
      <c r="C44" s="637" t="s">
        <v>148</v>
      </c>
      <c r="D44" s="638">
        <v>39603</v>
      </c>
      <c r="E44" s="638">
        <v>39603</v>
      </c>
      <c r="F44" s="637"/>
      <c r="G44" s="663">
        <v>3</v>
      </c>
      <c r="H44" s="616"/>
      <c r="I44" s="261" t="s">
        <v>823</v>
      </c>
      <c r="J44" s="261" t="s">
        <v>824</v>
      </c>
      <c r="K44" s="261">
        <v>1803</v>
      </c>
      <c r="L44" s="261" t="s">
        <v>148</v>
      </c>
      <c r="M44" s="55">
        <v>39603</v>
      </c>
      <c r="N44" s="55">
        <v>39603</v>
      </c>
      <c r="O44" s="261"/>
      <c r="P44" s="261">
        <v>3</v>
      </c>
      <c r="Q44" s="261">
        <v>69</v>
      </c>
      <c r="R44" s="261"/>
      <c r="S44" s="261"/>
      <c r="T44" s="261"/>
      <c r="U44" s="261"/>
      <c r="V44" s="261"/>
      <c r="W44" s="261"/>
      <c r="X44" s="25"/>
      <c r="Y44" s="25"/>
      <c r="Z44" s="25"/>
      <c r="AA44" s="25"/>
      <c r="AB44" s="25"/>
      <c r="AC44" s="25"/>
      <c r="AD44" s="25"/>
      <c r="AE44" s="53"/>
      <c r="AF44" s="25"/>
      <c r="AG44" s="53"/>
      <c r="AH44" s="25"/>
      <c r="AI44" s="59"/>
    </row>
    <row r="45" spans="1:26" ht="13.5" thickBot="1">
      <c r="A45" s="262"/>
      <c r="B45" s="263"/>
      <c r="C45" s="263"/>
      <c r="D45" s="265"/>
      <c r="E45" s="661"/>
      <c r="F45" s="287"/>
      <c r="G45" s="266"/>
      <c r="H45" s="613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4.5" customHeight="1" thickBot="1">
      <c r="A46" s="38"/>
      <c r="B46" s="38"/>
      <c r="C46" s="38"/>
      <c r="D46" s="38"/>
      <c r="E46" s="38"/>
      <c r="F46" s="38"/>
      <c r="G46" s="38"/>
      <c r="H46" s="6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3.5">
      <c r="A47" s="66"/>
      <c r="B47" s="67"/>
      <c r="C47" s="67"/>
      <c r="D47" s="68" t="s">
        <v>496</v>
      </c>
      <c r="E47" s="69"/>
      <c r="F47" s="69"/>
      <c r="G47" s="70"/>
      <c r="H47" s="612"/>
      <c r="I47" s="71"/>
      <c r="J47" s="71"/>
      <c r="K47" s="71"/>
      <c r="L47" s="71"/>
      <c r="M47" s="71"/>
      <c r="N47" s="71"/>
      <c r="O47" s="71"/>
      <c r="P47" s="71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>
      <c r="A48" s="1228"/>
      <c r="B48" s="1229"/>
      <c r="C48" s="1229"/>
      <c r="D48" s="1230"/>
      <c r="E48" s="207"/>
      <c r="F48" s="72" t="s">
        <v>494</v>
      </c>
      <c r="G48" s="72" t="s">
        <v>495</v>
      </c>
      <c r="H48" s="612"/>
      <c r="I48" s="71"/>
      <c r="J48" s="71"/>
      <c r="K48" s="71"/>
      <c r="L48" s="71"/>
      <c r="M48" s="71"/>
      <c r="N48" s="71"/>
      <c r="O48" s="71"/>
      <c r="P48" s="71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3.5">
      <c r="A49" s="1231"/>
      <c r="B49" s="1232"/>
      <c r="C49" s="1232"/>
      <c r="D49" s="1233"/>
      <c r="E49" s="73" t="s">
        <v>6</v>
      </c>
      <c r="F49" s="183">
        <f>SUM('COST PERFORMANCE BY RLM &amp; JOB'!C37)</f>
        <v>4016.71</v>
      </c>
      <c r="G49" s="208">
        <f>SUM('COST PERFORMANCE BY RLM &amp; JOB'!K37)</f>
        <v>1204.6100000000001</v>
      </c>
      <c r="H49" s="612"/>
      <c r="I49" s="71"/>
      <c r="J49" s="71"/>
      <c r="K49" s="71"/>
      <c r="L49" s="71"/>
      <c r="M49" s="71"/>
      <c r="N49" s="71"/>
      <c r="O49" s="71"/>
      <c r="P49" s="71"/>
      <c r="Q49"/>
      <c r="R49"/>
      <c r="S49"/>
      <c r="T49"/>
      <c r="U49"/>
      <c r="V49"/>
      <c r="W49"/>
      <c r="X49"/>
      <c r="Y49"/>
      <c r="Z49"/>
    </row>
    <row r="50" spans="1:19" ht="13.5">
      <c r="A50" s="1231"/>
      <c r="B50" s="1232"/>
      <c r="C50" s="1232"/>
      <c r="D50" s="1233"/>
      <c r="E50" s="73" t="s">
        <v>7</v>
      </c>
      <c r="F50" s="183">
        <f>SUM('COST PERFORMANCE BY RLM &amp; JOB'!D37)</f>
        <v>3794.5060000000003</v>
      </c>
      <c r="G50" s="208">
        <f>SUM('COST PERFORMANCE BY RLM &amp; JOB'!L37)</f>
        <v>894.38548834</v>
      </c>
      <c r="H50" s="612"/>
      <c r="I50" s="71"/>
      <c r="J50"/>
      <c r="K50"/>
      <c r="L50"/>
      <c r="M50"/>
      <c r="N50"/>
      <c r="O50"/>
      <c r="P50"/>
      <c r="Q50"/>
      <c r="R50"/>
      <c r="S50"/>
    </row>
    <row r="51" spans="1:19" ht="13.5">
      <c r="A51" s="1231"/>
      <c r="B51" s="1232"/>
      <c r="C51" s="1232"/>
      <c r="D51" s="1233"/>
      <c r="E51" s="73" t="s">
        <v>8</v>
      </c>
      <c r="F51" s="183">
        <f>SUM('COST PERFORMANCE BY RLM &amp; JOB'!E37)</f>
        <v>3154.7718192343414</v>
      </c>
      <c r="G51" s="208">
        <f>SUM('COST PERFORMANCE BY RLM &amp; JOB'!M37)</f>
        <v>426.885</v>
      </c>
      <c r="H51" s="612"/>
      <c r="I51" s="71"/>
      <c r="J51"/>
      <c r="K51"/>
      <c r="L51"/>
      <c r="M51"/>
      <c r="N51"/>
      <c r="O51"/>
      <c r="P51"/>
      <c r="Q51"/>
      <c r="R51"/>
      <c r="S51"/>
    </row>
    <row r="52" spans="1:19" ht="12.75">
      <c r="A52" s="1231"/>
      <c r="B52" s="1232"/>
      <c r="C52" s="1232"/>
      <c r="D52" s="1233"/>
      <c r="E52" s="73" t="s">
        <v>9</v>
      </c>
      <c r="F52" s="242">
        <f>+F50-F51</f>
        <v>639.734180765659</v>
      </c>
      <c r="G52" s="209"/>
      <c r="H52" s="612"/>
      <c r="I52" s="71"/>
      <c r="J52"/>
      <c r="K52"/>
      <c r="L52"/>
      <c r="M52"/>
      <c r="N52"/>
      <c r="O52"/>
      <c r="P52"/>
      <c r="Q52"/>
      <c r="R52"/>
      <c r="S52"/>
    </row>
    <row r="53" spans="1:19" ht="12.75">
      <c r="A53" s="1231"/>
      <c r="B53" s="1232"/>
      <c r="C53" s="1232"/>
      <c r="D53" s="1233"/>
      <c r="E53" s="73" t="s">
        <v>10</v>
      </c>
      <c r="F53" s="242">
        <f>+F50-F49</f>
        <v>-222.20399999999972</v>
      </c>
      <c r="G53" s="209"/>
      <c r="H53" s="612"/>
      <c r="I53" s="71"/>
      <c r="J53"/>
      <c r="K53"/>
      <c r="L53"/>
      <c r="M53"/>
      <c r="N53"/>
      <c r="O53"/>
      <c r="P53"/>
      <c r="Q53"/>
      <c r="R53"/>
      <c r="S53"/>
    </row>
    <row r="54" spans="1:19" ht="12.75">
      <c r="A54" s="1231"/>
      <c r="B54" s="1232"/>
      <c r="C54" s="1232"/>
      <c r="D54" s="1233"/>
      <c r="E54" s="73" t="s">
        <v>11</v>
      </c>
      <c r="F54" s="618">
        <f>+F50/F51</f>
        <v>1.202783027560111</v>
      </c>
      <c r="G54" s="619">
        <f>+G50/G51</f>
        <v>2.0951438638977713</v>
      </c>
      <c r="H54" s="612"/>
      <c r="I54" s="71"/>
      <c r="J54"/>
      <c r="K54"/>
      <c r="L54"/>
      <c r="M54"/>
      <c r="N54"/>
      <c r="O54"/>
      <c r="P54"/>
      <c r="Q54"/>
      <c r="R54"/>
      <c r="S54"/>
    </row>
    <row r="55" spans="1:19" ht="12.75">
      <c r="A55" s="1231"/>
      <c r="B55" s="1232"/>
      <c r="C55" s="1232"/>
      <c r="D55" s="1233"/>
      <c r="E55" s="73" t="s">
        <v>12</v>
      </c>
      <c r="F55" s="618">
        <f>+F50/F49</f>
        <v>0.9446800988869001</v>
      </c>
      <c r="G55" s="619">
        <f>+G50/G49</f>
        <v>0.7424689221739816</v>
      </c>
      <c r="H55" s="612"/>
      <c r="I55" s="71"/>
      <c r="J55"/>
      <c r="K55"/>
      <c r="L55"/>
      <c r="M55"/>
      <c r="N55"/>
      <c r="O55"/>
      <c r="P55"/>
      <c r="Q55"/>
      <c r="R55"/>
      <c r="S55"/>
    </row>
    <row r="56" spans="1:19" ht="13.5">
      <c r="A56" s="1231"/>
      <c r="B56" s="1232"/>
      <c r="C56" s="1232"/>
      <c r="D56" s="1233"/>
      <c r="E56" s="73" t="s">
        <v>4</v>
      </c>
      <c r="F56" s="183">
        <f>SUM('COST PERFORMANCE BY RLM &amp; JOB'!R37)+'Baseline Reconciliation'!F141</f>
        <v>45219.331000000006</v>
      </c>
      <c r="G56" s="210"/>
      <c r="H56" s="612"/>
      <c r="I56" s="71"/>
      <c r="J56"/>
      <c r="K56"/>
      <c r="L56"/>
      <c r="M56"/>
      <c r="N56"/>
      <c r="O56"/>
      <c r="P56"/>
      <c r="Q56"/>
      <c r="R56"/>
      <c r="S56"/>
    </row>
    <row r="57" spans="1:19" ht="13.5">
      <c r="A57" s="1231"/>
      <c r="B57" s="1232"/>
      <c r="C57" s="1232"/>
      <c r="D57" s="1233"/>
      <c r="E57" s="73" t="s">
        <v>5</v>
      </c>
      <c r="F57" s="184">
        <f>SUM('COST PERFORMANCE BY RLM &amp; JOB'!V37)+'Baseline Reconciliation'!F141</f>
        <v>45572.885402232</v>
      </c>
      <c r="G57" s="210"/>
      <c r="H57" s="612"/>
      <c r="I57" s="71"/>
      <c r="J57"/>
      <c r="K57"/>
      <c r="L57"/>
      <c r="M57"/>
      <c r="N57"/>
      <c r="O57"/>
      <c r="P57"/>
      <c r="Q57"/>
      <c r="R57"/>
      <c r="S57"/>
    </row>
    <row r="58" spans="1:19" ht="12.75">
      <c r="A58" s="1231"/>
      <c r="B58" s="1232"/>
      <c r="C58" s="1232"/>
      <c r="D58" s="1233"/>
      <c r="E58" s="211" t="s">
        <v>3</v>
      </c>
      <c r="F58" s="212"/>
      <c r="G58" s="213"/>
      <c r="H58" s="612"/>
      <c r="I58" s="71"/>
      <c r="J58"/>
      <c r="K58"/>
      <c r="L58"/>
      <c r="M58"/>
      <c r="N58"/>
      <c r="O58"/>
      <c r="P58"/>
      <c r="Q58"/>
      <c r="R58"/>
      <c r="S58"/>
    </row>
    <row r="59" spans="1:19" ht="12.75">
      <c r="A59" s="1231"/>
      <c r="B59" s="1232"/>
      <c r="C59" s="1232"/>
      <c r="D59" s="1233"/>
      <c r="E59" s="75" t="s">
        <v>13</v>
      </c>
      <c r="F59" s="1237"/>
      <c r="G59" s="1238"/>
      <c r="H59" s="612"/>
      <c r="I59" s="71"/>
      <c r="J59"/>
      <c r="K59"/>
      <c r="L59"/>
      <c r="M59"/>
      <c r="N59"/>
      <c r="O59"/>
      <c r="P59"/>
      <c r="Q59"/>
      <c r="R59"/>
      <c r="S59"/>
    </row>
    <row r="60" spans="1:19" ht="12.75">
      <c r="A60" s="1231"/>
      <c r="B60" s="1232"/>
      <c r="C60" s="1232"/>
      <c r="D60" s="1233"/>
      <c r="E60" s="1239"/>
      <c r="F60" s="1206"/>
      <c r="G60" s="1240"/>
      <c r="H60" s="612"/>
      <c r="I60" s="71"/>
      <c r="J60"/>
      <c r="K60"/>
      <c r="L60"/>
      <c r="M60"/>
      <c r="N60"/>
      <c r="O60"/>
      <c r="P60"/>
      <c r="Q60"/>
      <c r="R60"/>
      <c r="S60"/>
    </row>
    <row r="61" spans="1:19" ht="12.75">
      <c r="A61" s="1231"/>
      <c r="B61" s="1232"/>
      <c r="C61" s="1232"/>
      <c r="D61" s="1233"/>
      <c r="E61" s="1239"/>
      <c r="F61" s="1206"/>
      <c r="G61" s="1240"/>
      <c r="H61" s="612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234"/>
      <c r="B62" s="1235"/>
      <c r="C62" s="1235"/>
      <c r="D62" s="1236"/>
      <c r="E62" s="1241"/>
      <c r="F62" s="1242"/>
      <c r="G62" s="1243"/>
      <c r="H62" s="612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194" t="s">
        <v>497</v>
      </c>
      <c r="B63" s="1195"/>
      <c r="C63" s="1195"/>
      <c r="D63" s="1196"/>
      <c r="E63" s="1196"/>
      <c r="F63" s="1196"/>
      <c r="G63" s="1197"/>
      <c r="H63" s="38"/>
      <c r="I63" s="25"/>
      <c r="J63"/>
      <c r="K63"/>
      <c r="L63"/>
      <c r="M63"/>
      <c r="N63"/>
      <c r="O63"/>
      <c r="P63"/>
      <c r="Q63"/>
      <c r="R63"/>
      <c r="S63"/>
    </row>
    <row r="64" spans="1:19" ht="12.75">
      <c r="A64" s="1198" t="s">
        <v>22</v>
      </c>
      <c r="B64" s="1199"/>
      <c r="C64" s="1199"/>
      <c r="D64" s="1200"/>
      <c r="E64" s="76" t="s">
        <v>23</v>
      </c>
      <c r="F64" s="77"/>
      <c r="G64" s="78"/>
      <c r="H64" s="221"/>
      <c r="I64" s="25"/>
      <c r="J64"/>
      <c r="K64"/>
      <c r="L64"/>
      <c r="M64"/>
      <c r="N64"/>
      <c r="O64"/>
      <c r="P64"/>
      <c r="Q64"/>
      <c r="R64"/>
      <c r="S64"/>
    </row>
    <row r="65" spans="1:19" ht="12.75">
      <c r="A65" s="1201"/>
      <c r="B65" s="1202"/>
      <c r="C65" s="1202"/>
      <c r="D65" s="1203"/>
      <c r="E65" s="1202"/>
      <c r="F65" s="1203"/>
      <c r="G65" s="1210"/>
      <c r="H65" s="221"/>
      <c r="I65" s="25"/>
      <c r="J65"/>
      <c r="K65"/>
      <c r="L65"/>
      <c r="M65"/>
      <c r="N65"/>
      <c r="O65"/>
      <c r="P65"/>
      <c r="Q65"/>
      <c r="R65"/>
      <c r="S65"/>
    </row>
    <row r="66" spans="1:19" ht="12.75">
      <c r="A66" s="1204"/>
      <c r="B66" s="1205"/>
      <c r="C66" s="1205"/>
      <c r="D66" s="1206"/>
      <c r="E66" s="1205"/>
      <c r="F66" s="1206"/>
      <c r="G66" s="1211"/>
      <c r="H66" s="221"/>
      <c r="I66" s="25"/>
      <c r="J66"/>
      <c r="K66"/>
      <c r="L66"/>
      <c r="M66"/>
      <c r="N66"/>
      <c r="O66"/>
      <c r="P66"/>
      <c r="Q66"/>
      <c r="R66"/>
      <c r="S66"/>
    </row>
    <row r="67" spans="1:19" ht="12.75">
      <c r="A67" s="1204"/>
      <c r="B67" s="1205"/>
      <c r="C67" s="1205"/>
      <c r="D67" s="1206"/>
      <c r="E67" s="1205"/>
      <c r="F67" s="1206"/>
      <c r="G67" s="1211"/>
      <c r="H67" s="221"/>
      <c r="I67" s="25"/>
      <c r="J67"/>
      <c r="K67"/>
      <c r="L67"/>
      <c r="M67"/>
      <c r="N67"/>
      <c r="O67"/>
      <c r="P67"/>
      <c r="Q67"/>
      <c r="R67"/>
      <c r="S67"/>
    </row>
    <row r="68" spans="1:19" ht="12.75">
      <c r="A68" s="1204"/>
      <c r="B68" s="1205"/>
      <c r="C68" s="1205"/>
      <c r="D68" s="1206"/>
      <c r="E68" s="1205"/>
      <c r="F68" s="1206"/>
      <c r="G68" s="1211"/>
      <c r="H68" s="221"/>
      <c r="I68" s="25"/>
      <c r="J68"/>
      <c r="K68"/>
      <c r="L68"/>
      <c r="M68"/>
      <c r="N68"/>
      <c r="O68"/>
      <c r="P68"/>
      <c r="Q68"/>
      <c r="R68"/>
      <c r="S68"/>
    </row>
    <row r="69" spans="1:19" ht="12.75">
      <c r="A69" s="1204"/>
      <c r="B69" s="1205"/>
      <c r="C69" s="1205"/>
      <c r="D69" s="1206"/>
      <c r="E69" s="1205"/>
      <c r="F69" s="1206"/>
      <c r="G69" s="1211"/>
      <c r="H69" s="221"/>
      <c r="I69" s="25"/>
      <c r="J69"/>
      <c r="K69"/>
      <c r="L69"/>
      <c r="M69"/>
      <c r="N69"/>
      <c r="O69"/>
      <c r="P69"/>
      <c r="Q69"/>
      <c r="R69"/>
      <c r="S69"/>
    </row>
    <row r="70" spans="1:19" ht="12.75">
      <c r="A70" s="1207"/>
      <c r="B70" s="1206"/>
      <c r="C70" s="1206"/>
      <c r="D70" s="1206"/>
      <c r="E70" s="1206"/>
      <c r="F70" s="1206"/>
      <c r="G70" s="1211"/>
      <c r="H70" s="221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 s="1207"/>
      <c r="B71" s="1206"/>
      <c r="C71" s="1206"/>
      <c r="D71" s="1206"/>
      <c r="E71" s="1206"/>
      <c r="F71" s="1206"/>
      <c r="G71" s="1211"/>
      <c r="H71" s="221"/>
      <c r="I71"/>
      <c r="J71"/>
      <c r="K71"/>
      <c r="L71"/>
      <c r="M71"/>
      <c r="N71"/>
      <c r="O71"/>
      <c r="P71"/>
      <c r="Q71"/>
      <c r="R71"/>
      <c r="S71"/>
    </row>
    <row r="72" spans="1:19" ht="13.5" thickBot="1">
      <c r="A72" s="1208"/>
      <c r="B72" s="1209"/>
      <c r="C72" s="1209"/>
      <c r="D72" s="1209"/>
      <c r="E72" s="1209"/>
      <c r="F72" s="1209"/>
      <c r="G72" s="1212"/>
      <c r="H72" s="38"/>
      <c r="I72"/>
      <c r="J72"/>
      <c r="K72"/>
      <c r="L72"/>
      <c r="M72"/>
      <c r="N72"/>
      <c r="O72"/>
      <c r="P72"/>
      <c r="Q72"/>
      <c r="R72"/>
      <c r="S72"/>
    </row>
    <row r="73" spans="1:19" ht="4.5" customHeight="1" thickBot="1">
      <c r="A73" s="42"/>
      <c r="B73" s="42"/>
      <c r="C73" s="42"/>
      <c r="D73" s="42"/>
      <c r="E73" s="42"/>
      <c r="F73" s="42"/>
      <c r="G73" s="42"/>
      <c r="H73" s="38"/>
      <c r="I73"/>
      <c r="J73"/>
      <c r="K73"/>
      <c r="L73"/>
      <c r="M73"/>
      <c r="N73"/>
      <c r="O73"/>
      <c r="P73"/>
      <c r="Q73"/>
      <c r="R73"/>
      <c r="S73"/>
    </row>
    <row r="74" spans="1:19" ht="13.5">
      <c r="A74" s="79" t="s">
        <v>15</v>
      </c>
      <c r="B74" s="80"/>
      <c r="C74" s="80"/>
      <c r="D74" s="81"/>
      <c r="E74" s="82"/>
      <c r="F74" s="83"/>
      <c r="G74" s="84"/>
      <c r="H74" s="221"/>
      <c r="I74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498</v>
      </c>
      <c r="B75" s="215"/>
      <c r="C75" s="215"/>
      <c r="D75" s="217" t="s">
        <v>14</v>
      </c>
      <c r="E75" s="218" t="s">
        <v>500</v>
      </c>
      <c r="F75" s="219"/>
      <c r="G75" s="220"/>
      <c r="H75" s="221"/>
      <c r="I75"/>
      <c r="J75"/>
      <c r="K75"/>
      <c r="L75"/>
      <c r="M75"/>
      <c r="N75"/>
      <c r="O75"/>
      <c r="P75"/>
      <c r="Q75"/>
      <c r="R75"/>
      <c r="S75"/>
    </row>
    <row r="76" spans="1:19" ht="27" customHeight="1">
      <c r="A76" s="819"/>
      <c r="B76" s="1040"/>
      <c r="C76" s="1041"/>
      <c r="D76" s="819"/>
      <c r="E76" s="819"/>
      <c r="F76" s="821"/>
      <c r="G76" s="822"/>
      <c r="H76" s="221"/>
      <c r="I76"/>
      <c r="J76"/>
      <c r="K76"/>
      <c r="L76"/>
      <c r="M76"/>
      <c r="N76"/>
      <c r="O76"/>
      <c r="P76"/>
      <c r="Q76"/>
      <c r="R76"/>
      <c r="S76"/>
    </row>
    <row r="77" spans="1:29" ht="21.75" customHeight="1">
      <c r="A77" s="1042"/>
      <c r="B77" s="1043"/>
      <c r="C77" s="1044"/>
      <c r="D77" s="824"/>
      <c r="E77" s="824"/>
      <c r="F77" s="43"/>
      <c r="G77" s="823"/>
      <c r="H77" s="221"/>
      <c r="I77"/>
      <c r="J77"/>
      <c r="K77"/>
      <c r="L77"/>
      <c r="M77"/>
      <c r="N77"/>
      <c r="O77"/>
      <c r="P77"/>
      <c r="Q77"/>
      <c r="R77"/>
      <c r="S77"/>
      <c r="AB77" s="718"/>
      <c r="AC77" s="718"/>
    </row>
    <row r="78" spans="1:28" ht="21.75" customHeight="1">
      <c r="A78" s="1042"/>
      <c r="B78" s="1043"/>
      <c r="C78" s="1044"/>
      <c r="D78" s="820"/>
      <c r="E78" s="820"/>
      <c r="F78" s="43"/>
      <c r="G78" s="823"/>
      <c r="H78" s="221"/>
      <c r="I78"/>
      <c r="J78"/>
      <c r="K78"/>
      <c r="L78"/>
      <c r="M78"/>
      <c r="N78"/>
      <c r="O78"/>
      <c r="P78"/>
      <c r="Q78"/>
      <c r="R78"/>
      <c r="S78"/>
      <c r="AB78" s="718"/>
    </row>
    <row r="79" spans="1:28" ht="21.75" customHeight="1">
      <c r="A79" s="1042"/>
      <c r="B79" s="1043"/>
      <c r="C79" s="1044"/>
      <c r="D79" s="824"/>
      <c r="E79" s="824"/>
      <c r="F79" s="43"/>
      <c r="G79" s="823"/>
      <c r="H79" s="221"/>
      <c r="I79"/>
      <c r="J79"/>
      <c r="K79"/>
      <c r="L79"/>
      <c r="M79"/>
      <c r="N79"/>
      <c r="O79"/>
      <c r="P79"/>
      <c r="Q79"/>
      <c r="R79"/>
      <c r="S79"/>
      <c r="AB79" s="718"/>
    </row>
    <row r="80" spans="1:28" ht="21.75" customHeight="1">
      <c r="A80" s="1045"/>
      <c r="B80" s="1046"/>
      <c r="C80" s="1047"/>
      <c r="D80" s="825"/>
      <c r="E80" s="825"/>
      <c r="F80" s="44"/>
      <c r="G80" s="826"/>
      <c r="H80" s="221"/>
      <c r="I80"/>
      <c r="J80"/>
      <c r="K80"/>
      <c r="L80"/>
      <c r="M80"/>
      <c r="N80"/>
      <c r="O80"/>
      <c r="P80"/>
      <c r="Q80"/>
      <c r="R80"/>
      <c r="S80"/>
      <c r="AB80" s="718"/>
    </row>
    <row r="81" spans="1:28" ht="60">
      <c r="A81"/>
      <c r="B81"/>
      <c r="C81"/>
      <c r="D81"/>
      <c r="E81"/>
      <c r="F81"/>
      <c r="G81"/>
      <c r="H81" s="338"/>
      <c r="I81"/>
      <c r="J81"/>
      <c r="K81"/>
      <c r="L81"/>
      <c r="M81"/>
      <c r="N81"/>
      <c r="O81"/>
      <c r="P81"/>
      <c r="Q81"/>
      <c r="R81"/>
      <c r="S81"/>
      <c r="AB81" s="718"/>
    </row>
    <row r="82" spans="1:28" ht="60">
      <c r="A82"/>
      <c r="B82"/>
      <c r="C82"/>
      <c r="D82"/>
      <c r="E82"/>
      <c r="F82"/>
      <c r="G82"/>
      <c r="H82" s="338"/>
      <c r="I82"/>
      <c r="J82"/>
      <c r="K82"/>
      <c r="L82"/>
      <c r="M82"/>
      <c r="N82"/>
      <c r="O82"/>
      <c r="P82"/>
      <c r="Q82"/>
      <c r="R82"/>
      <c r="S82"/>
      <c r="AB82" s="718"/>
    </row>
    <row r="83" spans="1:28" ht="60">
      <c r="A83"/>
      <c r="B83"/>
      <c r="C83"/>
      <c r="D83"/>
      <c r="E83"/>
      <c r="F83"/>
      <c r="G83"/>
      <c r="H83" s="338"/>
      <c r="I83"/>
      <c r="J83"/>
      <c r="K83"/>
      <c r="L83"/>
      <c r="M83"/>
      <c r="N83"/>
      <c r="O83"/>
      <c r="P83"/>
      <c r="Q83"/>
      <c r="R83"/>
      <c r="S83"/>
      <c r="AB83" s="718"/>
    </row>
    <row r="84" spans="1:28" ht="60" thickBot="1">
      <c r="A84"/>
      <c r="B84"/>
      <c r="C84"/>
      <c r="D84"/>
      <c r="E84"/>
      <c r="F84"/>
      <c r="G84"/>
      <c r="H84" s="338"/>
      <c r="I84"/>
      <c r="J84"/>
      <c r="K84"/>
      <c r="L84"/>
      <c r="M84"/>
      <c r="N84"/>
      <c r="O84"/>
      <c r="P84"/>
      <c r="Q84"/>
      <c r="R84"/>
      <c r="S84"/>
      <c r="AB84" s="718"/>
    </row>
    <row r="85" spans="1:36" ht="76.5" customHeight="1">
      <c r="A85"/>
      <c r="B85"/>
      <c r="C85"/>
      <c r="D85"/>
      <c r="E85"/>
      <c r="F85"/>
      <c r="G85"/>
      <c r="H85" s="338"/>
      <c r="I85"/>
      <c r="J85"/>
      <c r="K85"/>
      <c r="L85"/>
      <c r="M85"/>
      <c r="N85"/>
      <c r="O85"/>
      <c r="P85"/>
      <c r="Q85"/>
      <c r="R85"/>
      <c r="S85"/>
      <c r="V85" s="720"/>
      <c r="W85" s="721"/>
      <c r="X85" s="721"/>
      <c r="Y85" s="721"/>
      <c r="Z85" s="721"/>
      <c r="AA85" s="721"/>
      <c r="AB85" s="722"/>
      <c r="AC85" s="722"/>
      <c r="AD85" s="721"/>
      <c r="AE85" s="721"/>
      <c r="AF85" s="721"/>
      <c r="AG85" s="721"/>
      <c r="AH85" s="721"/>
      <c r="AI85" s="721"/>
      <c r="AJ85" s="723"/>
    </row>
    <row r="86" spans="1:36" ht="76.5" customHeight="1">
      <c r="A86"/>
      <c r="B86"/>
      <c r="C86"/>
      <c r="D86"/>
      <c r="E86"/>
      <c r="F86"/>
      <c r="G86"/>
      <c r="H86" s="338"/>
      <c r="I86"/>
      <c r="J86"/>
      <c r="K86"/>
      <c r="L86"/>
      <c r="M86"/>
      <c r="N86"/>
      <c r="O86"/>
      <c r="P86"/>
      <c r="Q86"/>
      <c r="R86"/>
      <c r="S86"/>
      <c r="V86" s="724"/>
      <c r="X86" s="716"/>
      <c r="Y86" s="716"/>
      <c r="Z86" s="717"/>
      <c r="AA86" s="717"/>
      <c r="AB86" s="718"/>
      <c r="AC86" s="719" t="s">
        <v>734</v>
      </c>
      <c r="AD86" s="717"/>
      <c r="AE86" s="717"/>
      <c r="AF86" s="717"/>
      <c r="AG86" s="717"/>
      <c r="AH86" s="716"/>
      <c r="AJ86" s="725"/>
    </row>
    <row r="87" spans="22:36" ht="76.5" customHeight="1">
      <c r="V87" s="724"/>
      <c r="X87" s="716"/>
      <c r="Y87" s="716"/>
      <c r="Z87" s="717"/>
      <c r="AA87" s="717"/>
      <c r="AB87" s="718"/>
      <c r="AC87" s="719"/>
      <c r="AD87" s="717"/>
      <c r="AE87" s="717"/>
      <c r="AF87" s="717"/>
      <c r="AG87" s="717"/>
      <c r="AH87" s="716"/>
      <c r="AJ87" s="725"/>
    </row>
    <row r="88" spans="22:36" ht="76.5" customHeight="1">
      <c r="V88" s="724"/>
      <c r="X88" s="716"/>
      <c r="Y88" s="716"/>
      <c r="Z88" s="717"/>
      <c r="AA88" s="717"/>
      <c r="AB88" s="718"/>
      <c r="AC88" s="719" t="s">
        <v>735</v>
      </c>
      <c r="AD88" s="717"/>
      <c r="AE88" s="717"/>
      <c r="AF88" s="717"/>
      <c r="AG88" s="717"/>
      <c r="AH88" s="716"/>
      <c r="AJ88" s="725"/>
    </row>
    <row r="89" spans="22:36" ht="76.5" customHeight="1">
      <c r="V89" s="724"/>
      <c r="X89" s="716"/>
      <c r="Y89" s="716"/>
      <c r="Z89" s="717"/>
      <c r="AA89" s="717"/>
      <c r="AB89" s="718"/>
      <c r="AC89" s="719"/>
      <c r="AD89" s="717"/>
      <c r="AE89" s="717"/>
      <c r="AF89" s="717"/>
      <c r="AG89" s="717"/>
      <c r="AH89" s="716"/>
      <c r="AJ89" s="725"/>
    </row>
    <row r="90" spans="22:36" ht="76.5" customHeight="1">
      <c r="V90" s="724"/>
      <c r="X90" s="716"/>
      <c r="Y90" s="716"/>
      <c r="Z90" s="717"/>
      <c r="AA90" s="717"/>
      <c r="AB90" s="718"/>
      <c r="AC90" s="719" t="s">
        <v>736</v>
      </c>
      <c r="AD90" s="717"/>
      <c r="AE90" s="717"/>
      <c r="AF90" s="717"/>
      <c r="AG90" s="717"/>
      <c r="AH90" s="716"/>
      <c r="AJ90" s="725"/>
    </row>
    <row r="91" spans="22:36" ht="76.5" customHeight="1">
      <c r="V91" s="724"/>
      <c r="X91" s="716"/>
      <c r="Y91" s="716"/>
      <c r="Z91" s="717"/>
      <c r="AA91" s="717"/>
      <c r="AB91" s="718"/>
      <c r="AC91" s="719"/>
      <c r="AD91" s="717"/>
      <c r="AE91" s="717"/>
      <c r="AF91" s="717"/>
      <c r="AG91" s="717"/>
      <c r="AH91" s="716"/>
      <c r="AJ91" s="725"/>
    </row>
    <row r="92" spans="22:36" ht="76.5" customHeight="1">
      <c r="V92" s="724"/>
      <c r="X92" s="716"/>
      <c r="Y92" s="716"/>
      <c r="Z92" s="717"/>
      <c r="AA92" s="717"/>
      <c r="AB92" s="717"/>
      <c r="AC92" s="1039" t="s">
        <v>825</v>
      </c>
      <c r="AD92" s="717"/>
      <c r="AE92" s="717"/>
      <c r="AF92" s="717"/>
      <c r="AG92" s="717"/>
      <c r="AH92" s="716"/>
      <c r="AJ92" s="725"/>
    </row>
    <row r="93" spans="22:36" ht="12.75">
      <c r="V93" s="724"/>
      <c r="X93" s="716"/>
      <c r="Y93" s="716"/>
      <c r="Z93" s="716"/>
      <c r="AA93" s="716"/>
      <c r="AB93" s="716"/>
      <c r="AC93" s="716"/>
      <c r="AD93" s="716"/>
      <c r="AE93" s="716"/>
      <c r="AF93" s="716"/>
      <c r="AG93" s="716"/>
      <c r="AH93" s="716"/>
      <c r="AJ93" s="725"/>
    </row>
    <row r="94" spans="22:36" ht="12.75">
      <c r="V94" s="724"/>
      <c r="X94" s="716"/>
      <c r="Y94" s="716"/>
      <c r="Z94" s="716"/>
      <c r="AA94" s="716"/>
      <c r="AB94" s="716"/>
      <c r="AC94" s="716"/>
      <c r="AD94" s="716"/>
      <c r="AE94" s="716"/>
      <c r="AF94" s="716"/>
      <c r="AG94" s="716"/>
      <c r="AH94" s="716"/>
      <c r="AJ94" s="725"/>
    </row>
    <row r="95" spans="22:36" ht="12.75">
      <c r="V95" s="724"/>
      <c r="X95" s="716"/>
      <c r="Y95" s="716"/>
      <c r="Z95" s="716"/>
      <c r="AA95" s="716"/>
      <c r="AB95" s="716"/>
      <c r="AC95" s="716"/>
      <c r="AD95" s="716"/>
      <c r="AE95" s="716"/>
      <c r="AF95" s="716"/>
      <c r="AG95" s="716"/>
      <c r="AH95" s="716"/>
      <c r="AJ95" s="725"/>
    </row>
    <row r="96" spans="22:36" ht="12.75">
      <c r="V96" s="724"/>
      <c r="X96" s="716"/>
      <c r="Y96" s="716"/>
      <c r="Z96" s="716"/>
      <c r="AA96" s="716"/>
      <c r="AB96" s="716"/>
      <c r="AC96" s="716"/>
      <c r="AD96" s="716"/>
      <c r="AE96" s="716"/>
      <c r="AF96" s="716"/>
      <c r="AG96" s="716"/>
      <c r="AH96" s="716"/>
      <c r="AJ96" s="725"/>
    </row>
    <row r="97" spans="22:36" ht="12.75">
      <c r="V97" s="724"/>
      <c r="X97" s="716"/>
      <c r="Y97" s="716"/>
      <c r="Z97" s="716"/>
      <c r="AA97" s="716"/>
      <c r="AB97" s="716"/>
      <c r="AC97" s="716"/>
      <c r="AD97" s="716"/>
      <c r="AE97" s="716"/>
      <c r="AF97" s="716"/>
      <c r="AG97" s="716"/>
      <c r="AH97" s="716"/>
      <c r="AJ97" s="725"/>
    </row>
    <row r="98" spans="22:36" ht="12.75">
      <c r="V98" s="724"/>
      <c r="X98" s="716"/>
      <c r="Y98" s="716"/>
      <c r="Z98" s="716"/>
      <c r="AA98" s="716"/>
      <c r="AB98" s="716"/>
      <c r="AC98" s="716"/>
      <c r="AD98" s="716"/>
      <c r="AE98" s="716"/>
      <c r="AF98" s="716"/>
      <c r="AG98" s="716"/>
      <c r="AH98" s="716"/>
      <c r="AJ98" s="725"/>
    </row>
    <row r="99" spans="22:36" ht="12.75">
      <c r="V99" s="724"/>
      <c r="AJ99" s="725"/>
    </row>
    <row r="100" spans="22:36" ht="12.75">
      <c r="V100" s="724"/>
      <c r="AJ100" s="725"/>
    </row>
    <row r="101" spans="22:36" ht="12.75">
      <c r="V101" s="724"/>
      <c r="AJ101" s="725"/>
    </row>
    <row r="102" spans="22:36" ht="12.75">
      <c r="V102" s="724"/>
      <c r="AJ102" s="725"/>
    </row>
    <row r="103" spans="22:36" ht="12.75">
      <c r="V103" s="724"/>
      <c r="AJ103" s="725"/>
    </row>
    <row r="104" spans="22:36" ht="13.5" thickBot="1">
      <c r="V104" s="726"/>
      <c r="W104" s="727"/>
      <c r="X104" s="727"/>
      <c r="Y104" s="727"/>
      <c r="Z104" s="727"/>
      <c r="AA104" s="727"/>
      <c r="AB104" s="727"/>
      <c r="AC104" s="727"/>
      <c r="AD104" s="727"/>
      <c r="AE104" s="727"/>
      <c r="AF104" s="727"/>
      <c r="AG104" s="727"/>
      <c r="AH104" s="727"/>
      <c r="AI104" s="727"/>
      <c r="AJ104" s="728"/>
    </row>
  </sheetData>
  <mergeCells count="18">
    <mergeCell ref="A63:G63"/>
    <mergeCell ref="A64:D64"/>
    <mergeCell ref="A65:D72"/>
    <mergeCell ref="E65:G72"/>
    <mergeCell ref="A27:G27"/>
    <mergeCell ref="A28:G34"/>
    <mergeCell ref="A36:G36"/>
    <mergeCell ref="A48:D62"/>
    <mergeCell ref="F59:G59"/>
    <mergeCell ref="E60:G62"/>
    <mergeCell ref="A13:G13"/>
    <mergeCell ref="A14:G19"/>
    <mergeCell ref="A20:G20"/>
    <mergeCell ref="A21:G26"/>
    <mergeCell ref="A3:D3"/>
    <mergeCell ref="A11:D11"/>
    <mergeCell ref="A12:D12"/>
    <mergeCell ref="E12:G12"/>
  </mergeCells>
  <printOptions horizontalCentered="1" verticalCentered="1"/>
  <pageMargins left="0.17" right="0.17" top="0.21" bottom="0.3" header="0.17" footer="0.18"/>
  <pageSetup fitToHeight="1" fitToWidth="1" horizontalDpi="600" verticalDpi="600" orientation="landscape" scale="67" r:id="rId2"/>
  <headerFooter alignWithMargins="0">
    <oddFooter>&amp;R&amp;F     &amp;A   &amp;D  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workbookViewId="0" topLeftCell="A1">
      <selection activeCell="E34" sqref="E3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8.28125" style="86" customWidth="1"/>
    <col min="7" max="7" width="16.57421875" style="86" customWidth="1"/>
    <col min="8" max="8" width="13.140625" style="86" customWidth="1"/>
    <col min="9" max="9" width="136.00390625" style="86" customWidth="1"/>
    <col min="10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7.25">
      <c r="A2" s="26" t="s">
        <v>491</v>
      </c>
      <c r="B2" s="27"/>
      <c r="C2" s="27"/>
      <c r="D2" s="28"/>
      <c r="E2" s="28"/>
      <c r="F2" s="28"/>
      <c r="G2" s="29"/>
      <c r="H2" s="620" t="s">
        <v>186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ht="15.75" thickBot="1">
      <c r="A3" s="1250" t="s">
        <v>19</v>
      </c>
      <c r="B3" s="1251"/>
      <c r="C3" s="1251"/>
      <c r="D3" s="1252"/>
      <c r="E3" s="31" t="s">
        <v>17</v>
      </c>
      <c r="F3" s="32" t="s">
        <v>21</v>
      </c>
      <c r="G3" s="33" t="s">
        <v>18</v>
      </c>
      <c r="H3" s="620"/>
      <c r="I3" s="25"/>
      <c r="J3" s="25"/>
      <c r="K3" s="25"/>
      <c r="L3" s="25"/>
      <c r="M3" s="25"/>
      <c r="N3" s="25"/>
      <c r="O3" s="25"/>
      <c r="P3" s="25"/>
      <c r="Q3"/>
      <c r="R3"/>
      <c r="S3"/>
    </row>
    <row r="4" spans="1:19" ht="20.25">
      <c r="A4" s="236" t="s">
        <v>74</v>
      </c>
      <c r="B4" s="34"/>
      <c r="C4" s="34"/>
      <c r="D4" s="34"/>
      <c r="E4" s="237" t="s">
        <v>75</v>
      </c>
      <c r="F4" s="35"/>
      <c r="G4" s="614">
        <v>39386</v>
      </c>
      <c r="H4" s="621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3.5">
      <c r="A5" s="200" t="s">
        <v>0</v>
      </c>
      <c r="B5" s="188" t="s">
        <v>194</v>
      </c>
      <c r="C5" s="189" t="s">
        <v>21</v>
      </c>
      <c r="D5" s="186" t="s">
        <v>0</v>
      </c>
      <c r="E5" s="187"/>
      <c r="F5" s="188" t="s">
        <v>194</v>
      </c>
      <c r="G5" s="201" t="s">
        <v>21</v>
      </c>
      <c r="H5" s="622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86</v>
      </c>
      <c r="B6" s="191" t="s">
        <v>76</v>
      </c>
      <c r="C6" s="191"/>
      <c r="D6" s="194" t="s">
        <v>91</v>
      </c>
      <c r="E6" s="195"/>
      <c r="F6" s="191" t="s">
        <v>81</v>
      </c>
      <c r="G6" s="203"/>
      <c r="H6" s="622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87</v>
      </c>
      <c r="B7" s="192" t="s">
        <v>77</v>
      </c>
      <c r="C7" s="192"/>
      <c r="D7" s="196" t="s">
        <v>92</v>
      </c>
      <c r="E7" s="197"/>
      <c r="F7" s="192" t="s">
        <v>82</v>
      </c>
      <c r="G7" s="185"/>
      <c r="H7" s="622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88</v>
      </c>
      <c r="B8" s="192" t="s">
        <v>78</v>
      </c>
      <c r="C8" s="192"/>
      <c r="D8" s="196" t="s">
        <v>93</v>
      </c>
      <c r="E8" s="197"/>
      <c r="F8" s="192" t="s">
        <v>83</v>
      </c>
      <c r="G8" s="185"/>
      <c r="H8" s="622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 t="s">
        <v>89</v>
      </c>
      <c r="B9" s="192" t="s">
        <v>79</v>
      </c>
      <c r="C9" s="192"/>
      <c r="D9" s="196" t="s">
        <v>94</v>
      </c>
      <c r="E9" s="197"/>
      <c r="F9" s="192" t="s">
        <v>84</v>
      </c>
      <c r="G9" s="185"/>
      <c r="H9" s="622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 t="s">
        <v>90</v>
      </c>
      <c r="B10" s="193" t="s">
        <v>80</v>
      </c>
      <c r="C10" s="193"/>
      <c r="D10" s="198" t="s">
        <v>95</v>
      </c>
      <c r="E10" s="199"/>
      <c r="F10" s="193" t="s">
        <v>85</v>
      </c>
      <c r="G10" s="206"/>
      <c r="H10" s="622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253"/>
      <c r="B11" s="1254"/>
      <c r="C11" s="1254"/>
      <c r="D11" s="1254"/>
      <c r="E11" s="190"/>
      <c r="F11" s="39"/>
      <c r="G11" s="40"/>
      <c r="H11" s="622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255"/>
      <c r="B12" s="1255"/>
      <c r="C12" s="1255"/>
      <c r="D12" s="1256"/>
      <c r="E12" s="1255"/>
      <c r="F12" s="1256"/>
      <c r="G12" s="1256"/>
      <c r="H12" s="623"/>
      <c r="I12"/>
      <c r="J12"/>
      <c r="K12"/>
      <c r="L12"/>
      <c r="M12"/>
      <c r="N12"/>
      <c r="O12"/>
      <c r="P12"/>
      <c r="Q12"/>
      <c r="R12"/>
      <c r="S12"/>
    </row>
    <row r="13" spans="1:19" ht="13.5">
      <c r="A13" s="1244" t="s">
        <v>1</v>
      </c>
      <c r="B13" s="1245"/>
      <c r="C13" s="1245"/>
      <c r="D13" s="1246"/>
      <c r="E13" s="1246"/>
      <c r="F13" s="1246"/>
      <c r="G13" s="1247"/>
      <c r="H13" s="62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217"/>
      <c r="B14" s="1218"/>
      <c r="C14" s="1218"/>
      <c r="D14" s="1188"/>
      <c r="E14" s="1188"/>
      <c r="F14" s="1188"/>
      <c r="G14" s="1219"/>
      <c r="H14" s="623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217"/>
      <c r="B15" s="1218"/>
      <c r="C15" s="1218"/>
      <c r="D15" s="1188"/>
      <c r="E15" s="1188"/>
      <c r="F15" s="1188"/>
      <c r="G15" s="1219"/>
      <c r="H15" s="623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220"/>
      <c r="B16" s="1188"/>
      <c r="C16" s="1188"/>
      <c r="D16" s="1188"/>
      <c r="E16" s="1188"/>
      <c r="F16" s="1188"/>
      <c r="G16" s="1219"/>
      <c r="H16" s="623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220"/>
      <c r="B17" s="1188"/>
      <c r="C17" s="1188"/>
      <c r="D17" s="1188"/>
      <c r="E17" s="1188"/>
      <c r="F17" s="1188"/>
      <c r="G17" s="1219"/>
      <c r="H17" s="623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248"/>
      <c r="B18" s="1192"/>
      <c r="C18" s="1192"/>
      <c r="D18" s="1192"/>
      <c r="E18" s="1192"/>
      <c r="F18" s="1192"/>
      <c r="G18" s="1249"/>
      <c r="H18" s="623"/>
      <c r="I18"/>
      <c r="J18"/>
      <c r="K18"/>
      <c r="L18"/>
      <c r="M18"/>
      <c r="N18"/>
      <c r="O18"/>
      <c r="P18"/>
      <c r="Q18"/>
      <c r="R18"/>
      <c r="S18"/>
    </row>
    <row r="19" spans="1:19" ht="13.5">
      <c r="A19" s="1213" t="s">
        <v>2</v>
      </c>
      <c r="B19" s="1214"/>
      <c r="C19" s="1214"/>
      <c r="D19" s="1215"/>
      <c r="E19" s="1215"/>
      <c r="F19" s="1215"/>
      <c r="G19" s="1216"/>
      <c r="H19" s="623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217"/>
      <c r="B20" s="1218"/>
      <c r="C20" s="1218"/>
      <c r="D20" s="1188"/>
      <c r="E20" s="1188"/>
      <c r="F20" s="1188"/>
      <c r="G20" s="1219"/>
      <c r="H20" s="623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217"/>
      <c r="B21" s="1218"/>
      <c r="C21" s="1218"/>
      <c r="D21" s="1188"/>
      <c r="E21" s="1188"/>
      <c r="F21" s="1188"/>
      <c r="G21" s="1219"/>
      <c r="H21" s="623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217"/>
      <c r="B22" s="1218"/>
      <c r="C22" s="1218"/>
      <c r="D22" s="1188"/>
      <c r="E22" s="1188"/>
      <c r="F22" s="1188"/>
      <c r="G22" s="1219"/>
      <c r="H22" s="623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220"/>
      <c r="B23" s="1188"/>
      <c r="C23" s="1188"/>
      <c r="D23" s="1188"/>
      <c r="E23" s="1188"/>
      <c r="F23" s="1188"/>
      <c r="G23" s="1219"/>
      <c r="H23" s="6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220"/>
      <c r="B24" s="1188"/>
      <c r="C24" s="1188"/>
      <c r="D24" s="1188"/>
      <c r="E24" s="1188"/>
      <c r="F24" s="1188"/>
      <c r="G24" s="1219"/>
      <c r="H24" s="623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248"/>
      <c r="B25" s="1192"/>
      <c r="C25" s="1192"/>
      <c r="D25" s="1192"/>
      <c r="E25" s="1192"/>
      <c r="F25" s="1192"/>
      <c r="G25" s="1249"/>
      <c r="H25" s="623"/>
      <c r="I25"/>
      <c r="J25"/>
      <c r="K25"/>
      <c r="L25"/>
      <c r="M25"/>
      <c r="N25"/>
      <c r="O25"/>
      <c r="P25"/>
      <c r="Q25"/>
      <c r="R25"/>
      <c r="S25"/>
    </row>
    <row r="26" spans="1:19" ht="13.5">
      <c r="A26" s="1213" t="s">
        <v>16</v>
      </c>
      <c r="B26" s="1214"/>
      <c r="C26" s="1214"/>
      <c r="D26" s="1215"/>
      <c r="E26" s="1215"/>
      <c r="F26" s="1215"/>
      <c r="G26" s="1216"/>
      <c r="H26" s="623"/>
      <c r="I26"/>
      <c r="J26"/>
      <c r="K26"/>
      <c r="L26"/>
      <c r="M26"/>
      <c r="N26"/>
      <c r="O26"/>
      <c r="P26"/>
      <c r="Q26"/>
      <c r="R26"/>
      <c r="S26"/>
    </row>
    <row r="27" spans="1:19" ht="59.25" customHeight="1">
      <c r="A27" s="1218"/>
      <c r="B27" s="1262"/>
      <c r="C27" s="1262"/>
      <c r="D27" s="1262"/>
      <c r="E27" s="1262"/>
      <c r="F27" s="1262"/>
      <c r="G27" s="1262"/>
      <c r="H27" s="623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291"/>
      <c r="B28" s="291"/>
      <c r="C28" s="291"/>
      <c r="D28" s="292"/>
      <c r="E28" s="292"/>
      <c r="F28" s="289"/>
      <c r="G28" s="289"/>
      <c r="H28" s="622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3" ht="16.5" customHeight="1" thickBot="1">
      <c r="A29" s="290"/>
      <c r="B29" s="290"/>
      <c r="C29" s="290"/>
      <c r="D29" s="290"/>
      <c r="E29" s="290"/>
      <c r="F29" s="290"/>
      <c r="G29" s="290"/>
      <c r="H29" s="622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5.75" customHeight="1" thickBot="1">
      <c r="A30" s="1224" t="s">
        <v>730</v>
      </c>
      <c r="B30" s="1225"/>
      <c r="C30" s="1225"/>
      <c r="D30" s="1226"/>
      <c r="E30" s="1226"/>
      <c r="F30" s="1226"/>
      <c r="G30" s="1227"/>
      <c r="H30" s="622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9" ht="12.75">
      <c r="A31" s="996" t="s">
        <v>20</v>
      </c>
      <c r="B31" s="997" t="s">
        <v>192</v>
      </c>
      <c r="C31" s="997" t="s">
        <v>96</v>
      </c>
      <c r="D31" s="257" t="s">
        <v>492</v>
      </c>
      <c r="E31" s="257" t="s">
        <v>493</v>
      </c>
      <c r="F31" s="257" t="s">
        <v>499</v>
      </c>
      <c r="G31" s="258" t="s">
        <v>293</v>
      </c>
      <c r="H31" s="624"/>
      <c r="I31" s="38"/>
      <c r="J31" s="38" t="s">
        <v>51</v>
      </c>
      <c r="K31" s="38" t="s">
        <v>52</v>
      </c>
      <c r="L31" s="38" t="s">
        <v>54</v>
      </c>
      <c r="M31" s="38" t="s">
        <v>55</v>
      </c>
      <c r="N31" s="38" t="s">
        <v>503</v>
      </c>
      <c r="O31" s="38" t="s">
        <v>57</v>
      </c>
      <c r="P31" s="38" t="s">
        <v>727</v>
      </c>
      <c r="Q31" s="25" t="s">
        <v>53</v>
      </c>
      <c r="R31" s="25" t="s">
        <v>729</v>
      </c>
      <c r="S31" s="25"/>
      <c r="T31" s="25"/>
      <c r="U31" s="25"/>
      <c r="V31" s="25"/>
      <c r="W31" s="25"/>
      <c r="X31" s="25"/>
      <c r="Y31" s="636"/>
      <c r="Z31" s="636"/>
      <c r="AA31" s="636"/>
      <c r="AB31" s="636"/>
      <c r="AC31" s="636"/>
    </row>
    <row r="32" spans="1:29" ht="12.75">
      <c r="A32" s="48" t="s">
        <v>513</v>
      </c>
      <c r="B32" s="243">
        <v>1421</v>
      </c>
      <c r="C32" s="243" t="s">
        <v>62</v>
      </c>
      <c r="D32" s="49">
        <v>39281</v>
      </c>
      <c r="E32" s="243" t="s">
        <v>515</v>
      </c>
      <c r="F32" s="243"/>
      <c r="G32" s="52">
        <v>3</v>
      </c>
      <c r="H32" s="625"/>
      <c r="I32" s="38"/>
      <c r="J32" s="86" t="s">
        <v>512</v>
      </c>
      <c r="K32" s="86" t="s">
        <v>513</v>
      </c>
      <c r="L32" s="86">
        <v>1421</v>
      </c>
      <c r="M32" s="250" t="s">
        <v>62</v>
      </c>
      <c r="N32" s="250">
        <v>39281</v>
      </c>
      <c r="O32" s="38" t="s">
        <v>515</v>
      </c>
      <c r="P32" s="38"/>
      <c r="Q32" s="25">
        <v>3</v>
      </c>
      <c r="R32" s="25"/>
      <c r="S32" s="25"/>
      <c r="T32" s="53"/>
      <c r="U32" s="25"/>
      <c r="V32" s="53"/>
      <c r="W32" s="25"/>
      <c r="X32" s="25"/>
      <c r="Y32" s="636"/>
      <c r="Z32" s="636"/>
      <c r="AA32" s="636"/>
      <c r="AB32" s="636"/>
      <c r="AC32" s="636"/>
    </row>
    <row r="33" spans="1:29" ht="12.75">
      <c r="A33" s="48" t="s">
        <v>544</v>
      </c>
      <c r="B33" s="243">
        <v>1501</v>
      </c>
      <c r="C33" s="243" t="s">
        <v>64</v>
      </c>
      <c r="D33" s="49">
        <v>39283</v>
      </c>
      <c r="E33" s="243" t="s">
        <v>521</v>
      </c>
      <c r="F33" s="243"/>
      <c r="G33" s="52">
        <v>3</v>
      </c>
      <c r="H33" s="625"/>
      <c r="I33" s="38"/>
      <c r="J33" s="86" t="s">
        <v>519</v>
      </c>
      <c r="K33" s="86" t="s">
        <v>544</v>
      </c>
      <c r="L33" s="86">
        <v>1501</v>
      </c>
      <c r="M33" s="250" t="s">
        <v>64</v>
      </c>
      <c r="N33" s="250">
        <v>39283</v>
      </c>
      <c r="O33" s="38" t="s">
        <v>521</v>
      </c>
      <c r="P33" s="38"/>
      <c r="Q33" s="25">
        <v>3</v>
      </c>
      <c r="R33" s="25"/>
      <c r="S33" s="25"/>
      <c r="T33" s="53"/>
      <c r="U33" s="25"/>
      <c r="V33" s="53"/>
      <c r="W33" s="25"/>
      <c r="X33" s="25"/>
      <c r="Y33" s="636"/>
      <c r="Z33" s="636"/>
      <c r="AA33" s="636"/>
      <c r="AB33" s="636"/>
      <c r="AC33" s="636"/>
    </row>
    <row r="34" spans="1:24" s="635" customFormat="1" ht="15">
      <c r="A34" s="1067" t="s">
        <v>67</v>
      </c>
      <c r="B34" s="1068">
        <v>1361</v>
      </c>
      <c r="C34" s="1068" t="s">
        <v>68</v>
      </c>
      <c r="D34" s="1069">
        <v>39353</v>
      </c>
      <c r="E34" s="1082" t="s">
        <v>826</v>
      </c>
      <c r="F34" s="1070">
        <v>39417</v>
      </c>
      <c r="G34" s="33">
        <v>2</v>
      </c>
      <c r="H34" s="642"/>
      <c r="I34" s="267"/>
      <c r="J34" s="635" t="s">
        <v>524</v>
      </c>
      <c r="K34" s="635" t="s">
        <v>67</v>
      </c>
      <c r="L34" s="635">
        <v>1361</v>
      </c>
      <c r="M34" s="269" t="s">
        <v>68</v>
      </c>
      <c r="N34" s="269">
        <v>39353</v>
      </c>
      <c r="O34" s="641">
        <v>39386</v>
      </c>
      <c r="P34" s="641">
        <v>39417</v>
      </c>
      <c r="Q34" s="224">
        <v>2</v>
      </c>
      <c r="R34" s="224">
        <v>337</v>
      </c>
      <c r="S34" s="227"/>
      <c r="T34" s="227"/>
      <c r="U34" s="224"/>
      <c r="V34" s="224"/>
      <c r="W34" s="224"/>
      <c r="X34" s="224"/>
    </row>
    <row r="35" spans="1:24" s="645" customFormat="1" ht="12.75">
      <c r="A35" s="664" t="s">
        <v>58</v>
      </c>
      <c r="B35" s="649">
        <v>8205</v>
      </c>
      <c r="C35" s="649" t="s">
        <v>59</v>
      </c>
      <c r="D35" s="655">
        <v>39325</v>
      </c>
      <c r="E35" s="655">
        <v>39399</v>
      </c>
      <c r="F35" s="649"/>
      <c r="G35" s="665">
        <v>3</v>
      </c>
      <c r="H35" s="1081"/>
      <c r="I35" s="648"/>
      <c r="J35" s="645" t="s">
        <v>506</v>
      </c>
      <c r="K35" s="645" t="s">
        <v>58</v>
      </c>
      <c r="L35" s="645">
        <v>8205</v>
      </c>
      <c r="M35" s="650" t="s">
        <v>59</v>
      </c>
      <c r="N35" s="650">
        <v>39325</v>
      </c>
      <c r="O35" s="650">
        <v>39399</v>
      </c>
      <c r="P35" s="648"/>
      <c r="Q35" s="651">
        <v>3</v>
      </c>
      <c r="R35" s="1063">
        <v>1179</v>
      </c>
      <c r="S35" s="651"/>
      <c r="T35" s="652"/>
      <c r="U35" s="651"/>
      <c r="V35" s="652"/>
      <c r="W35" s="651"/>
      <c r="X35" s="651"/>
    </row>
    <row r="36" spans="1:29" ht="12.75">
      <c r="A36" s="48" t="s">
        <v>71</v>
      </c>
      <c r="B36" s="243">
        <v>1361</v>
      </c>
      <c r="C36" s="243" t="s">
        <v>68</v>
      </c>
      <c r="D36" s="49">
        <v>39409</v>
      </c>
      <c r="E36" s="49">
        <v>39412</v>
      </c>
      <c r="F36" s="243"/>
      <c r="G36" s="52">
        <v>3</v>
      </c>
      <c r="H36" s="625"/>
      <c r="I36" s="38"/>
      <c r="J36" s="86" t="s">
        <v>529</v>
      </c>
      <c r="K36" s="86" t="s">
        <v>71</v>
      </c>
      <c r="L36" s="86">
        <v>1361</v>
      </c>
      <c r="M36" s="250" t="s">
        <v>68</v>
      </c>
      <c r="N36" s="250">
        <v>39409</v>
      </c>
      <c r="O36" s="250">
        <v>39412</v>
      </c>
      <c r="P36" s="38"/>
      <c r="Q36" s="25">
        <v>3</v>
      </c>
      <c r="R36" s="25">
        <v>403</v>
      </c>
      <c r="S36" s="53"/>
      <c r="T36" s="53"/>
      <c r="U36" s="25"/>
      <c r="V36" s="53"/>
      <c r="W36" s="25"/>
      <c r="X36" s="25"/>
      <c r="Y36" s="636"/>
      <c r="Z36" s="636"/>
      <c r="AA36" s="636"/>
      <c r="AB36" s="636"/>
      <c r="AC36" s="636"/>
    </row>
    <row r="37" spans="1:24" s="645" customFormat="1" ht="12.75">
      <c r="A37" s="664" t="s">
        <v>60</v>
      </c>
      <c r="B37" s="649">
        <v>1806</v>
      </c>
      <c r="C37" s="649" t="s">
        <v>61</v>
      </c>
      <c r="D37" s="655">
        <v>39336</v>
      </c>
      <c r="E37" s="655">
        <v>39413</v>
      </c>
      <c r="F37" s="649"/>
      <c r="G37" s="665">
        <v>3</v>
      </c>
      <c r="H37" s="1081"/>
      <c r="I37" s="648"/>
      <c r="J37" s="645" t="s">
        <v>509</v>
      </c>
      <c r="K37" s="645" t="s">
        <v>60</v>
      </c>
      <c r="L37" s="645">
        <v>1806</v>
      </c>
      <c r="M37" s="650" t="s">
        <v>61</v>
      </c>
      <c r="N37" s="650">
        <v>39336</v>
      </c>
      <c r="O37" s="650">
        <v>39413</v>
      </c>
      <c r="P37" s="648"/>
      <c r="Q37" s="651">
        <v>3</v>
      </c>
      <c r="R37" s="1063">
        <v>1178</v>
      </c>
      <c r="S37" s="652"/>
      <c r="T37" s="652"/>
      <c r="U37" s="651"/>
      <c r="V37" s="651"/>
      <c r="W37" s="651"/>
      <c r="X37" s="651"/>
    </row>
    <row r="38" spans="1:24" s="645" customFormat="1" ht="15">
      <c r="A38" s="1076" t="s">
        <v>545</v>
      </c>
      <c r="B38" s="1077">
        <v>1421</v>
      </c>
      <c r="C38" s="1077" t="s">
        <v>62</v>
      </c>
      <c r="D38" s="1078">
        <v>39329</v>
      </c>
      <c r="E38" s="1078" t="s">
        <v>820</v>
      </c>
      <c r="F38" s="1079">
        <v>39387</v>
      </c>
      <c r="G38" s="1080">
        <v>2</v>
      </c>
      <c r="H38" s="1081"/>
      <c r="I38" s="648"/>
      <c r="J38" s="645" t="s">
        <v>522</v>
      </c>
      <c r="K38" s="645" t="s">
        <v>545</v>
      </c>
      <c r="L38" s="645">
        <v>1421</v>
      </c>
      <c r="M38" s="650" t="s">
        <v>62</v>
      </c>
      <c r="N38" s="650">
        <v>39329</v>
      </c>
      <c r="O38" s="648" t="s">
        <v>820</v>
      </c>
      <c r="P38" s="1064">
        <v>39387</v>
      </c>
      <c r="Q38" s="651">
        <v>2</v>
      </c>
      <c r="R38" s="651">
        <v>-38</v>
      </c>
      <c r="S38" s="652"/>
      <c r="T38" s="652"/>
      <c r="U38" s="652"/>
      <c r="V38" s="652"/>
      <c r="W38" s="651"/>
      <c r="X38" s="656"/>
    </row>
    <row r="39" spans="1:29" ht="12.75">
      <c r="A39" s="48" t="s">
        <v>66</v>
      </c>
      <c r="B39" s="243">
        <v>8205</v>
      </c>
      <c r="C39" s="243" t="s">
        <v>59</v>
      </c>
      <c r="D39" s="49">
        <v>39370</v>
      </c>
      <c r="E39" s="49">
        <v>39416</v>
      </c>
      <c r="F39" s="243"/>
      <c r="G39" s="52">
        <v>3</v>
      </c>
      <c r="H39" s="625"/>
      <c r="I39" s="38"/>
      <c r="J39" s="86" t="s">
        <v>523</v>
      </c>
      <c r="K39" s="86" t="s">
        <v>66</v>
      </c>
      <c r="L39" s="86">
        <v>8205</v>
      </c>
      <c r="M39" s="250" t="s">
        <v>59</v>
      </c>
      <c r="N39" s="250">
        <v>39370</v>
      </c>
      <c r="O39" s="250">
        <v>39416</v>
      </c>
      <c r="P39" s="38"/>
      <c r="Q39" s="25">
        <v>3</v>
      </c>
      <c r="R39" s="25">
        <v>24</v>
      </c>
      <c r="S39" s="53"/>
      <c r="T39" s="53"/>
      <c r="U39" s="53"/>
      <c r="V39" s="53"/>
      <c r="W39" s="25"/>
      <c r="X39" s="25"/>
      <c r="Y39" s="636"/>
      <c r="Z39" s="636"/>
      <c r="AA39" s="636"/>
      <c r="AB39" s="636"/>
      <c r="AC39" s="636"/>
    </row>
    <row r="40" spans="1:29" ht="12.75">
      <c r="A40" s="48" t="s">
        <v>555</v>
      </c>
      <c r="B40" s="243">
        <v>1501</v>
      </c>
      <c r="C40" s="243" t="s">
        <v>64</v>
      </c>
      <c r="D40" s="49">
        <v>39346</v>
      </c>
      <c r="E40" s="49">
        <v>39423</v>
      </c>
      <c r="F40" s="243"/>
      <c r="G40" s="52">
        <v>3</v>
      </c>
      <c r="H40" s="625"/>
      <c r="I40" s="38"/>
      <c r="J40" s="86" t="s">
        <v>554</v>
      </c>
      <c r="K40" s="86" t="s">
        <v>555</v>
      </c>
      <c r="L40" s="86">
        <v>1501</v>
      </c>
      <c r="M40" s="250" t="s">
        <v>64</v>
      </c>
      <c r="N40" s="250">
        <v>39346</v>
      </c>
      <c r="O40" s="250">
        <v>39423</v>
      </c>
      <c r="P40" s="38"/>
      <c r="Q40" s="25">
        <v>3</v>
      </c>
      <c r="R40" s="25">
        <v>111</v>
      </c>
      <c r="S40" s="53"/>
      <c r="T40" s="53"/>
      <c r="U40" s="25"/>
      <c r="V40" s="53"/>
      <c r="W40" s="25"/>
      <c r="X40" s="25"/>
      <c r="Y40" s="636"/>
      <c r="Z40" s="636"/>
      <c r="AA40" s="636"/>
      <c r="AB40" s="636"/>
      <c r="AC40" s="636"/>
    </row>
    <row r="41" spans="1:24" s="645" customFormat="1" ht="13.5">
      <c r="A41" s="666" t="s">
        <v>63</v>
      </c>
      <c r="B41" s="660">
        <v>1806</v>
      </c>
      <c r="C41" s="660" t="s">
        <v>61</v>
      </c>
      <c r="D41" s="659">
        <v>39336</v>
      </c>
      <c r="E41" s="49">
        <v>39427</v>
      </c>
      <c r="F41" s="969"/>
      <c r="G41" s="667">
        <v>3</v>
      </c>
      <c r="H41" s="642"/>
      <c r="I41" s="644"/>
      <c r="J41" s="645" t="s">
        <v>516</v>
      </c>
      <c r="K41" s="645" t="s">
        <v>63</v>
      </c>
      <c r="L41" s="645">
        <v>1806</v>
      </c>
      <c r="M41" s="646" t="s">
        <v>61</v>
      </c>
      <c r="N41" s="646">
        <v>39336</v>
      </c>
      <c r="O41" s="647">
        <v>39427</v>
      </c>
      <c r="P41" s="644"/>
      <c r="Q41" s="653">
        <v>3</v>
      </c>
      <c r="R41" s="1065">
        <v>1161</v>
      </c>
      <c r="S41" s="654"/>
      <c r="T41" s="654"/>
      <c r="U41" s="653"/>
      <c r="V41" s="654"/>
      <c r="W41" s="653"/>
      <c r="X41" s="653"/>
    </row>
    <row r="42" spans="1:29" ht="12.75">
      <c r="A42" s="48" t="s">
        <v>65</v>
      </c>
      <c r="B42" s="243">
        <v>1416</v>
      </c>
      <c r="C42" s="243" t="s">
        <v>62</v>
      </c>
      <c r="D42" s="49">
        <v>39407</v>
      </c>
      <c r="E42" s="49">
        <v>39454</v>
      </c>
      <c r="F42" s="243"/>
      <c r="G42" s="52">
        <v>3</v>
      </c>
      <c r="H42" s="625"/>
      <c r="I42" s="38"/>
      <c r="J42" s="86" t="s">
        <v>518</v>
      </c>
      <c r="K42" s="86" t="s">
        <v>65</v>
      </c>
      <c r="L42" s="86">
        <v>1416</v>
      </c>
      <c r="M42" s="250" t="s">
        <v>62</v>
      </c>
      <c r="N42" s="250">
        <v>39407</v>
      </c>
      <c r="O42" s="250">
        <v>39454</v>
      </c>
      <c r="P42" s="38"/>
      <c r="Q42" s="25">
        <v>3</v>
      </c>
      <c r="R42" s="25">
        <v>53</v>
      </c>
      <c r="S42" s="25"/>
      <c r="T42" s="53"/>
      <c r="U42" s="25"/>
      <c r="V42" s="53"/>
      <c r="W42" s="25"/>
      <c r="X42" s="59"/>
      <c r="Y42" s="636"/>
      <c r="Z42" s="636"/>
      <c r="AA42" s="636"/>
      <c r="AB42" s="636"/>
      <c r="AC42" s="636"/>
    </row>
    <row r="43" spans="1:29" ht="12.75">
      <c r="A43" s="48" t="s">
        <v>728</v>
      </c>
      <c r="B43" s="243">
        <v>1421</v>
      </c>
      <c r="C43" s="243" t="s">
        <v>62</v>
      </c>
      <c r="D43" s="49">
        <v>39454</v>
      </c>
      <c r="E43" s="49">
        <v>39454</v>
      </c>
      <c r="F43" s="243"/>
      <c r="G43" s="52">
        <v>3</v>
      </c>
      <c r="H43" s="625"/>
      <c r="I43" s="38"/>
      <c r="J43" s="86" t="s">
        <v>533</v>
      </c>
      <c r="K43" s="86" t="s">
        <v>728</v>
      </c>
      <c r="L43" s="86">
        <v>1421</v>
      </c>
      <c r="M43" s="250" t="s">
        <v>62</v>
      </c>
      <c r="N43" s="250">
        <v>39454</v>
      </c>
      <c r="O43" s="250">
        <v>39454</v>
      </c>
      <c r="P43" s="38"/>
      <c r="Q43" s="25">
        <v>3</v>
      </c>
      <c r="R43" s="25">
        <v>449</v>
      </c>
      <c r="S43" s="53"/>
      <c r="T43" s="53"/>
      <c r="U43" s="53"/>
      <c r="V43" s="53"/>
      <c r="W43" s="25"/>
      <c r="X43" s="25"/>
      <c r="Y43" s="636"/>
      <c r="Z43" s="636"/>
      <c r="AA43" s="636"/>
      <c r="AB43" s="636"/>
      <c r="AC43" s="636"/>
    </row>
    <row r="44" spans="1:29" ht="12.75">
      <c r="A44" s="48" t="s">
        <v>69</v>
      </c>
      <c r="B44" s="243">
        <v>1416</v>
      </c>
      <c r="C44" s="243" t="s">
        <v>62</v>
      </c>
      <c r="D44" s="49">
        <v>39392</v>
      </c>
      <c r="E44" s="49">
        <v>39478</v>
      </c>
      <c r="F44" s="243"/>
      <c r="G44" s="52">
        <v>3</v>
      </c>
      <c r="H44" s="625"/>
      <c r="I44" s="38"/>
      <c r="J44" s="86" t="s">
        <v>525</v>
      </c>
      <c r="K44" s="86" t="s">
        <v>69</v>
      </c>
      <c r="L44" s="86">
        <v>1416</v>
      </c>
      <c r="M44" s="250" t="s">
        <v>62</v>
      </c>
      <c r="N44" s="250">
        <v>39392</v>
      </c>
      <c r="O44" s="250">
        <v>39478</v>
      </c>
      <c r="P44" s="38"/>
      <c r="Q44" s="25">
        <v>3</v>
      </c>
      <c r="R44" s="25">
        <v>25</v>
      </c>
      <c r="S44" s="53"/>
      <c r="T44" s="53"/>
      <c r="U44" s="25"/>
      <c r="V44" s="53"/>
      <c r="W44" s="25"/>
      <c r="X44" s="25"/>
      <c r="Y44" s="636"/>
      <c r="Z44" s="636"/>
      <c r="AA44" s="636"/>
      <c r="AB44" s="636"/>
      <c r="AC44" s="636"/>
    </row>
    <row r="45" spans="1:29" ht="12.75">
      <c r="A45" s="48" t="s">
        <v>547</v>
      </c>
      <c r="B45" s="243">
        <v>1302</v>
      </c>
      <c r="C45" s="243" t="s">
        <v>68</v>
      </c>
      <c r="D45" s="49">
        <v>39531</v>
      </c>
      <c r="E45" s="49">
        <v>39483</v>
      </c>
      <c r="F45" s="243"/>
      <c r="G45" s="52">
        <v>3</v>
      </c>
      <c r="H45" s="625"/>
      <c r="I45" s="38"/>
      <c r="J45" s="86" t="s">
        <v>531</v>
      </c>
      <c r="K45" s="86" t="s">
        <v>547</v>
      </c>
      <c r="L45" s="86">
        <v>1302</v>
      </c>
      <c r="M45" s="250" t="s">
        <v>68</v>
      </c>
      <c r="N45" s="250">
        <v>39531</v>
      </c>
      <c r="O45" s="250">
        <v>39483</v>
      </c>
      <c r="P45" s="38"/>
      <c r="Q45" s="25">
        <v>3</v>
      </c>
      <c r="R45" s="25">
        <v>49</v>
      </c>
      <c r="S45" s="53"/>
      <c r="T45" s="53"/>
      <c r="U45" s="53"/>
      <c r="V45" s="53"/>
      <c r="W45" s="25"/>
      <c r="X45" s="25"/>
      <c r="Y45" s="636"/>
      <c r="Z45" s="636"/>
      <c r="AA45" s="636"/>
      <c r="AB45" s="636"/>
      <c r="AC45" s="636"/>
    </row>
    <row r="46" spans="1:29" ht="12.75">
      <c r="A46" s="48" t="s">
        <v>73</v>
      </c>
      <c r="B46" s="243">
        <v>1416</v>
      </c>
      <c r="C46" s="243" t="s">
        <v>62</v>
      </c>
      <c r="D46" s="49">
        <v>39461</v>
      </c>
      <c r="E46" s="49">
        <v>39513</v>
      </c>
      <c r="F46" s="243"/>
      <c r="G46" s="52">
        <v>3</v>
      </c>
      <c r="H46" s="625"/>
      <c r="I46" s="38"/>
      <c r="J46" s="86" t="s">
        <v>532</v>
      </c>
      <c r="K46" s="86" t="s">
        <v>73</v>
      </c>
      <c r="L46" s="86">
        <v>1416</v>
      </c>
      <c r="M46" s="250" t="s">
        <v>62</v>
      </c>
      <c r="N46" s="250">
        <v>39461</v>
      </c>
      <c r="O46" s="250">
        <v>39513</v>
      </c>
      <c r="P46" s="38"/>
      <c r="Q46" s="25">
        <v>3</v>
      </c>
      <c r="R46" s="25">
        <v>25</v>
      </c>
      <c r="S46" s="53"/>
      <c r="T46" s="53"/>
      <c r="U46" s="53"/>
      <c r="V46" s="53"/>
      <c r="W46" s="25"/>
      <c r="X46" s="25"/>
      <c r="Y46" s="636"/>
      <c r="Z46" s="636"/>
      <c r="AA46" s="636"/>
      <c r="AB46" s="636"/>
      <c r="AC46" s="636"/>
    </row>
    <row r="47" spans="1:24" s="635" customFormat="1" ht="12.75">
      <c r="A47" s="48" t="s">
        <v>553</v>
      </c>
      <c r="B47" s="243">
        <v>1702</v>
      </c>
      <c r="C47" s="243" t="s">
        <v>64</v>
      </c>
      <c r="D47" s="49">
        <v>39412</v>
      </c>
      <c r="E47" s="49">
        <v>39513</v>
      </c>
      <c r="F47" s="243"/>
      <c r="G47" s="52">
        <v>3</v>
      </c>
      <c r="H47" s="642"/>
      <c r="I47" s="267"/>
      <c r="J47" s="635" t="s">
        <v>548</v>
      </c>
      <c r="K47" s="635" t="s">
        <v>553</v>
      </c>
      <c r="L47" s="635">
        <v>1702</v>
      </c>
      <c r="M47" s="269" t="s">
        <v>64</v>
      </c>
      <c r="N47" s="269">
        <v>39412</v>
      </c>
      <c r="O47" s="641">
        <v>39513</v>
      </c>
      <c r="P47" s="267"/>
      <c r="Q47" s="224">
        <v>3</v>
      </c>
      <c r="R47" s="224">
        <v>0</v>
      </c>
      <c r="S47" s="227"/>
      <c r="T47" s="227"/>
      <c r="U47" s="227"/>
      <c r="V47" s="227"/>
      <c r="W47" s="224"/>
      <c r="X47" s="643"/>
    </row>
    <row r="48" spans="1:28" ht="15.75" thickBot="1">
      <c r="A48" s="1071" t="s">
        <v>557</v>
      </c>
      <c r="B48" s="1072">
        <v>1352</v>
      </c>
      <c r="C48" s="1072" t="s">
        <v>68</v>
      </c>
      <c r="D48" s="1073">
        <v>39595</v>
      </c>
      <c r="E48" s="1073">
        <v>39546</v>
      </c>
      <c r="F48" s="1074">
        <v>39692</v>
      </c>
      <c r="G48" s="1075">
        <v>2</v>
      </c>
      <c r="H48" s="625"/>
      <c r="I48" s="38"/>
      <c r="J48" s="38" t="s">
        <v>556</v>
      </c>
      <c r="K48" s="38" t="s">
        <v>557</v>
      </c>
      <c r="L48" s="38">
        <v>1352</v>
      </c>
      <c r="M48" s="38" t="s">
        <v>68</v>
      </c>
      <c r="N48" s="250">
        <v>39595</v>
      </c>
      <c r="O48" s="250">
        <v>39546</v>
      </c>
      <c r="P48" s="1066">
        <v>39692</v>
      </c>
      <c r="Q48" s="25">
        <v>2</v>
      </c>
      <c r="R48" s="25">
        <v>49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.5" customHeight="1" thickBot="1">
      <c r="A49" s="38"/>
      <c r="B49" s="38"/>
      <c r="C49" s="38"/>
      <c r="D49" s="38"/>
      <c r="E49" s="38"/>
      <c r="F49" s="38"/>
      <c r="G49" s="38"/>
      <c r="H49" s="612"/>
      <c r="I49" s="38"/>
      <c r="J49" s="38"/>
      <c r="K49" s="38"/>
      <c r="L49" s="38"/>
      <c r="M49" s="38"/>
      <c r="N49" s="38"/>
      <c r="O49" s="38"/>
      <c r="P49" s="38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3.5">
      <c r="A50" s="66"/>
      <c r="B50" s="67"/>
      <c r="C50" s="67"/>
      <c r="D50" s="68" t="s">
        <v>496</v>
      </c>
      <c r="E50" s="69"/>
      <c r="F50" s="69"/>
      <c r="G50" s="70"/>
      <c r="H50" s="612"/>
      <c r="I50" s="38"/>
      <c r="J50" s="38"/>
      <c r="K50" s="38"/>
      <c r="L50" s="38"/>
      <c r="M50" s="38"/>
      <c r="N50" s="38"/>
      <c r="O50" s="38"/>
      <c r="P50" s="38"/>
      <c r="Q50" s="71"/>
      <c r="R50" s="71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.75">
      <c r="A51" s="1228"/>
      <c r="B51" s="1229"/>
      <c r="C51" s="1229"/>
      <c r="D51" s="1230"/>
      <c r="E51" s="207"/>
      <c r="F51" s="72" t="s">
        <v>494</v>
      </c>
      <c r="G51" s="72" t="s">
        <v>495</v>
      </c>
      <c r="H51" s="626"/>
      <c r="I51" s="288"/>
      <c r="J51" s="288"/>
      <c r="K51" s="288"/>
      <c r="L51" s="288"/>
      <c r="M51" s="288"/>
      <c r="N51" s="288"/>
      <c r="O51" s="288"/>
      <c r="P51" s="288"/>
      <c r="Q51" s="71"/>
      <c r="R51" s="71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3.5">
      <c r="A52" s="1231"/>
      <c r="B52" s="1232"/>
      <c r="C52" s="1232"/>
      <c r="D52" s="1233"/>
      <c r="E52" s="73" t="s">
        <v>6</v>
      </c>
      <c r="F52" s="183">
        <f>SUM('COST PERFORMANCE BY RLM &amp; JOB'!C65)</f>
        <v>3188</v>
      </c>
      <c r="G52" s="208">
        <f>SUM('COST PERFORMANCE BY RLM &amp; JOB'!K65)</f>
        <v>608</v>
      </c>
      <c r="H52" s="627" t="s">
        <v>186</v>
      </c>
      <c r="I52" s="286"/>
      <c r="J52" s="286"/>
      <c r="K52" s="286"/>
      <c r="L52" s="286"/>
      <c r="M52" s="286"/>
      <c r="N52" s="286"/>
      <c r="O52" s="286"/>
      <c r="P52" s="286"/>
      <c r="Q52" s="71"/>
      <c r="R52" s="71"/>
      <c r="S52"/>
      <c r="T52"/>
      <c r="U52"/>
      <c r="V52"/>
      <c r="W52"/>
      <c r="X52"/>
      <c r="Y52"/>
      <c r="Z52"/>
      <c r="AA52"/>
      <c r="AB52"/>
    </row>
    <row r="53" spans="1:28" ht="13.5">
      <c r="A53" s="1231"/>
      <c r="B53" s="1232"/>
      <c r="C53" s="1232"/>
      <c r="D53" s="1233"/>
      <c r="E53" s="73" t="s">
        <v>7</v>
      </c>
      <c r="F53" s="183">
        <f>SUM('COST PERFORMANCE BY RLM &amp; JOB'!D65)</f>
        <v>2722.1431000000002</v>
      </c>
      <c r="G53" s="208">
        <f>SUM('COST PERFORMANCE BY RLM &amp; JOB'!L65)</f>
        <v>453.4431000000001</v>
      </c>
      <c r="H53" s="627"/>
      <c r="I53" s="286"/>
      <c r="J53" s="286"/>
      <c r="K53" s="286"/>
      <c r="L53" s="286"/>
      <c r="M53" s="286"/>
      <c r="N53" s="286"/>
      <c r="O53" s="286"/>
      <c r="P53" s="286"/>
      <c r="Q53" s="71"/>
      <c r="R53" s="71"/>
      <c r="S53"/>
      <c r="T53"/>
      <c r="U53"/>
      <c r="V53"/>
      <c r="W53"/>
      <c r="X53"/>
      <c r="Y53"/>
      <c r="Z53"/>
      <c r="AA53"/>
      <c r="AB53"/>
    </row>
    <row r="54" spans="1:23" ht="13.5">
      <c r="A54" s="1231"/>
      <c r="B54" s="1232"/>
      <c r="C54" s="1232"/>
      <c r="D54" s="1233"/>
      <c r="E54" s="73" t="s">
        <v>8</v>
      </c>
      <c r="F54" s="183">
        <f>SUM('COST PERFORMANCE BY RLM &amp; JOB'!E65)</f>
        <v>2404.742653312274</v>
      </c>
      <c r="G54" s="208">
        <f>SUM('COST PERFORMANCE BY RLM &amp; JOB'!M65)</f>
        <v>348.902</v>
      </c>
      <c r="H54" s="612"/>
      <c r="I54" s="71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19" ht="12.75">
      <c r="A55" s="1231"/>
      <c r="B55" s="1232"/>
      <c r="C55" s="1232"/>
      <c r="D55" s="1233"/>
      <c r="E55" s="73" t="s">
        <v>9</v>
      </c>
      <c r="F55" s="242">
        <f>+F53-F54</f>
        <v>317.40044668772634</v>
      </c>
      <c r="G55" s="209"/>
      <c r="H55" s="612"/>
      <c r="I55" s="71"/>
      <c r="J55"/>
      <c r="K55"/>
      <c r="L55"/>
      <c r="M55"/>
      <c r="N55"/>
      <c r="O55"/>
      <c r="P55"/>
      <c r="Q55"/>
      <c r="R55"/>
      <c r="S55"/>
    </row>
    <row r="56" spans="1:19" ht="12.75">
      <c r="A56" s="1231"/>
      <c r="B56" s="1232"/>
      <c r="C56" s="1232"/>
      <c r="D56" s="1233"/>
      <c r="E56" s="73" t="s">
        <v>10</v>
      </c>
      <c r="F56" s="242">
        <f>+F53-F52</f>
        <v>-465.85689999999977</v>
      </c>
      <c r="G56" s="209"/>
      <c r="H56" s="612"/>
      <c r="I56" s="71"/>
      <c r="J56"/>
      <c r="K56"/>
      <c r="L56"/>
      <c r="M56"/>
      <c r="N56"/>
      <c r="O56"/>
      <c r="P56"/>
      <c r="Q56"/>
      <c r="R56"/>
      <c r="S56"/>
    </row>
    <row r="57" spans="1:19" ht="12.75">
      <c r="A57" s="1231"/>
      <c r="B57" s="1232"/>
      <c r="C57" s="1232"/>
      <c r="D57" s="1233"/>
      <c r="E57" s="73" t="s">
        <v>11</v>
      </c>
      <c r="F57" s="628">
        <f>+F53/F54</f>
        <v>1.1319893612110807</v>
      </c>
      <c r="G57" s="617">
        <f>+G53/G54</f>
        <v>1.2996288356042673</v>
      </c>
      <c r="H57" s="612"/>
      <c r="I57" s="71"/>
      <c r="J57"/>
      <c r="K57"/>
      <c r="L57"/>
      <c r="M57"/>
      <c r="N57"/>
      <c r="O57"/>
      <c r="P57"/>
      <c r="Q57"/>
      <c r="R57"/>
      <c r="S57"/>
    </row>
    <row r="58" spans="1:19" ht="12.75">
      <c r="A58" s="1231"/>
      <c r="B58" s="1232"/>
      <c r="C58" s="1232"/>
      <c r="D58" s="1233"/>
      <c r="E58" s="73" t="s">
        <v>12</v>
      </c>
      <c r="F58" s="628">
        <f>+F53/F52</f>
        <v>0.853871737766625</v>
      </c>
      <c r="G58" s="617">
        <f>+G53/G52</f>
        <v>0.7457945723684212</v>
      </c>
      <c r="H58" s="612"/>
      <c r="I58" s="71"/>
      <c r="J58"/>
      <c r="K58"/>
      <c r="L58"/>
      <c r="M58"/>
      <c r="N58"/>
      <c r="O58"/>
      <c r="P58"/>
      <c r="Q58"/>
      <c r="R58"/>
      <c r="S58"/>
    </row>
    <row r="59" spans="1:19" ht="13.5">
      <c r="A59" s="1231"/>
      <c r="B59" s="1232"/>
      <c r="C59" s="1232"/>
      <c r="D59" s="1233"/>
      <c r="E59" s="73" t="s">
        <v>4</v>
      </c>
      <c r="F59" s="183">
        <f>SUM('COST PERFORMANCE BY RLM &amp; JOB'!R65)+'Baseline Reconciliation'!F142</f>
        <v>56600.653000000006</v>
      </c>
      <c r="G59" s="210"/>
      <c r="H59" s="612"/>
      <c r="I59" s="71"/>
      <c r="J59"/>
      <c r="K59"/>
      <c r="L59"/>
      <c r="M59"/>
      <c r="N59"/>
      <c r="O59"/>
      <c r="P59"/>
      <c r="Q59"/>
      <c r="R59"/>
      <c r="S59"/>
    </row>
    <row r="60" spans="1:19" ht="13.5">
      <c r="A60" s="1231"/>
      <c r="B60" s="1232"/>
      <c r="C60" s="1232"/>
      <c r="D60" s="1233"/>
      <c r="E60" s="73" t="s">
        <v>5</v>
      </c>
      <c r="F60" s="629">
        <f>SUM('COST PERFORMANCE BY RLM &amp; JOB'!V65)+'Baseline Reconciliation'!F142</f>
        <v>56206.844076166075</v>
      </c>
      <c r="G60" s="210"/>
      <c r="H60" s="612"/>
      <c r="I60" s="71"/>
      <c r="J60"/>
      <c r="K60"/>
      <c r="L60"/>
      <c r="M60"/>
      <c r="N60"/>
      <c r="O60"/>
      <c r="P60"/>
      <c r="Q60"/>
      <c r="R60"/>
      <c r="S60"/>
    </row>
    <row r="61" spans="1:19" ht="12.75">
      <c r="A61" s="1231"/>
      <c r="B61" s="1232"/>
      <c r="C61" s="1232"/>
      <c r="D61" s="1233"/>
      <c r="E61" s="211" t="s">
        <v>3</v>
      </c>
      <c r="F61" s="212"/>
      <c r="G61" s="213"/>
      <c r="H61" s="612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231"/>
      <c r="B62" s="1232"/>
      <c r="C62" s="1232"/>
      <c r="D62" s="1233"/>
      <c r="E62" s="75" t="s">
        <v>13</v>
      </c>
      <c r="F62" s="1237"/>
      <c r="G62" s="1238"/>
      <c r="H62" s="612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231"/>
      <c r="B63" s="1232"/>
      <c r="C63" s="1232"/>
      <c r="D63" s="1233"/>
      <c r="E63" s="1263"/>
      <c r="F63" s="1264"/>
      <c r="G63" s="1265"/>
      <c r="H63" s="612"/>
      <c r="I63" s="71"/>
      <c r="J63"/>
      <c r="K63"/>
      <c r="L63"/>
      <c r="M63"/>
      <c r="N63"/>
      <c r="O63"/>
      <c r="P63"/>
      <c r="Q63"/>
      <c r="R63"/>
      <c r="S63"/>
    </row>
    <row r="64" spans="1:19" ht="37.5" customHeight="1">
      <c r="A64" s="1234"/>
      <c r="B64" s="1235"/>
      <c r="C64" s="1235"/>
      <c r="D64" s="1236"/>
      <c r="E64" s="1266"/>
      <c r="F64" s="1267"/>
      <c r="G64" s="1268"/>
      <c r="H64" s="612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194" t="s">
        <v>497</v>
      </c>
      <c r="B65" s="1195"/>
      <c r="C65" s="1195"/>
      <c r="D65" s="1196"/>
      <c r="E65" s="1196"/>
      <c r="F65" s="1196"/>
      <c r="G65" s="1197"/>
      <c r="H65" s="612"/>
      <c r="I65" s="25"/>
      <c r="J65"/>
      <c r="K65"/>
      <c r="L65"/>
      <c r="M65"/>
      <c r="N65"/>
      <c r="O65"/>
      <c r="P65"/>
      <c r="Q65"/>
      <c r="R65"/>
      <c r="S65"/>
    </row>
    <row r="66" spans="1:19" ht="12.75">
      <c r="A66" s="1198" t="s">
        <v>22</v>
      </c>
      <c r="B66" s="1199"/>
      <c r="C66" s="1199"/>
      <c r="D66" s="1200"/>
      <c r="E66" s="76" t="s">
        <v>23</v>
      </c>
      <c r="F66" s="77"/>
      <c r="G66" s="78"/>
      <c r="H66" s="25"/>
      <c r="I66" s="25"/>
      <c r="J66"/>
      <c r="K66"/>
      <c r="L66"/>
      <c r="M66"/>
      <c r="N66"/>
      <c r="O66"/>
      <c r="P66"/>
      <c r="Q66"/>
      <c r="R66"/>
      <c r="S66"/>
    </row>
    <row r="67" spans="1:19" ht="12.75">
      <c r="A67" s="1201"/>
      <c r="B67" s="1202"/>
      <c r="C67" s="1202"/>
      <c r="D67" s="1203"/>
      <c r="E67" s="1202"/>
      <c r="F67" s="1203"/>
      <c r="G67" s="1210"/>
      <c r="H67" s="25"/>
      <c r="I67" s="25"/>
      <c r="J67"/>
      <c r="K67"/>
      <c r="L67"/>
      <c r="M67"/>
      <c r="N67"/>
      <c r="O67"/>
      <c r="P67"/>
      <c r="Q67"/>
      <c r="R67"/>
      <c r="S67"/>
    </row>
    <row r="68" spans="1:19" ht="12.75">
      <c r="A68" s="1204"/>
      <c r="B68" s="1205"/>
      <c r="C68" s="1205"/>
      <c r="D68" s="1206"/>
      <c r="E68" s="1205"/>
      <c r="F68" s="1206"/>
      <c r="G68" s="1211"/>
      <c r="H68" s="25"/>
      <c r="I68" s="25"/>
      <c r="J68"/>
      <c r="K68"/>
      <c r="L68"/>
      <c r="M68"/>
      <c r="N68"/>
      <c r="O68"/>
      <c r="P68"/>
      <c r="Q68"/>
      <c r="R68"/>
      <c r="S68"/>
    </row>
    <row r="69" spans="1:19" ht="12.75">
      <c r="A69" s="1204"/>
      <c r="B69" s="1205"/>
      <c r="C69" s="1205"/>
      <c r="D69" s="1206"/>
      <c r="E69" s="1205"/>
      <c r="F69" s="1206"/>
      <c r="G69" s="1211"/>
      <c r="H69" s="25"/>
      <c r="I69" s="25"/>
      <c r="J69"/>
      <c r="K69"/>
      <c r="L69"/>
      <c r="M69"/>
      <c r="N69"/>
      <c r="O69"/>
      <c r="P69"/>
      <c r="Q69"/>
      <c r="R69"/>
      <c r="S69"/>
    </row>
    <row r="70" spans="1:19" ht="12.75">
      <c r="A70" s="1207"/>
      <c r="B70" s="1206"/>
      <c r="C70" s="1206"/>
      <c r="D70" s="1206"/>
      <c r="E70" s="1206"/>
      <c r="F70" s="1206"/>
      <c r="G70" s="1211"/>
      <c r="H70" s="25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 s="1207"/>
      <c r="B71" s="1206"/>
      <c r="C71" s="1206"/>
      <c r="D71" s="1206"/>
      <c r="E71" s="1206"/>
      <c r="F71" s="1206"/>
      <c r="G71" s="1211"/>
      <c r="H71" s="25"/>
      <c r="I71"/>
      <c r="J71"/>
      <c r="K71"/>
      <c r="L71"/>
      <c r="M71"/>
      <c r="N71"/>
      <c r="O71"/>
      <c r="P71"/>
      <c r="Q71"/>
      <c r="R71"/>
      <c r="S71"/>
    </row>
    <row r="72" spans="1:19" ht="13.5" thickBot="1">
      <c r="A72" s="1208"/>
      <c r="B72" s="1209"/>
      <c r="C72" s="1209"/>
      <c r="D72" s="1209"/>
      <c r="E72" s="1209"/>
      <c r="F72" s="1209"/>
      <c r="G72" s="1212"/>
      <c r="H72" s="71"/>
      <c r="I72"/>
      <c r="J72"/>
      <c r="K72"/>
      <c r="L72"/>
      <c r="M72"/>
      <c r="N72"/>
      <c r="O72"/>
      <c r="P72"/>
      <c r="Q72"/>
      <c r="R72"/>
      <c r="S72"/>
    </row>
    <row r="73" spans="1:19" ht="4.5" customHeight="1" thickBot="1">
      <c r="A73" s="42"/>
      <c r="B73" s="42"/>
      <c r="C73" s="42"/>
      <c r="D73" s="42"/>
      <c r="E73" s="42"/>
      <c r="F73" s="42"/>
      <c r="G73" s="42"/>
      <c r="H73" s="71"/>
      <c r="I73"/>
      <c r="J73"/>
      <c r="K73"/>
      <c r="L73"/>
      <c r="M73"/>
      <c r="N73"/>
      <c r="O73"/>
      <c r="P73"/>
      <c r="Q73"/>
      <c r="R73"/>
      <c r="S73"/>
    </row>
    <row r="74" spans="1:19" ht="13.5">
      <c r="A74" s="79" t="s">
        <v>15</v>
      </c>
      <c r="B74" s="80"/>
      <c r="C74" s="80"/>
      <c r="D74" s="81"/>
      <c r="E74" s="82"/>
      <c r="F74" s="83"/>
      <c r="G74" s="84"/>
      <c r="H74" s="25"/>
      <c r="I74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498</v>
      </c>
      <c r="B75" s="215"/>
      <c r="C75" s="215"/>
      <c r="D75" s="217" t="s">
        <v>14</v>
      </c>
      <c r="E75" s="218" t="s">
        <v>500</v>
      </c>
      <c r="F75" s="219"/>
      <c r="G75" s="220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948"/>
      <c r="B76" s="216"/>
      <c r="C76" s="216"/>
      <c r="D76" s="948"/>
      <c r="E76" s="948"/>
      <c r="F76" s="1186"/>
      <c r="G76" s="1187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2.75">
      <c r="A77" s="1190"/>
      <c r="B77" s="85"/>
      <c r="C77" s="85"/>
      <c r="D77" s="1190"/>
      <c r="E77" s="1190"/>
      <c r="F77" s="1188"/>
      <c r="G77" s="1189"/>
      <c r="H77" s="25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 s="1185"/>
      <c r="B78" s="43"/>
      <c r="C78" s="43"/>
      <c r="D78" s="1185"/>
      <c r="E78" s="1185"/>
      <c r="F78" s="1188"/>
      <c r="G78" s="1189"/>
      <c r="H78" s="25"/>
      <c r="I78"/>
      <c r="J78"/>
      <c r="K78"/>
      <c r="L78"/>
      <c r="M78"/>
      <c r="N78"/>
      <c r="O78"/>
      <c r="P78"/>
      <c r="Q78"/>
      <c r="R78"/>
      <c r="S78"/>
    </row>
    <row r="79" spans="1:19" ht="12.75">
      <c r="A79" s="1190"/>
      <c r="B79" s="85"/>
      <c r="C79" s="85"/>
      <c r="D79" s="1190"/>
      <c r="E79" s="1190"/>
      <c r="F79" s="1188"/>
      <c r="G79" s="1189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1191"/>
      <c r="B80" s="44"/>
      <c r="C80" s="44"/>
      <c r="D80" s="1191"/>
      <c r="E80" s="1191"/>
      <c r="F80" s="1192"/>
      <c r="G80" s="1193"/>
      <c r="H80" s="25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</sheetData>
  <mergeCells count="24">
    <mergeCell ref="A30:G30"/>
    <mergeCell ref="A51:D64"/>
    <mergeCell ref="A67:D72"/>
    <mergeCell ref="E67:G72"/>
    <mergeCell ref="A66:D66"/>
    <mergeCell ref="A65:G65"/>
    <mergeCell ref="E63:G64"/>
    <mergeCell ref="F62:G62"/>
    <mergeCell ref="A13:G13"/>
    <mergeCell ref="A3:D3"/>
    <mergeCell ref="A11:D11"/>
    <mergeCell ref="A12:D12"/>
    <mergeCell ref="E12:G12"/>
    <mergeCell ref="A76:A78"/>
    <mergeCell ref="D76:D78"/>
    <mergeCell ref="E76:G78"/>
    <mergeCell ref="A79:A80"/>
    <mergeCell ref="D79:D80"/>
    <mergeCell ref="E79:G80"/>
    <mergeCell ref="A27:G27"/>
    <mergeCell ref="A14:G18"/>
    <mergeCell ref="A20:G25"/>
    <mergeCell ref="A26:G26"/>
    <mergeCell ref="A19:G19"/>
  </mergeCells>
  <printOptions gridLines="1"/>
  <pageMargins left="0.17" right="0.17" top="0.18" bottom="0.27" header="0.17" footer="0.17"/>
  <pageSetup fitToHeight="1" fitToWidth="1" horizontalDpi="600" verticalDpi="600" orientation="portrait" scale="68" r:id="rId2"/>
  <headerFooter alignWithMargins="0">
    <oddFooter>&amp;R&amp;F           &amp;A      &amp;D   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workbookViewId="0" topLeftCell="A1">
      <selection activeCell="I60" sqref="I60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4.421875" style="86" customWidth="1"/>
    <col min="6" max="6" width="17.140625" style="86" customWidth="1"/>
    <col min="7" max="7" width="14.7109375" style="86" customWidth="1"/>
    <col min="8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7.25">
      <c r="A2" s="26" t="s">
        <v>491</v>
      </c>
      <c r="B2" s="27"/>
      <c r="C2" s="27"/>
      <c r="D2" s="28"/>
      <c r="E2" s="28"/>
      <c r="F2" s="28"/>
      <c r="G2" s="29"/>
      <c r="H2" s="30" t="s">
        <v>186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8" thickBot="1">
      <c r="A3" s="1259" t="s">
        <v>19</v>
      </c>
      <c r="B3" s="1260"/>
      <c r="C3" s="1260"/>
      <c r="D3" s="1261"/>
      <c r="E3" s="231" t="s">
        <v>170</v>
      </c>
      <c r="F3" s="232" t="s">
        <v>21</v>
      </c>
      <c r="G3" s="233" t="s">
        <v>18</v>
      </c>
      <c r="H3" s="234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179</v>
      </c>
      <c r="B4" s="34"/>
      <c r="C4" s="34"/>
      <c r="D4" s="34"/>
      <c r="E4" s="237" t="s">
        <v>490</v>
      </c>
      <c r="F4" s="35"/>
      <c r="G4" s="238">
        <v>39293</v>
      </c>
      <c r="H4" s="36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3.5">
      <c r="A5" s="200" t="s">
        <v>0</v>
      </c>
      <c r="B5" s="188" t="s">
        <v>194</v>
      </c>
      <c r="C5" s="189" t="s">
        <v>21</v>
      </c>
      <c r="D5" s="186" t="s">
        <v>0</v>
      </c>
      <c r="E5" s="187"/>
      <c r="F5" s="188" t="s">
        <v>194</v>
      </c>
      <c r="G5" s="201" t="s">
        <v>21</v>
      </c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180</v>
      </c>
      <c r="B6" s="228" t="s">
        <v>181</v>
      </c>
      <c r="C6" s="191"/>
      <c r="D6" s="194"/>
      <c r="E6" s="195"/>
      <c r="F6" s="191"/>
      <c r="G6" s="203"/>
      <c r="H6" s="25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182</v>
      </c>
      <c r="B7" s="229" t="s">
        <v>183</v>
      </c>
      <c r="C7" s="192"/>
      <c r="D7" s="196"/>
      <c r="E7" s="197"/>
      <c r="F7" s="192"/>
      <c r="G7" s="185"/>
      <c r="H7" s="25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184</v>
      </c>
      <c r="B8" s="229" t="s">
        <v>185</v>
      </c>
      <c r="C8" s="192"/>
      <c r="D8" s="196"/>
      <c r="E8" s="197"/>
      <c r="F8" s="192"/>
      <c r="G8" s="185"/>
      <c r="H8" s="25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/>
      <c r="B9" s="229"/>
      <c r="C9" s="192"/>
      <c r="D9" s="196"/>
      <c r="E9" s="197"/>
      <c r="F9" s="192"/>
      <c r="G9" s="185"/>
      <c r="H9" s="25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/>
      <c r="B10" s="230"/>
      <c r="C10" s="193"/>
      <c r="D10" s="198"/>
      <c r="E10" s="199"/>
      <c r="F10" s="193"/>
      <c r="G10" s="206"/>
      <c r="H10" s="25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253"/>
      <c r="B11" s="1254"/>
      <c r="C11" s="1254"/>
      <c r="D11" s="1254"/>
      <c r="E11" s="190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255"/>
      <c r="B12" s="1255"/>
      <c r="C12" s="1255"/>
      <c r="D12" s="1256"/>
      <c r="E12" s="1255"/>
      <c r="F12" s="1256"/>
      <c r="G12" s="1256"/>
      <c r="H12"/>
      <c r="I12"/>
      <c r="J12"/>
      <c r="K12"/>
      <c r="L12"/>
      <c r="M12"/>
      <c r="N12"/>
      <c r="O12"/>
      <c r="P12"/>
      <c r="Q12"/>
      <c r="R12"/>
      <c r="S12"/>
    </row>
    <row r="13" spans="1:19" ht="13.5">
      <c r="A13" s="1244" t="s">
        <v>1</v>
      </c>
      <c r="B13" s="1245"/>
      <c r="C13" s="1245"/>
      <c r="D13" s="1246"/>
      <c r="E13" s="1246"/>
      <c r="F13" s="1246"/>
      <c r="G13" s="1247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217"/>
      <c r="B14" s="1218"/>
      <c r="C14" s="1218"/>
      <c r="D14" s="1188"/>
      <c r="E14" s="1188"/>
      <c r="F14" s="1188"/>
      <c r="G14" s="1219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217"/>
      <c r="B15" s="1218"/>
      <c r="C15" s="1218"/>
      <c r="D15" s="1188"/>
      <c r="E15" s="1188"/>
      <c r="F15" s="1188"/>
      <c r="G15" s="1219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220"/>
      <c r="B16" s="1188"/>
      <c r="C16" s="1188"/>
      <c r="D16" s="1188"/>
      <c r="E16" s="1188"/>
      <c r="F16" s="1188"/>
      <c r="G16" s="1219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220"/>
      <c r="B17" s="1188"/>
      <c r="C17" s="1188"/>
      <c r="D17" s="1188"/>
      <c r="E17" s="1188"/>
      <c r="F17" s="1188"/>
      <c r="G17" s="1219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248"/>
      <c r="B18" s="1192"/>
      <c r="C18" s="1192"/>
      <c r="D18" s="1192"/>
      <c r="E18" s="1192"/>
      <c r="F18" s="1192"/>
      <c r="G18" s="1249"/>
      <c r="H18"/>
      <c r="I18"/>
      <c r="J18"/>
      <c r="K18"/>
      <c r="L18"/>
      <c r="M18"/>
      <c r="N18"/>
      <c r="O18"/>
      <c r="P18"/>
      <c r="Q18"/>
      <c r="R18"/>
      <c r="S18"/>
    </row>
    <row r="19" spans="1:19" ht="13.5">
      <c r="A19" s="1213" t="s">
        <v>2</v>
      </c>
      <c r="B19" s="1214"/>
      <c r="C19" s="1214"/>
      <c r="D19" s="1215"/>
      <c r="E19" s="1215"/>
      <c r="F19" s="1215"/>
      <c r="G19" s="1216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217"/>
      <c r="B20" s="1218"/>
      <c r="C20" s="1218"/>
      <c r="D20" s="1188"/>
      <c r="E20" s="1188"/>
      <c r="F20" s="1188"/>
      <c r="G20" s="1219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217"/>
      <c r="B21" s="1218"/>
      <c r="C21" s="1218"/>
      <c r="D21" s="1188"/>
      <c r="E21" s="1188"/>
      <c r="F21" s="1188"/>
      <c r="G21" s="1219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217"/>
      <c r="B22" s="1218"/>
      <c r="C22" s="1218"/>
      <c r="D22" s="1188"/>
      <c r="E22" s="1188"/>
      <c r="F22" s="1188"/>
      <c r="G22" s="1219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220"/>
      <c r="B23" s="1188"/>
      <c r="C23" s="1188"/>
      <c r="D23" s="1188"/>
      <c r="E23" s="1188"/>
      <c r="F23" s="1188"/>
      <c r="G23" s="1219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220"/>
      <c r="B24" s="1188"/>
      <c r="C24" s="1188"/>
      <c r="D24" s="1188"/>
      <c r="E24" s="1188"/>
      <c r="F24" s="1188"/>
      <c r="G24" s="1219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248"/>
      <c r="B25" s="1192"/>
      <c r="C25" s="1192"/>
      <c r="D25" s="1192"/>
      <c r="E25" s="1192"/>
      <c r="F25" s="1192"/>
      <c r="G25" s="1249"/>
      <c r="H25"/>
      <c r="I25"/>
      <c r="J25"/>
      <c r="K25"/>
      <c r="L25"/>
      <c r="M25"/>
      <c r="N25"/>
      <c r="O25"/>
      <c r="P25"/>
      <c r="Q25"/>
      <c r="R25"/>
      <c r="S25"/>
    </row>
    <row r="26" spans="1:19" ht="13.5">
      <c r="A26" s="1213" t="s">
        <v>16</v>
      </c>
      <c r="B26" s="1214"/>
      <c r="C26" s="1214"/>
      <c r="D26" s="1215"/>
      <c r="E26" s="1215"/>
      <c r="F26" s="1215"/>
      <c r="G26" s="121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1217"/>
      <c r="B27" s="1218"/>
      <c r="C27" s="1218"/>
      <c r="D27" s="1188"/>
      <c r="E27" s="1188"/>
      <c r="F27" s="1188"/>
      <c r="G27" s="1219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217"/>
      <c r="B28" s="1218"/>
      <c r="C28" s="1218"/>
      <c r="D28" s="1188"/>
      <c r="E28" s="1188"/>
      <c r="F28" s="1188"/>
      <c r="G28" s="121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1217"/>
      <c r="B29" s="1218"/>
      <c r="C29" s="1218"/>
      <c r="D29" s="1188"/>
      <c r="E29" s="1188"/>
      <c r="F29" s="1188"/>
      <c r="G29" s="1219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1220"/>
      <c r="B30" s="1188"/>
      <c r="C30" s="1188"/>
      <c r="D30" s="1188"/>
      <c r="E30" s="1188"/>
      <c r="F30" s="1188"/>
      <c r="G30" s="1219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1220"/>
      <c r="B31" s="1188"/>
      <c r="C31" s="1188"/>
      <c r="D31" s="1188"/>
      <c r="E31" s="1188"/>
      <c r="F31" s="1188"/>
      <c r="G31" s="1219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>
      <c r="A32" s="1221"/>
      <c r="B32" s="1222"/>
      <c r="C32" s="1222"/>
      <c r="D32" s="1222"/>
      <c r="E32" s="1222"/>
      <c r="F32" s="1222"/>
      <c r="G32" s="122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6.75" customHeight="1" thickBot="1">
      <c r="A33" s="42"/>
      <c r="B33" s="42"/>
      <c r="C33" s="42"/>
      <c r="D33" s="42"/>
      <c r="E33" s="42"/>
      <c r="F33" s="42"/>
      <c r="G33" s="4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.75" customHeight="1" thickBot="1">
      <c r="A34" s="1224" t="s">
        <v>248</v>
      </c>
      <c r="B34" s="1225"/>
      <c r="C34" s="1225"/>
      <c r="D34" s="1257"/>
      <c r="E34" s="1257"/>
      <c r="F34" s="1257"/>
      <c r="G34" s="1258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45" t="s">
        <v>20</v>
      </c>
      <c r="B35" s="45" t="s">
        <v>192</v>
      </c>
      <c r="C35" s="45" t="s">
        <v>96</v>
      </c>
      <c r="D35" s="46" t="s">
        <v>492</v>
      </c>
      <c r="E35" s="46" t="s">
        <v>493</v>
      </c>
      <c r="F35" s="46" t="s">
        <v>499</v>
      </c>
      <c r="G35" s="47" t="s">
        <v>293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48"/>
      <c r="B36" s="221"/>
      <c r="C36" s="222"/>
      <c r="D36" s="49"/>
      <c r="E36" s="50"/>
      <c r="F36" s="51"/>
      <c r="G36" s="52"/>
      <c r="H36" s="25"/>
      <c r="I36" s="25"/>
      <c r="J36" s="25"/>
      <c r="K36" s="25" t="s">
        <v>51</v>
      </c>
      <c r="L36" s="25" t="s">
        <v>52</v>
      </c>
      <c r="M36" s="25" t="s">
        <v>56</v>
      </c>
      <c r="N36" s="25" t="s">
        <v>57</v>
      </c>
      <c r="O36" s="53" t="s">
        <v>53</v>
      </c>
      <c r="P36" s="25" t="s">
        <v>54</v>
      </c>
      <c r="Q36" s="25" t="s">
        <v>55</v>
      </c>
      <c r="R36" s="25"/>
      <c r="S36" s="25"/>
    </row>
    <row r="37" spans="1:19" ht="12.75">
      <c r="A37" s="25"/>
      <c r="B37" s="221"/>
      <c r="C37" s="222"/>
      <c r="D37" s="53"/>
      <c r="E37" s="50"/>
      <c r="F37" s="51"/>
      <c r="G37" s="52"/>
      <c r="H37" s="25"/>
      <c r="I37" s="25"/>
      <c r="J37" s="25"/>
      <c r="K37" s="25" t="s">
        <v>146</v>
      </c>
      <c r="L37" s="25" t="s">
        <v>46</v>
      </c>
      <c r="M37" s="25" t="s">
        <v>147</v>
      </c>
      <c r="N37" s="53">
        <v>39276</v>
      </c>
      <c r="O37" s="223">
        <v>3</v>
      </c>
      <c r="P37" s="25">
        <v>1803</v>
      </c>
      <c r="Q37" s="25" t="s">
        <v>148</v>
      </c>
      <c r="R37" s="25"/>
      <c r="S37" s="25"/>
    </row>
    <row r="38" spans="1:19" ht="12.75">
      <c r="A38" s="25"/>
      <c r="B38" s="221"/>
      <c r="C38" s="222"/>
      <c r="D38" s="53"/>
      <c r="E38" s="50"/>
      <c r="F38" s="51"/>
      <c r="G38" s="52"/>
      <c r="H38" s="25"/>
      <c r="I38" s="25"/>
      <c r="J38" s="25"/>
      <c r="K38" s="25" t="s">
        <v>149</v>
      </c>
      <c r="L38" s="25" t="s">
        <v>42</v>
      </c>
      <c r="M38" s="25"/>
      <c r="N38" s="53">
        <v>39331</v>
      </c>
      <c r="O38" s="223">
        <v>3</v>
      </c>
      <c r="P38" s="25">
        <v>3101</v>
      </c>
      <c r="Q38" s="25" t="s">
        <v>150</v>
      </c>
      <c r="R38" s="25"/>
      <c r="S38" s="25"/>
    </row>
    <row r="39" spans="1:19" ht="12.75">
      <c r="A39" s="224"/>
      <c r="B39" s="225"/>
      <c r="C39" s="226"/>
      <c r="D39" s="227"/>
      <c r="E39" s="56"/>
      <c r="F39" s="57"/>
      <c r="G39" s="58"/>
      <c r="H39" s="25"/>
      <c r="I39" s="25"/>
      <c r="J39" s="25"/>
      <c r="K39" s="25" t="s">
        <v>151</v>
      </c>
      <c r="L39" s="25" t="s">
        <v>44</v>
      </c>
      <c r="N39" s="53">
        <v>39345</v>
      </c>
      <c r="O39" s="223">
        <v>2</v>
      </c>
      <c r="P39" s="25">
        <v>1431</v>
      </c>
      <c r="Q39" s="25" t="s">
        <v>152</v>
      </c>
      <c r="R39" s="25"/>
      <c r="S39" s="25"/>
    </row>
    <row r="40" spans="1:19" ht="12.75">
      <c r="A40" s="25"/>
      <c r="B40" s="221"/>
      <c r="C40" s="222"/>
      <c r="D40" s="53"/>
      <c r="E40" s="50"/>
      <c r="F40" s="51"/>
      <c r="G40" s="52"/>
      <c r="H40" s="25"/>
      <c r="I40" s="25"/>
      <c r="J40" s="25"/>
      <c r="K40" s="25" t="s">
        <v>153</v>
      </c>
      <c r="L40" s="25" t="s">
        <v>154</v>
      </c>
      <c r="M40" s="25"/>
      <c r="N40" s="53">
        <v>39407</v>
      </c>
      <c r="O40" s="223">
        <v>3</v>
      </c>
      <c r="P40" s="25">
        <v>1803</v>
      </c>
      <c r="Q40" s="25" t="s">
        <v>148</v>
      </c>
      <c r="R40" s="25"/>
      <c r="S40" s="25"/>
    </row>
    <row r="41" spans="1:19" ht="12.75">
      <c r="A41" s="25"/>
      <c r="B41" s="221"/>
      <c r="C41" s="222"/>
      <c r="D41" s="53"/>
      <c r="E41" s="50"/>
      <c r="F41" s="51"/>
      <c r="G41" s="52"/>
      <c r="H41" s="25"/>
      <c r="I41" s="25"/>
      <c r="J41" s="25"/>
      <c r="K41" s="25" t="s">
        <v>155</v>
      </c>
      <c r="L41" s="25" t="s">
        <v>32</v>
      </c>
      <c r="M41" s="53">
        <v>39479</v>
      </c>
      <c r="N41" s="53">
        <v>39484</v>
      </c>
      <c r="O41" s="223">
        <v>3</v>
      </c>
      <c r="P41" s="25">
        <v>1810</v>
      </c>
      <c r="Q41" s="25" t="s">
        <v>156</v>
      </c>
      <c r="R41" s="25"/>
      <c r="S41" s="25"/>
    </row>
    <row r="42" spans="1:19" ht="12.75">
      <c r="A42" s="54"/>
      <c r="B42" s="221"/>
      <c r="C42" s="222"/>
      <c r="D42" s="55"/>
      <c r="E42" s="56"/>
      <c r="F42" s="57"/>
      <c r="G42" s="58"/>
      <c r="H42" s="25"/>
      <c r="I42" s="25"/>
      <c r="J42" s="25"/>
      <c r="K42" s="25"/>
      <c r="L42" s="25"/>
      <c r="M42" s="25"/>
      <c r="N42" s="25"/>
      <c r="O42" s="53"/>
      <c r="P42" s="25"/>
      <c r="Q42" s="25"/>
      <c r="R42" s="25"/>
      <c r="S42" s="59"/>
    </row>
    <row r="43" spans="1:19" ht="12.75">
      <c r="A43" s="48"/>
      <c r="B43" s="221"/>
      <c r="C43" s="222"/>
      <c r="D43" s="49"/>
      <c r="E43" s="50"/>
      <c r="F43" s="51"/>
      <c r="G43" s="52"/>
      <c r="H43" s="25"/>
      <c r="I43" s="25"/>
      <c r="J43" s="25"/>
      <c r="K43" s="25"/>
      <c r="L43" s="25"/>
      <c r="M43" s="25"/>
      <c r="N43" s="25"/>
      <c r="O43" s="53"/>
      <c r="P43" s="25"/>
      <c r="Q43" s="25"/>
      <c r="R43" s="25"/>
      <c r="S43" s="25"/>
    </row>
    <row r="44" spans="1:19" ht="12.75">
      <c r="A44" s="48"/>
      <c r="B44" s="221"/>
      <c r="C44" s="222"/>
      <c r="D44" s="49"/>
      <c r="E44" s="50"/>
      <c r="F44" s="51"/>
      <c r="G44" s="52"/>
      <c r="H44" s="25"/>
      <c r="I44" s="25"/>
      <c r="J44" s="25"/>
      <c r="K44" s="25"/>
      <c r="L44" s="25"/>
      <c r="M44" s="25"/>
      <c r="N44" s="53"/>
      <c r="O44" s="53"/>
      <c r="P44" s="25"/>
      <c r="Q44" s="25"/>
      <c r="R44" s="25"/>
      <c r="S44" s="25"/>
    </row>
    <row r="45" spans="1:19" ht="12.75">
      <c r="A45" s="48"/>
      <c r="B45" s="221"/>
      <c r="C45" s="222"/>
      <c r="D45" s="49"/>
      <c r="E45" s="50"/>
      <c r="F45" s="51"/>
      <c r="G45" s="52"/>
      <c r="H45" s="25"/>
      <c r="I45" s="25"/>
      <c r="J45" s="25"/>
      <c r="K45" s="25"/>
      <c r="L45" s="25"/>
      <c r="M45" s="25"/>
      <c r="N45" s="53"/>
      <c r="O45" s="53"/>
      <c r="P45" s="25"/>
      <c r="Q45" s="25"/>
      <c r="R45" s="25"/>
      <c r="S45" s="25"/>
    </row>
    <row r="46" spans="1:19" ht="12.75">
      <c r="A46" s="54"/>
      <c r="B46" s="221"/>
      <c r="C46" s="222"/>
      <c r="D46" s="55"/>
      <c r="E46" s="56"/>
      <c r="F46" s="57"/>
      <c r="G46" s="58"/>
      <c r="H46" s="25"/>
      <c r="I46" s="25"/>
      <c r="J46" s="25"/>
      <c r="K46" s="25"/>
      <c r="L46" s="25"/>
      <c r="M46" s="25"/>
      <c r="N46" s="25"/>
      <c r="O46" s="53"/>
      <c r="P46" s="25"/>
      <c r="Q46" s="25"/>
      <c r="R46" s="25"/>
      <c r="S46" s="59"/>
    </row>
    <row r="47" spans="1:19" ht="12.75">
      <c r="A47" s="48"/>
      <c r="B47" s="221"/>
      <c r="C47" s="222"/>
      <c r="D47" s="49"/>
      <c r="E47" s="50"/>
      <c r="F47" s="51"/>
      <c r="G47" s="52"/>
      <c r="H47" s="25"/>
      <c r="I47" s="25"/>
      <c r="J47" s="25"/>
      <c r="K47" s="25"/>
      <c r="L47" s="25"/>
      <c r="M47" s="25"/>
      <c r="N47" s="25"/>
      <c r="O47" s="53"/>
      <c r="P47" s="25"/>
      <c r="Q47" s="25"/>
      <c r="R47" s="25"/>
      <c r="S47" s="25"/>
    </row>
    <row r="48" spans="1:19" ht="12.75">
      <c r="A48" s="48"/>
      <c r="B48" s="221"/>
      <c r="C48" s="222"/>
      <c r="D48" s="49"/>
      <c r="E48" s="50"/>
      <c r="F48" s="51"/>
      <c r="G48" s="52"/>
      <c r="H48" s="25"/>
      <c r="I48" s="25"/>
      <c r="J48" s="25"/>
      <c r="K48" s="25"/>
      <c r="L48" s="25"/>
      <c r="M48" s="25"/>
      <c r="N48" s="53"/>
      <c r="O48" s="53"/>
      <c r="P48" s="25"/>
      <c r="Q48" s="25"/>
      <c r="R48" s="25"/>
      <c r="S48" s="25"/>
    </row>
    <row r="49" spans="1:19" ht="12.75">
      <c r="A49" s="48"/>
      <c r="B49" s="221"/>
      <c r="C49" s="222"/>
      <c r="D49" s="49"/>
      <c r="E49" s="50"/>
      <c r="F49" s="51"/>
      <c r="G49" s="52"/>
      <c r="H49" s="25"/>
      <c r="I49" s="25"/>
      <c r="J49" s="25"/>
      <c r="K49" s="25"/>
      <c r="L49" s="25"/>
      <c r="M49" s="25"/>
      <c r="N49" s="25"/>
      <c r="O49" s="53"/>
      <c r="P49" s="25"/>
      <c r="Q49" s="25"/>
      <c r="R49" s="25"/>
      <c r="S49" s="25"/>
    </row>
    <row r="50" spans="1:19" ht="12.75">
      <c r="A50" s="48"/>
      <c r="B50" s="221"/>
      <c r="C50" s="222"/>
      <c r="D50" s="49"/>
      <c r="E50" s="50"/>
      <c r="F50" s="51"/>
      <c r="G50" s="52"/>
      <c r="H50" s="25"/>
      <c r="I50" s="25"/>
      <c r="J50" s="25"/>
      <c r="K50" s="25"/>
      <c r="L50" s="25"/>
      <c r="M50" s="25"/>
      <c r="N50" s="53"/>
      <c r="O50" s="53"/>
      <c r="P50" s="25"/>
      <c r="Q50" s="25"/>
      <c r="R50" s="25"/>
      <c r="S50" s="25"/>
    </row>
    <row r="51" spans="1:19" ht="12.75">
      <c r="A51" s="54"/>
      <c r="B51" s="221"/>
      <c r="C51" s="222"/>
      <c r="D51" s="55"/>
      <c r="E51" s="56"/>
      <c r="F51" s="57"/>
      <c r="G51" s="58"/>
      <c r="H51" s="25"/>
      <c r="I51" s="25"/>
      <c r="J51" s="25"/>
      <c r="K51" s="25"/>
      <c r="L51" s="25"/>
      <c r="M51" s="25"/>
      <c r="N51" s="25"/>
      <c r="O51" s="53"/>
      <c r="P51" s="25"/>
      <c r="Q51" s="25"/>
      <c r="R51" s="25"/>
      <c r="S51" s="59"/>
    </row>
    <row r="52" spans="1:19" ht="12.75">
      <c r="A52" s="48"/>
      <c r="B52" s="221"/>
      <c r="C52" s="222"/>
      <c r="D52" s="49"/>
      <c r="E52" s="60"/>
      <c r="F52" s="51"/>
      <c r="G52" s="52"/>
      <c r="H52" s="25"/>
      <c r="I52" s="25"/>
      <c r="J52" s="25"/>
      <c r="K52" s="25"/>
      <c r="L52" s="25"/>
      <c r="M52" s="25"/>
      <c r="N52" s="53"/>
      <c r="O52" s="53"/>
      <c r="P52" s="25"/>
      <c r="Q52" s="25"/>
      <c r="R52" s="25"/>
      <c r="S52" s="25"/>
    </row>
    <row r="53" spans="1:19" ht="12.75">
      <c r="A53" s="48"/>
      <c r="B53" s="221"/>
      <c r="C53" s="222"/>
      <c r="D53" s="49"/>
      <c r="E53" s="50"/>
      <c r="F53" s="51"/>
      <c r="G53" s="52"/>
      <c r="H53" s="25"/>
      <c r="I53" s="25"/>
      <c r="J53" s="25"/>
      <c r="K53" s="25"/>
      <c r="L53" s="25"/>
      <c r="M53" s="25"/>
      <c r="N53" s="25"/>
      <c r="O53" s="53"/>
      <c r="P53" s="25"/>
      <c r="Q53" s="25"/>
      <c r="R53" s="25"/>
      <c r="S53" s="25"/>
    </row>
    <row r="54" spans="1:19" ht="12.75">
      <c r="A54" s="54"/>
      <c r="B54" s="221"/>
      <c r="C54" s="222"/>
      <c r="D54" s="55"/>
      <c r="E54" s="56"/>
      <c r="F54" s="57"/>
      <c r="G54" s="58"/>
      <c r="H54" s="25"/>
      <c r="I54" s="25"/>
      <c r="J54" s="25"/>
      <c r="K54" s="25"/>
      <c r="L54" s="25"/>
      <c r="M54" s="25"/>
      <c r="N54" s="25"/>
      <c r="O54" s="53"/>
      <c r="P54" s="25"/>
      <c r="Q54" s="25"/>
      <c r="R54" s="25"/>
      <c r="S54" s="59"/>
    </row>
    <row r="55" spans="1:19" ht="13.5" thickBot="1">
      <c r="A55" s="61"/>
      <c r="B55" s="62"/>
      <c r="C55" s="62"/>
      <c r="D55" s="63"/>
      <c r="E55" s="63"/>
      <c r="F55" s="64"/>
      <c r="G55" s="6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4.5" customHeight="1" thickBot="1">
      <c r="A56" s="38"/>
      <c r="B56" s="38"/>
      <c r="C56" s="38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3.5">
      <c r="A57" s="66"/>
      <c r="B57" s="67"/>
      <c r="C57" s="67"/>
      <c r="D57" s="68" t="s">
        <v>496</v>
      </c>
      <c r="E57" s="69"/>
      <c r="F57" s="69"/>
      <c r="G57" s="70"/>
      <c r="H57" s="71"/>
      <c r="I57" s="71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1228"/>
      <c r="B58" s="1229"/>
      <c r="C58" s="1229"/>
      <c r="D58" s="1230"/>
      <c r="E58" s="207"/>
      <c r="F58" s="72" t="s">
        <v>494</v>
      </c>
      <c r="G58" s="72" t="s">
        <v>495</v>
      </c>
      <c r="H58" s="71"/>
      <c r="I58" s="71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3.5">
      <c r="A59" s="1231"/>
      <c r="B59" s="1232"/>
      <c r="C59" s="1232"/>
      <c r="D59" s="1233"/>
      <c r="E59" s="73" t="s">
        <v>6</v>
      </c>
      <c r="F59" s="183">
        <f>SUM(Summary!E6)</f>
        <v>-95</v>
      </c>
      <c r="G59" s="208">
        <f>SUM(Summary!H6)</f>
        <v>1</v>
      </c>
      <c r="H59" s="71"/>
      <c r="I59" s="71"/>
      <c r="J59"/>
      <c r="K59"/>
      <c r="L59"/>
      <c r="M59"/>
      <c r="N59"/>
      <c r="O59"/>
      <c r="P59"/>
      <c r="Q59"/>
      <c r="R59"/>
      <c r="S59"/>
    </row>
    <row r="60" spans="1:19" ht="13.5">
      <c r="A60" s="1231"/>
      <c r="B60" s="1232"/>
      <c r="C60" s="1232"/>
      <c r="D60" s="1233"/>
      <c r="E60" s="73" t="s">
        <v>7</v>
      </c>
      <c r="F60" s="183"/>
      <c r="G60" s="208"/>
      <c r="H60" s="71"/>
      <c r="I60" s="71"/>
      <c r="J60"/>
      <c r="K60"/>
      <c r="L60"/>
      <c r="M60"/>
      <c r="N60"/>
      <c r="O60"/>
      <c r="P60"/>
      <c r="Q60"/>
      <c r="R60"/>
      <c r="S60"/>
    </row>
    <row r="61" spans="1:19" ht="13.5">
      <c r="A61" s="1231"/>
      <c r="B61" s="1232"/>
      <c r="C61" s="1232"/>
      <c r="D61" s="1233"/>
      <c r="E61" s="73" t="s">
        <v>8</v>
      </c>
      <c r="F61" s="183"/>
      <c r="G61" s="208"/>
      <c r="H61" s="71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231"/>
      <c r="B62" s="1232"/>
      <c r="C62" s="1232"/>
      <c r="D62" s="1233"/>
      <c r="E62" s="73" t="s">
        <v>9</v>
      </c>
      <c r="F62" s="74"/>
      <c r="G62" s="209"/>
      <c r="H62" s="71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231"/>
      <c r="B63" s="1232"/>
      <c r="C63" s="1232"/>
      <c r="D63" s="1233"/>
      <c r="E63" s="73" t="s">
        <v>10</v>
      </c>
      <c r="F63" s="74"/>
      <c r="G63" s="209"/>
      <c r="H63" s="71"/>
      <c r="I63" s="71"/>
      <c r="J63"/>
      <c r="K63"/>
      <c r="L63"/>
      <c r="M63"/>
      <c r="N63"/>
      <c r="O63"/>
      <c r="P63"/>
      <c r="Q63"/>
      <c r="R63"/>
      <c r="S63"/>
    </row>
    <row r="64" spans="1:19" ht="12.75">
      <c r="A64" s="1231"/>
      <c r="B64" s="1232"/>
      <c r="C64" s="1232"/>
      <c r="D64" s="1233"/>
      <c r="E64" s="73" t="s">
        <v>11</v>
      </c>
      <c r="F64" s="74"/>
      <c r="G64" s="209"/>
      <c r="H64" s="71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231"/>
      <c r="B65" s="1232"/>
      <c r="C65" s="1232"/>
      <c r="D65" s="1233"/>
      <c r="E65" s="73" t="s">
        <v>12</v>
      </c>
      <c r="F65" s="74"/>
      <c r="G65" s="209"/>
      <c r="H65" s="71"/>
      <c r="I65" s="71"/>
      <c r="J65"/>
      <c r="K65"/>
      <c r="L65"/>
      <c r="M65"/>
      <c r="N65"/>
      <c r="O65"/>
      <c r="P65"/>
      <c r="Q65"/>
      <c r="R65"/>
      <c r="S65"/>
    </row>
    <row r="66" spans="1:19" ht="13.5">
      <c r="A66" s="1231"/>
      <c r="B66" s="1232"/>
      <c r="C66" s="1232"/>
      <c r="D66" s="1233"/>
      <c r="E66" s="73" t="s">
        <v>4</v>
      </c>
      <c r="F66" s="183">
        <f>SUM(Summary!A6)</f>
        <v>5081.65</v>
      </c>
      <c r="G66" s="210"/>
      <c r="H66" s="71"/>
      <c r="I66" s="71"/>
      <c r="J66"/>
      <c r="K66"/>
      <c r="L66"/>
      <c r="M66"/>
      <c r="N66"/>
      <c r="O66"/>
      <c r="P66"/>
      <c r="Q66"/>
      <c r="R66"/>
      <c r="S66"/>
    </row>
    <row r="67" spans="1:19" ht="13.5">
      <c r="A67" s="1231"/>
      <c r="B67" s="1232"/>
      <c r="C67" s="1232"/>
      <c r="D67" s="1233"/>
      <c r="E67" s="73" t="s">
        <v>5</v>
      </c>
      <c r="F67" s="184"/>
      <c r="G67" s="210"/>
      <c r="H67" s="71"/>
      <c r="I67" s="71"/>
      <c r="J67"/>
      <c r="K67"/>
      <c r="L67"/>
      <c r="M67"/>
      <c r="N67"/>
      <c r="O67"/>
      <c r="P67"/>
      <c r="Q67"/>
      <c r="R67"/>
      <c r="S67"/>
    </row>
    <row r="68" spans="1:19" ht="12.75">
      <c r="A68" s="1231"/>
      <c r="B68" s="1232"/>
      <c r="C68" s="1232"/>
      <c r="D68" s="1233"/>
      <c r="E68" s="211" t="s">
        <v>3</v>
      </c>
      <c r="F68" s="212"/>
      <c r="G68" s="213"/>
      <c r="H68" s="71"/>
      <c r="I68" s="71"/>
      <c r="J68"/>
      <c r="K68"/>
      <c r="L68"/>
      <c r="M68"/>
      <c r="N68"/>
      <c r="O68"/>
      <c r="P68"/>
      <c r="Q68"/>
      <c r="R68"/>
      <c r="S68"/>
    </row>
    <row r="69" spans="1:19" ht="12.75">
      <c r="A69" s="1231"/>
      <c r="B69" s="1232"/>
      <c r="C69" s="1232"/>
      <c r="D69" s="1233"/>
      <c r="E69" s="75" t="s">
        <v>13</v>
      </c>
      <c r="F69" s="1237"/>
      <c r="G69" s="1238"/>
      <c r="H69" s="71"/>
      <c r="I69" s="71"/>
      <c r="J69"/>
      <c r="K69"/>
      <c r="L69"/>
      <c r="M69"/>
      <c r="N69"/>
      <c r="O69"/>
      <c r="P69"/>
      <c r="Q69"/>
      <c r="R69"/>
      <c r="S69"/>
    </row>
    <row r="70" spans="1:19" ht="12.75">
      <c r="A70" s="1231"/>
      <c r="B70" s="1232"/>
      <c r="C70" s="1232"/>
      <c r="D70" s="1233"/>
      <c r="E70" s="1239"/>
      <c r="F70" s="1206"/>
      <c r="G70" s="1240"/>
      <c r="H70" s="71"/>
      <c r="I70" s="71"/>
      <c r="J70"/>
      <c r="K70"/>
      <c r="L70"/>
      <c r="M70"/>
      <c r="N70"/>
      <c r="O70"/>
      <c r="P70"/>
      <c r="Q70"/>
      <c r="R70"/>
      <c r="S70"/>
    </row>
    <row r="71" spans="1:19" ht="12.75">
      <c r="A71" s="1234"/>
      <c r="B71" s="1235"/>
      <c r="C71" s="1235"/>
      <c r="D71" s="1236"/>
      <c r="E71" s="1241"/>
      <c r="F71" s="1242"/>
      <c r="G71" s="1243"/>
      <c r="H71" s="71"/>
      <c r="I71" s="71"/>
      <c r="J71"/>
      <c r="K71"/>
      <c r="L71"/>
      <c r="M71"/>
      <c r="N71"/>
      <c r="O71"/>
      <c r="P71"/>
      <c r="Q71"/>
      <c r="R71"/>
      <c r="S71"/>
    </row>
    <row r="72" spans="1:19" ht="12.75">
      <c r="A72" s="1194" t="s">
        <v>497</v>
      </c>
      <c r="B72" s="1195"/>
      <c r="C72" s="1195"/>
      <c r="D72" s="1196"/>
      <c r="E72" s="1196"/>
      <c r="F72" s="1196"/>
      <c r="G72" s="1197"/>
      <c r="H72" s="71"/>
      <c r="I72" s="25"/>
      <c r="J72"/>
      <c r="K72"/>
      <c r="L72"/>
      <c r="M72"/>
      <c r="N72"/>
      <c r="O72"/>
      <c r="P72"/>
      <c r="Q72"/>
      <c r="R72"/>
      <c r="S72"/>
    </row>
    <row r="73" spans="1:19" ht="12.75">
      <c r="A73" s="1198" t="s">
        <v>22</v>
      </c>
      <c r="B73" s="1199"/>
      <c r="C73" s="1199"/>
      <c r="D73" s="1200"/>
      <c r="E73" s="76" t="s">
        <v>23</v>
      </c>
      <c r="F73" s="77"/>
      <c r="G73" s="78"/>
      <c r="H73" s="25"/>
      <c r="I73" s="25"/>
      <c r="J73"/>
      <c r="K73"/>
      <c r="L73"/>
      <c r="M73"/>
      <c r="N73"/>
      <c r="O73"/>
      <c r="P73"/>
      <c r="Q73"/>
      <c r="R73"/>
      <c r="S73"/>
    </row>
    <row r="74" spans="1:19" ht="12.75">
      <c r="A74" s="1201"/>
      <c r="B74" s="1202"/>
      <c r="C74" s="1202"/>
      <c r="D74" s="1203"/>
      <c r="E74" s="1202"/>
      <c r="F74" s="1203"/>
      <c r="G74" s="1210"/>
      <c r="H74" s="25"/>
      <c r="I74" s="25"/>
      <c r="J74"/>
      <c r="K74"/>
      <c r="L74"/>
      <c r="M74"/>
      <c r="N74"/>
      <c r="O74"/>
      <c r="P74"/>
      <c r="Q74"/>
      <c r="R74"/>
      <c r="S74"/>
    </row>
    <row r="75" spans="1:19" ht="12.75">
      <c r="A75" s="1207"/>
      <c r="B75" s="1206"/>
      <c r="C75" s="1206"/>
      <c r="D75" s="1206"/>
      <c r="E75" s="1206"/>
      <c r="F75" s="1206"/>
      <c r="G75" s="1211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1207"/>
      <c r="B76" s="1206"/>
      <c r="C76" s="1206"/>
      <c r="D76" s="1206"/>
      <c r="E76" s="1206"/>
      <c r="F76" s="1206"/>
      <c r="G76" s="1211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3.5" thickBot="1">
      <c r="A77" s="1208"/>
      <c r="B77" s="1209"/>
      <c r="C77" s="1209"/>
      <c r="D77" s="1209"/>
      <c r="E77" s="1209"/>
      <c r="F77" s="1209"/>
      <c r="G77" s="1212"/>
      <c r="H77" s="71"/>
      <c r="I77"/>
      <c r="J77"/>
      <c r="K77"/>
      <c r="L77"/>
      <c r="M77"/>
      <c r="N77"/>
      <c r="O77"/>
      <c r="P77"/>
      <c r="Q77"/>
      <c r="R77"/>
      <c r="S77"/>
    </row>
    <row r="78" spans="1:19" ht="4.5" customHeight="1" thickBot="1">
      <c r="A78" s="42"/>
      <c r="B78" s="42"/>
      <c r="C78" s="42"/>
      <c r="D78" s="42"/>
      <c r="E78" s="42"/>
      <c r="F78" s="42"/>
      <c r="G78" s="42"/>
      <c r="H78" s="71"/>
      <c r="I78"/>
      <c r="J78"/>
      <c r="K78"/>
      <c r="L78"/>
      <c r="M78"/>
      <c r="N78"/>
      <c r="O78"/>
      <c r="P78"/>
      <c r="Q78"/>
      <c r="R78"/>
      <c r="S78"/>
    </row>
    <row r="79" spans="1:19" ht="13.5">
      <c r="A79" s="79" t="s">
        <v>15</v>
      </c>
      <c r="B79" s="80"/>
      <c r="C79" s="80"/>
      <c r="D79" s="81"/>
      <c r="E79" s="82"/>
      <c r="F79" s="83"/>
      <c r="G79" s="84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214" t="s">
        <v>498</v>
      </c>
      <c r="B80" s="215"/>
      <c r="C80" s="215"/>
      <c r="D80" s="217" t="s">
        <v>14</v>
      </c>
      <c r="E80" s="218" t="s">
        <v>500</v>
      </c>
      <c r="F80" s="219"/>
      <c r="G80" s="220"/>
      <c r="H80" s="25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948"/>
      <c r="B81" s="216"/>
      <c r="C81" s="216"/>
      <c r="D81" s="948"/>
      <c r="E81" s="948"/>
      <c r="F81" s="1186"/>
      <c r="G81" s="1187"/>
      <c r="H81" s="25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1185"/>
      <c r="B82" s="43"/>
      <c r="C82" s="43"/>
      <c r="D82" s="1185"/>
      <c r="E82" s="1185"/>
      <c r="F82" s="1188"/>
      <c r="G82" s="1189"/>
      <c r="H82" s="25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1190"/>
      <c r="B83" s="85"/>
      <c r="C83" s="85"/>
      <c r="D83" s="1190"/>
      <c r="E83" s="1190"/>
      <c r="F83" s="1188"/>
      <c r="G83" s="1189"/>
      <c r="H83" s="25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1191"/>
      <c r="B84" s="44"/>
      <c r="C84" s="44"/>
      <c r="D84" s="1191"/>
      <c r="E84" s="1191"/>
      <c r="F84" s="1192"/>
      <c r="G84" s="1193"/>
      <c r="H84" s="25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s="25" t="s">
        <v>39</v>
      </c>
      <c r="B92" s="25"/>
      <c r="C92" s="25"/>
      <c r="D92" s="25"/>
      <c r="E92" s="25"/>
      <c r="F92" s="53"/>
      <c r="G92" s="25" t="s">
        <v>46</v>
      </c>
      <c r="H92" s="25"/>
      <c r="I92" s="25" t="s">
        <v>47</v>
      </c>
      <c r="J92" s="53">
        <v>39276</v>
      </c>
      <c r="K92" s="25">
        <v>3</v>
      </c>
      <c r="L92" s="25"/>
      <c r="M92" s="25"/>
      <c r="N92" s="53">
        <v>39276</v>
      </c>
      <c r="O92"/>
      <c r="P92"/>
      <c r="Q92"/>
      <c r="R92"/>
      <c r="S92"/>
    </row>
    <row r="93" spans="1:19" ht="12.75">
      <c r="A93" s="25" t="s">
        <v>41</v>
      </c>
      <c r="B93" s="25"/>
      <c r="C93" s="25"/>
      <c r="D93" s="25"/>
      <c r="E93" s="25"/>
      <c r="F93" s="25"/>
      <c r="G93" s="25" t="s">
        <v>42</v>
      </c>
      <c r="H93" s="25"/>
      <c r="I93" s="25"/>
      <c r="J93" s="53">
        <v>39331</v>
      </c>
      <c r="K93" s="25">
        <v>3</v>
      </c>
      <c r="L93" s="25"/>
      <c r="M93" s="25"/>
      <c r="N93" s="25"/>
      <c r="O93"/>
      <c r="P93"/>
      <c r="Q93"/>
      <c r="R93"/>
      <c r="S93"/>
    </row>
    <row r="94" spans="1:19" ht="12.75">
      <c r="A94" s="25" t="s">
        <v>24</v>
      </c>
      <c r="B94" s="25"/>
      <c r="C94" s="25"/>
      <c r="D94" s="25"/>
      <c r="E94" s="25"/>
      <c r="F94" s="25"/>
      <c r="G94" s="25" t="s">
        <v>44</v>
      </c>
      <c r="H94" s="25"/>
      <c r="I94" s="25"/>
      <c r="J94" s="53">
        <v>39386</v>
      </c>
      <c r="K94" s="25">
        <v>2</v>
      </c>
      <c r="L94" s="25"/>
      <c r="M94" s="25"/>
      <c r="N94" s="53"/>
      <c r="O94"/>
      <c r="P94"/>
      <c r="Q94"/>
      <c r="R94"/>
      <c r="S94"/>
    </row>
    <row r="95" spans="1:19" ht="12.75">
      <c r="A95" s="25" t="s">
        <v>26</v>
      </c>
      <c r="B95" s="25"/>
      <c r="C95" s="25"/>
      <c r="D95" s="25"/>
      <c r="E95" s="25"/>
      <c r="F95" s="53"/>
      <c r="G95" s="25" t="s">
        <v>49</v>
      </c>
      <c r="H95" s="25"/>
      <c r="I95" s="25"/>
      <c r="J95" s="53">
        <v>39407</v>
      </c>
      <c r="K95" s="25">
        <v>3</v>
      </c>
      <c r="L95" s="25"/>
      <c r="M95" s="25"/>
      <c r="N95" s="53">
        <v>39479</v>
      </c>
      <c r="O95"/>
      <c r="P95"/>
      <c r="Q95"/>
      <c r="R95"/>
      <c r="S95"/>
    </row>
    <row r="96" spans="1:19" ht="12.75">
      <c r="A96" s="25" t="s">
        <v>27</v>
      </c>
      <c r="B96" s="25"/>
      <c r="C96" s="25"/>
      <c r="D96" s="25"/>
      <c r="E96" s="25"/>
      <c r="F96" s="25"/>
      <c r="G96" s="25" t="s">
        <v>32</v>
      </c>
      <c r="H96" s="25"/>
      <c r="I96" s="25"/>
      <c r="J96" s="53">
        <v>39484</v>
      </c>
      <c r="K96" s="25">
        <v>3</v>
      </c>
      <c r="L96" s="25"/>
      <c r="M96" s="25"/>
      <c r="N96" s="53">
        <v>39580</v>
      </c>
      <c r="O96"/>
      <c r="P96"/>
      <c r="Q96"/>
      <c r="R96"/>
      <c r="S96"/>
    </row>
    <row r="97" spans="1:19" ht="12.75">
      <c r="A97" s="25" t="s">
        <v>29</v>
      </c>
      <c r="B97" s="25"/>
      <c r="C97" s="25"/>
      <c r="D97" s="25"/>
      <c r="E97" s="25"/>
      <c r="F97" s="25"/>
      <c r="G97" s="25" t="s">
        <v>25</v>
      </c>
      <c r="H97" s="25"/>
      <c r="I97" s="25"/>
      <c r="J97" s="53">
        <v>39577</v>
      </c>
      <c r="K97" s="25">
        <v>2</v>
      </c>
      <c r="L97" s="25"/>
      <c r="M97" s="25"/>
      <c r="N97" s="25"/>
      <c r="O97"/>
      <c r="P97"/>
      <c r="Q97"/>
      <c r="R97"/>
      <c r="S97"/>
    </row>
    <row r="98" spans="1:19" ht="12.75">
      <c r="A98" s="25" t="s">
        <v>43</v>
      </c>
      <c r="B98" s="25"/>
      <c r="C98" s="25"/>
      <c r="D98" s="25"/>
      <c r="E98" s="25"/>
      <c r="F98" s="53"/>
      <c r="G98" s="25" t="s">
        <v>40</v>
      </c>
      <c r="H98" s="25"/>
      <c r="I98" s="25"/>
      <c r="J98" s="53">
        <v>39603</v>
      </c>
      <c r="K98" s="25">
        <v>3</v>
      </c>
      <c r="L98" s="25"/>
      <c r="M98" s="25"/>
      <c r="N98" s="25"/>
      <c r="O98"/>
      <c r="P98"/>
      <c r="Q98"/>
      <c r="R98"/>
      <c r="S98"/>
    </row>
    <row r="99" spans="1:19" ht="12.75">
      <c r="A99" s="25" t="s">
        <v>45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/>
      <c r="P99"/>
      <c r="Q99"/>
      <c r="R99"/>
      <c r="S99"/>
    </row>
    <row r="100" spans="1:19" ht="12.75">
      <c r="A100" s="25" t="s">
        <v>31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/>
      <c r="P100"/>
      <c r="Q100"/>
      <c r="R100"/>
      <c r="S100"/>
    </row>
    <row r="101" spans="1:19" ht="12.75">
      <c r="A101" s="25" t="s">
        <v>48</v>
      </c>
      <c r="B101" s="25"/>
      <c r="C101" s="25"/>
      <c r="D101" s="25"/>
      <c r="E101" s="25"/>
      <c r="F101" s="53"/>
      <c r="G101" s="25"/>
      <c r="H101" s="25"/>
      <c r="I101" s="25"/>
      <c r="J101" s="25"/>
      <c r="K101" s="25"/>
      <c r="L101" s="25"/>
      <c r="M101" s="25"/>
      <c r="N101" s="25"/>
      <c r="O101"/>
      <c r="P101"/>
      <c r="Q101"/>
      <c r="R101"/>
      <c r="S101"/>
    </row>
    <row r="102" spans="1:19" ht="12.75">
      <c r="A102" s="25" t="s">
        <v>33</v>
      </c>
      <c r="B102" s="25"/>
      <c r="C102" s="25"/>
      <c r="D102" s="25"/>
      <c r="E102" s="25"/>
      <c r="F102" s="53"/>
      <c r="G102" s="25"/>
      <c r="H102" s="25"/>
      <c r="I102" s="25"/>
      <c r="J102" s="25"/>
      <c r="K102" s="25"/>
      <c r="L102" s="25"/>
      <c r="M102" s="25"/>
      <c r="N102" s="25"/>
      <c r="O102"/>
      <c r="P102"/>
      <c r="Q102"/>
      <c r="R102"/>
      <c r="S102"/>
    </row>
    <row r="103" spans="1:19" ht="12.75">
      <c r="A103" s="25" t="s">
        <v>35</v>
      </c>
      <c r="B103" s="25"/>
      <c r="C103" s="25"/>
      <c r="D103" s="25"/>
      <c r="E103" s="25"/>
      <c r="F103" s="53"/>
      <c r="G103" s="25" t="s">
        <v>28</v>
      </c>
      <c r="H103" s="53">
        <v>39602</v>
      </c>
      <c r="I103" s="25"/>
      <c r="J103" s="53">
        <v>39616</v>
      </c>
      <c r="K103" s="25">
        <v>2</v>
      </c>
      <c r="L103" s="25"/>
      <c r="M103" s="25"/>
      <c r="N103" s="25"/>
      <c r="O103"/>
      <c r="P103"/>
      <c r="Q103"/>
      <c r="R103"/>
      <c r="S103"/>
    </row>
    <row r="104" spans="1:19" ht="12.75">
      <c r="A104" s="25" t="s">
        <v>37</v>
      </c>
      <c r="B104" s="25"/>
      <c r="C104" s="25"/>
      <c r="D104" s="25"/>
      <c r="E104" s="25"/>
      <c r="F104" s="25"/>
      <c r="G104" s="25" t="s">
        <v>50</v>
      </c>
      <c r="H104" s="53">
        <v>39617</v>
      </c>
      <c r="I104" s="25"/>
      <c r="J104" s="53">
        <v>39618</v>
      </c>
      <c r="K104" s="25">
        <v>3</v>
      </c>
      <c r="L104" s="25"/>
      <c r="M104" s="25"/>
      <c r="N104" s="25"/>
      <c r="O104"/>
      <c r="P104"/>
      <c r="Q104"/>
      <c r="R104"/>
      <c r="S104"/>
    </row>
    <row r="105" spans="1:19" ht="12.75">
      <c r="A105"/>
      <c r="B105"/>
      <c r="C105"/>
      <c r="D105"/>
      <c r="E105"/>
      <c r="F105" s="53"/>
      <c r="G105" s="25" t="s">
        <v>30</v>
      </c>
      <c r="H105" s="53">
        <v>39682</v>
      </c>
      <c r="I105" s="25"/>
      <c r="J105" s="53">
        <v>39702</v>
      </c>
      <c r="K105" s="25">
        <v>2</v>
      </c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 s="53"/>
      <c r="G106" s="25" t="s">
        <v>34</v>
      </c>
      <c r="H106" s="53">
        <v>39750</v>
      </c>
      <c r="I106" s="25"/>
      <c r="J106" s="53">
        <v>39750</v>
      </c>
      <c r="K106" s="25">
        <v>2</v>
      </c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 s="53"/>
      <c r="G107" s="25" t="s">
        <v>36</v>
      </c>
      <c r="H107" s="53">
        <v>39883</v>
      </c>
      <c r="I107" s="25"/>
      <c r="J107" s="53">
        <v>39883</v>
      </c>
      <c r="K107" s="25">
        <v>2</v>
      </c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 s="25"/>
      <c r="G108" s="25" t="s">
        <v>38</v>
      </c>
      <c r="H108" s="53">
        <v>39972</v>
      </c>
      <c r="I108" s="25"/>
      <c r="J108" s="53">
        <v>39972</v>
      </c>
      <c r="K108" s="25">
        <v>2</v>
      </c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 s="25"/>
      <c r="G110" s="25"/>
      <c r="H110" s="53"/>
      <c r="I110" s="25"/>
      <c r="J110" s="25"/>
      <c r="K110" s="25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 s="53"/>
      <c r="G114" s="25"/>
      <c r="H114" s="25"/>
      <c r="I114" s="25"/>
      <c r="J114" s="25"/>
      <c r="K114" s="25"/>
      <c r="L114"/>
      <c r="M114"/>
      <c r="N114"/>
      <c r="O114"/>
      <c r="P114"/>
      <c r="Q114"/>
      <c r="R114"/>
      <c r="S114"/>
    </row>
  </sheetData>
  <mergeCells count="24">
    <mergeCell ref="A81:A82"/>
    <mergeCell ref="D81:D82"/>
    <mergeCell ref="E81:G82"/>
    <mergeCell ref="A83:A84"/>
    <mergeCell ref="D83:D84"/>
    <mergeCell ref="E83:G84"/>
    <mergeCell ref="A72:G72"/>
    <mergeCell ref="A73:D73"/>
    <mergeCell ref="A74:D77"/>
    <mergeCell ref="E74:G77"/>
    <mergeCell ref="A26:G26"/>
    <mergeCell ref="A27:G32"/>
    <mergeCell ref="A34:G34"/>
    <mergeCell ref="A58:D71"/>
    <mergeCell ref="F69:G69"/>
    <mergeCell ref="E70:G71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17" bottom="0.33" header="0.17" footer="0.17"/>
  <pageSetup fitToHeight="1" fitToWidth="1" horizontalDpi="600" verticalDpi="600" orientation="portrait" scale="70" r:id="rId2"/>
  <headerFooter alignWithMargins="0">
    <oddFooter>&amp;R&amp;F      &amp;A    &amp;D   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I34" sqref="I34"/>
    </sheetView>
  </sheetViews>
  <sheetFormatPr defaultColWidth="9.140625" defaultRowHeight="12.75"/>
  <cols>
    <col min="3" max="7" width="15.421875" style="0" customWidth="1"/>
    <col min="9" max="9" width="22.00390625" style="0" customWidth="1"/>
    <col min="10" max="10" width="13.8515625" style="6" customWidth="1"/>
  </cols>
  <sheetData>
    <row r="1" spans="2:17" ht="12.75">
      <c r="B1" s="690"/>
      <c r="C1" s="691"/>
      <c r="D1" s="691"/>
      <c r="E1" s="691"/>
      <c r="F1" s="691"/>
      <c r="G1" s="691"/>
      <c r="H1" s="690"/>
      <c r="I1" s="690"/>
      <c r="J1" s="691"/>
      <c r="K1" s="690"/>
      <c r="L1" s="690"/>
      <c r="M1" s="690"/>
      <c r="N1" s="690"/>
      <c r="O1" s="690"/>
      <c r="P1" s="690"/>
      <c r="Q1" s="690"/>
    </row>
    <row r="2" spans="2:17" ht="12.75">
      <c r="B2" s="690"/>
      <c r="C2" s="691"/>
      <c r="D2" s="691"/>
      <c r="E2" s="691"/>
      <c r="F2" s="691"/>
      <c r="G2" s="691"/>
      <c r="H2" s="690"/>
      <c r="I2" s="690"/>
      <c r="J2" s="691"/>
      <c r="K2" s="690"/>
      <c r="L2" s="690"/>
      <c r="M2" s="690"/>
      <c r="N2" s="690"/>
      <c r="O2" s="690"/>
      <c r="P2" s="690"/>
      <c r="Q2" s="690"/>
    </row>
    <row r="3" spans="2:17" ht="12.75">
      <c r="B3" s="690"/>
      <c r="C3" s="691"/>
      <c r="D3" s="691"/>
      <c r="E3" s="691"/>
      <c r="F3" s="691"/>
      <c r="G3" s="691"/>
      <c r="H3" s="690"/>
      <c r="I3" s="690"/>
      <c r="J3" s="691"/>
      <c r="K3" s="690"/>
      <c r="L3" s="690"/>
      <c r="M3" s="690"/>
      <c r="N3" s="690"/>
      <c r="O3" s="690"/>
      <c r="P3" s="690"/>
      <c r="Q3" s="690"/>
    </row>
    <row r="4" spans="2:17" ht="13.5" thickBot="1">
      <c r="B4" s="690"/>
      <c r="C4" s="691"/>
      <c r="D4" s="691"/>
      <c r="E4" s="691"/>
      <c r="F4" s="691"/>
      <c r="G4" s="691"/>
      <c r="H4" s="690"/>
      <c r="I4" s="690"/>
      <c r="J4" s="691"/>
      <c r="K4" s="690"/>
      <c r="L4" s="690"/>
      <c r="M4" s="690"/>
      <c r="N4" s="690"/>
      <c r="O4" s="690"/>
      <c r="P4" s="690"/>
      <c r="Q4" s="690"/>
    </row>
    <row r="5" spans="2:17" ht="54" thickBot="1">
      <c r="B5" s="690"/>
      <c r="C5" s="692" t="s">
        <v>642</v>
      </c>
      <c r="D5" s="692" t="s">
        <v>643</v>
      </c>
      <c r="E5" s="692" t="s">
        <v>644</v>
      </c>
      <c r="F5" s="692" t="s">
        <v>645</v>
      </c>
      <c r="G5" s="692" t="s">
        <v>646</v>
      </c>
      <c r="H5" s="693"/>
      <c r="I5" s="694" t="s">
        <v>647</v>
      </c>
      <c r="J5" s="695" t="s">
        <v>648</v>
      </c>
      <c r="K5" s="693"/>
      <c r="L5" s="693"/>
      <c r="M5" s="693"/>
      <c r="N5" s="693"/>
      <c r="O5" s="690"/>
      <c r="P5" s="690"/>
      <c r="Q5" s="690"/>
    </row>
    <row r="6" spans="2:17" ht="15.75" thickBot="1">
      <c r="B6" s="690"/>
      <c r="C6" s="696">
        <v>39203</v>
      </c>
      <c r="D6" s="697">
        <v>39355</v>
      </c>
      <c r="E6" s="696">
        <v>40554</v>
      </c>
      <c r="F6" s="698">
        <v>-57</v>
      </c>
      <c r="G6" s="699">
        <v>18</v>
      </c>
      <c r="H6" s="690"/>
      <c r="I6" s="700">
        <f>(((E6-C6)/((D6-C6+(F6*7/5))/(D6-C6))+(C6)))-(G6/2*30.4)</f>
        <v>41773.61052631579</v>
      </c>
      <c r="J6" s="701">
        <f>(+I6-E6)/30.4</f>
        <v>40.11876731301934</v>
      </c>
      <c r="K6" s="690"/>
      <c r="L6" s="690"/>
      <c r="M6" s="690"/>
      <c r="N6" s="690"/>
      <c r="O6" s="690"/>
      <c r="P6" s="690"/>
      <c r="Q6" s="690"/>
    </row>
    <row r="7" spans="2:17" ht="12.75">
      <c r="B7" s="690"/>
      <c r="C7" s="691"/>
      <c r="D7" s="691"/>
      <c r="E7" s="691"/>
      <c r="F7" s="691"/>
      <c r="G7" s="691"/>
      <c r="H7" s="690"/>
      <c r="I7" s="690"/>
      <c r="J7" s="702">
        <f>+J6*202</f>
        <v>8103.9909972299065</v>
      </c>
      <c r="K7" s="703" t="s">
        <v>649</v>
      </c>
      <c r="L7" s="690"/>
      <c r="M7" s="690"/>
      <c r="N7" s="690"/>
      <c r="O7" s="690"/>
      <c r="P7" s="690"/>
      <c r="Q7" s="690"/>
    </row>
    <row r="8" spans="2:17" ht="12.75">
      <c r="B8" s="690"/>
      <c r="C8" s="691"/>
      <c r="D8" s="691"/>
      <c r="E8" s="691"/>
      <c r="F8" s="691"/>
      <c r="G8" s="691"/>
      <c r="H8" s="690"/>
      <c r="I8" s="690"/>
      <c r="J8" s="691">
        <f>+G6/2*64</f>
        <v>576</v>
      </c>
      <c r="K8" s="703" t="s">
        <v>650</v>
      </c>
      <c r="L8" s="690"/>
      <c r="M8" s="690"/>
      <c r="N8" s="690"/>
      <c r="O8" s="690"/>
      <c r="P8" s="690"/>
      <c r="Q8" s="690"/>
    </row>
    <row r="9" spans="2:17" ht="12.75">
      <c r="B9" s="690"/>
      <c r="C9" s="691"/>
      <c r="D9" s="691"/>
      <c r="E9" s="691"/>
      <c r="F9" s="691" t="s">
        <v>651</v>
      </c>
      <c r="G9" s="704" t="s">
        <v>652</v>
      </c>
      <c r="H9" s="690"/>
      <c r="I9" s="690"/>
      <c r="J9" s="691"/>
      <c r="K9" s="690"/>
      <c r="L9" s="690"/>
      <c r="M9" s="690"/>
      <c r="N9" s="690"/>
      <c r="O9" s="690"/>
      <c r="P9" s="690"/>
      <c r="Q9" s="690"/>
    </row>
    <row r="10" spans="2:17" ht="12.75">
      <c r="B10" s="690"/>
      <c r="C10" s="691"/>
      <c r="D10" s="691"/>
      <c r="E10" s="705"/>
      <c r="F10" s="702">
        <v>50853</v>
      </c>
      <c r="G10" s="706">
        <f>SUM('COST PERFORMANCE BY RLM &amp; JOB'!Y82)</f>
        <v>50895.74689962765</v>
      </c>
      <c r="H10" s="690"/>
      <c r="I10" s="707" t="s">
        <v>653</v>
      </c>
      <c r="J10" s="702">
        <f>+G10-F10</f>
        <v>42.746899627651146</v>
      </c>
      <c r="K10" s="690"/>
      <c r="L10" s="690"/>
      <c r="M10" s="690"/>
      <c r="N10" s="690"/>
      <c r="O10" s="690"/>
      <c r="P10" s="690"/>
      <c r="Q10" s="690"/>
    </row>
    <row r="11" spans="2:17" ht="12.75">
      <c r="B11" s="690"/>
      <c r="C11" s="691"/>
      <c r="D11" s="691"/>
      <c r="E11" s="691"/>
      <c r="F11" s="691"/>
      <c r="G11" s="691"/>
      <c r="H11" s="690"/>
      <c r="I11" s="707"/>
      <c r="J11" s="691"/>
      <c r="K11" s="690"/>
      <c r="L11" s="690"/>
      <c r="M11" s="690"/>
      <c r="N11" s="690"/>
      <c r="O11" s="690"/>
      <c r="P11" s="690"/>
      <c r="Q11" s="690"/>
    </row>
    <row r="12" spans="2:17" ht="12.75">
      <c r="B12" s="690"/>
      <c r="C12" s="691"/>
      <c r="D12" s="691"/>
      <c r="E12" s="691"/>
      <c r="F12" s="691"/>
      <c r="G12" s="691"/>
      <c r="H12" s="690"/>
      <c r="I12" s="707" t="s">
        <v>654</v>
      </c>
      <c r="J12" s="708">
        <f>SUM(J7:J10)</f>
        <v>8722.737896857558</v>
      </c>
      <c r="K12" s="690"/>
      <c r="L12" s="690"/>
      <c r="M12" s="690"/>
      <c r="N12" s="690"/>
      <c r="O12" s="690"/>
      <c r="P12" s="690"/>
      <c r="Q12" s="690"/>
    </row>
    <row r="13" spans="2:17" ht="13.5" thickBot="1">
      <c r="B13" s="690"/>
      <c r="C13" s="691"/>
      <c r="D13" s="691"/>
      <c r="E13" s="691"/>
      <c r="F13" s="691"/>
      <c r="G13" s="691"/>
      <c r="H13" s="690"/>
      <c r="I13" s="707"/>
      <c r="J13" s="691"/>
      <c r="K13" s="690"/>
      <c r="L13" s="690"/>
      <c r="M13" s="690"/>
      <c r="N13" s="690"/>
      <c r="O13" s="690"/>
      <c r="P13" s="690"/>
      <c r="Q13" s="690"/>
    </row>
    <row r="14" spans="2:17" ht="15">
      <c r="B14" s="690"/>
      <c r="C14" s="691"/>
      <c r="D14" s="691"/>
      <c r="E14" s="691"/>
      <c r="F14" s="691"/>
      <c r="G14" s="691"/>
      <c r="H14" s="690"/>
      <c r="I14" s="709" t="s">
        <v>655</v>
      </c>
      <c r="J14" s="710">
        <f>+F10+J12+67178</f>
        <v>126753.73789685755</v>
      </c>
      <c r="K14" s="690"/>
      <c r="L14" s="690"/>
      <c r="M14" s="690"/>
      <c r="N14" s="690"/>
      <c r="O14" s="690"/>
      <c r="P14" s="690"/>
      <c r="Q14" s="690"/>
    </row>
    <row r="15" spans="2:17" ht="15">
      <c r="B15" s="690"/>
      <c r="C15" s="690"/>
      <c r="D15" s="690"/>
      <c r="E15" s="690"/>
      <c r="F15" s="690"/>
      <c r="G15" s="690"/>
      <c r="H15" s="690"/>
      <c r="I15" s="711"/>
      <c r="J15" s="712"/>
      <c r="K15" s="690"/>
      <c r="L15" s="690"/>
      <c r="M15" s="690"/>
      <c r="N15" s="690"/>
      <c r="O15" s="690"/>
      <c r="P15" s="690"/>
      <c r="Q15" s="690"/>
    </row>
    <row r="16" spans="2:17" ht="15">
      <c r="B16" s="690"/>
      <c r="C16" s="690"/>
      <c r="D16" s="690"/>
      <c r="E16" s="690"/>
      <c r="F16" s="690"/>
      <c r="G16" s="690"/>
      <c r="H16" s="690"/>
      <c r="I16" s="711" t="s">
        <v>656</v>
      </c>
      <c r="J16" s="713">
        <v>132412</v>
      </c>
      <c r="K16" s="690"/>
      <c r="L16" s="690"/>
      <c r="M16" s="690"/>
      <c r="N16" s="690"/>
      <c r="O16" s="690"/>
      <c r="P16" s="690"/>
      <c r="Q16" s="690"/>
    </row>
    <row r="17" spans="2:17" ht="15">
      <c r="B17" s="690"/>
      <c r="C17" s="690"/>
      <c r="D17" s="690"/>
      <c r="E17" s="690"/>
      <c r="F17" s="690"/>
      <c r="G17" s="690"/>
      <c r="H17" s="690"/>
      <c r="I17" s="711"/>
      <c r="J17" s="712"/>
      <c r="K17" s="690"/>
      <c r="L17" s="690"/>
      <c r="M17" s="690"/>
      <c r="N17" s="690"/>
      <c r="O17" s="690"/>
      <c r="P17" s="690"/>
      <c r="Q17" s="690"/>
    </row>
    <row r="18" spans="2:17" ht="15.75" thickBot="1">
      <c r="B18" s="690"/>
      <c r="C18" s="690"/>
      <c r="D18" s="690"/>
      <c r="E18" s="690"/>
      <c r="F18" s="690"/>
      <c r="G18" s="690"/>
      <c r="H18" s="690"/>
      <c r="I18" s="714" t="s">
        <v>657</v>
      </c>
      <c r="J18" s="715">
        <f>+J14-J16</f>
        <v>-5658.26210314245</v>
      </c>
      <c r="K18" s="690"/>
      <c r="L18" s="690"/>
      <c r="M18" s="690"/>
      <c r="N18" s="690"/>
      <c r="O18" s="690"/>
      <c r="P18" s="690"/>
      <c r="Q18" s="690"/>
    </row>
    <row r="19" spans="2:17" ht="12.75">
      <c r="B19" s="690"/>
      <c r="C19" s="690"/>
      <c r="D19" s="690"/>
      <c r="E19" s="690"/>
      <c r="F19" s="690"/>
      <c r="G19" s="690"/>
      <c r="H19" s="690"/>
      <c r="I19" s="707"/>
      <c r="J19" s="691"/>
      <c r="K19" s="690"/>
      <c r="L19" s="690"/>
      <c r="M19" s="690"/>
      <c r="N19" s="690"/>
      <c r="O19" s="690"/>
      <c r="P19" s="690"/>
      <c r="Q19" s="690"/>
    </row>
    <row r="20" spans="2:17" ht="12.75">
      <c r="B20" s="690"/>
      <c r="C20" s="690"/>
      <c r="D20" s="690"/>
      <c r="E20" s="690"/>
      <c r="F20" s="690"/>
      <c r="G20" s="690"/>
      <c r="H20" s="690"/>
      <c r="I20" s="707"/>
      <c r="J20" s="691"/>
      <c r="K20" s="690"/>
      <c r="L20" s="690"/>
      <c r="M20" s="690"/>
      <c r="N20" s="690"/>
      <c r="O20" s="690"/>
      <c r="P20" s="690"/>
      <c r="Q20" s="690"/>
    </row>
    <row r="21" spans="2:17" ht="12.75">
      <c r="B21" s="690"/>
      <c r="C21" s="690"/>
      <c r="D21" s="690"/>
      <c r="E21" s="690"/>
      <c r="F21" s="690"/>
      <c r="G21" s="690"/>
      <c r="H21" s="690"/>
      <c r="I21" s="707"/>
      <c r="J21" s="691"/>
      <c r="K21" s="690"/>
      <c r="L21" s="690"/>
      <c r="M21" s="690"/>
      <c r="N21" s="690"/>
      <c r="O21" s="690"/>
      <c r="P21" s="690"/>
      <c r="Q21" s="690"/>
    </row>
    <row r="22" spans="2:17" ht="12.75">
      <c r="B22" s="690"/>
      <c r="C22" s="690"/>
      <c r="D22" s="690"/>
      <c r="E22" s="690"/>
      <c r="F22" s="690"/>
      <c r="G22" s="690"/>
      <c r="H22" s="690"/>
      <c r="I22" s="707"/>
      <c r="J22" s="691"/>
      <c r="K22" s="690"/>
      <c r="L22" s="690"/>
      <c r="M22" s="690"/>
      <c r="N22" s="690"/>
      <c r="O22" s="690"/>
      <c r="P22" s="690"/>
      <c r="Q22" s="690"/>
    </row>
    <row r="23" spans="2:17" ht="12.75">
      <c r="B23" s="690"/>
      <c r="C23" s="690"/>
      <c r="D23" s="690"/>
      <c r="E23" s="690"/>
      <c r="F23" s="690"/>
      <c r="G23" s="690"/>
      <c r="H23" s="690"/>
      <c r="I23" s="690"/>
      <c r="J23" s="691"/>
      <c r="K23" s="690"/>
      <c r="L23" s="690"/>
      <c r="M23" s="690"/>
      <c r="N23" s="690"/>
      <c r="O23" s="690"/>
      <c r="P23" s="690"/>
      <c r="Q23" s="690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AI96"/>
  <sheetViews>
    <sheetView workbookViewId="0" topLeftCell="A1">
      <selection activeCell="AI83" sqref="AI83"/>
    </sheetView>
  </sheetViews>
  <sheetFormatPr defaultColWidth="9.140625" defaultRowHeight="12.75"/>
  <cols>
    <col min="1" max="5" width="9.140625" style="338" customWidth="1"/>
    <col min="6" max="6" width="10.00390625" style="338" customWidth="1"/>
    <col min="7" max="7" width="9.140625" style="338" customWidth="1"/>
    <col min="8" max="8" width="11.7109375" style="338" bestFit="1" customWidth="1"/>
    <col min="9" max="9" width="13.00390625" style="338" customWidth="1"/>
    <col min="10" max="10" width="12.57421875" style="338" customWidth="1"/>
    <col min="11" max="11" width="11.8515625" style="338" customWidth="1"/>
    <col min="12" max="12" width="15.8515625" style="338" customWidth="1"/>
    <col min="13" max="33" width="9.140625" style="338" customWidth="1"/>
    <col min="34" max="34" width="9.140625" style="1121" customWidth="1"/>
    <col min="35" max="16384" width="9.140625" style="338" customWidth="1"/>
  </cols>
  <sheetData>
    <row r="3" spans="3:12" ht="17.25">
      <c r="C3" s="1148" t="s">
        <v>834</v>
      </c>
      <c r="D3" s="1136"/>
      <c r="E3" s="1135"/>
      <c r="F3" s="1135"/>
      <c r="G3" s="1135"/>
      <c r="H3" s="1135"/>
      <c r="I3" s="1135"/>
      <c r="J3" s="1135"/>
      <c r="K3" s="1135"/>
      <c r="L3" s="1135"/>
    </row>
    <row r="4" spans="3:12" ht="17.25">
      <c r="C4" s="1149" t="s">
        <v>874</v>
      </c>
      <c r="D4" s="1137"/>
      <c r="E4" s="1135"/>
      <c r="F4" s="1135"/>
      <c r="G4" s="1135"/>
      <c r="H4" s="1135"/>
      <c r="I4" s="1135"/>
      <c r="J4" s="1135"/>
      <c r="K4" s="1135"/>
      <c r="L4" s="1135"/>
    </row>
    <row r="5" spans="3:12" ht="5.25" customHeight="1">
      <c r="C5" s="1138"/>
      <c r="D5" s="1137"/>
      <c r="E5" s="1135"/>
      <c r="F5" s="1135"/>
      <c r="G5" s="1135"/>
      <c r="H5" s="1135"/>
      <c r="I5" s="1135"/>
      <c r="J5" s="1135"/>
      <c r="K5" s="1135"/>
      <c r="L5" s="1135"/>
    </row>
    <row r="6" spans="2:8" ht="13.5">
      <c r="B6" s="1150" t="s">
        <v>875</v>
      </c>
      <c r="F6" s="1143" t="s">
        <v>187</v>
      </c>
      <c r="G6" s="1143" t="s">
        <v>188</v>
      </c>
      <c r="H6" s="1143" t="s">
        <v>189</v>
      </c>
    </row>
    <row r="7" spans="3:8" ht="12.75">
      <c r="C7" s="338" t="s">
        <v>839</v>
      </c>
      <c r="F7" s="1144">
        <f>SUM('COST PERFORMANCE BY RLM &amp; JOB'!C82)</f>
        <v>7737.71</v>
      </c>
      <c r="G7" s="1145">
        <f>SUM('COST PERFORMANCE BY RLM &amp; JOB'!D82)</f>
        <v>7049.547100000001</v>
      </c>
      <c r="H7" s="1146">
        <f>SUM('COST PERFORMANCE BY RLM &amp; JOB'!E82)</f>
        <v>6148.601562535116</v>
      </c>
    </row>
    <row r="8" spans="3:8" ht="12.75">
      <c r="C8" s="338" t="s">
        <v>835</v>
      </c>
      <c r="H8" s="1122">
        <v>67178</v>
      </c>
    </row>
    <row r="9" spans="3:8" ht="12.75">
      <c r="C9" s="338" t="s">
        <v>838</v>
      </c>
      <c r="H9" s="1120">
        <f>SUM(H7:H8)</f>
        <v>73326.60156253511</v>
      </c>
    </row>
    <row r="10" spans="3:7" ht="12.75">
      <c r="C10" s="338" t="s">
        <v>840</v>
      </c>
      <c r="G10" s="1119">
        <f>SUM('COST PERFORMANCE BY RLM &amp; JOB'!R82-'COST PERFORMANCE BY RLM &amp; JOB'!D82)</f>
        <v>43803.4529</v>
      </c>
    </row>
    <row r="11" spans="3:8" ht="12.75">
      <c r="C11" s="338" t="s">
        <v>836</v>
      </c>
      <c r="G11" s="1119">
        <f>SUM('COST PERFORMANCE BY RLM &amp; JOB'!R83)</f>
        <v>14380</v>
      </c>
      <c r="H11" s="1118"/>
    </row>
    <row r="12" spans="3:7" ht="12.75">
      <c r="C12" s="338" t="s">
        <v>837</v>
      </c>
      <c r="G12" s="1119">
        <f>SUM(G7:G11,H8)</f>
        <v>132411</v>
      </c>
    </row>
    <row r="14" spans="3:9" ht="15">
      <c r="C14" s="1140" t="s">
        <v>11</v>
      </c>
      <c r="D14" s="1141">
        <f>SUM('COST PERFORMANCE BY RLM &amp; JOB'!G82)</f>
        <v>1.1465285282029916</v>
      </c>
      <c r="F14" s="338" t="s">
        <v>841</v>
      </c>
      <c r="H14" s="1123">
        <f>SUM('COST PERFORMANCE BY RLM &amp; JOB'!I82)</f>
        <v>900.9455374648851</v>
      </c>
      <c r="I14" s="1134" t="s">
        <v>843</v>
      </c>
    </row>
    <row r="15" spans="3:15" ht="15">
      <c r="C15" s="1140" t="s">
        <v>12</v>
      </c>
      <c r="D15" s="1142">
        <f>SUM('COST PERFORMANCE BY RLM &amp; JOB'!F82)</f>
        <v>0.9110637514199939</v>
      </c>
      <c r="F15" s="338" t="s">
        <v>842</v>
      </c>
      <c r="H15" s="1123">
        <f>SUM('COST PERFORMANCE BY RLM &amp; JOB'!H82)</f>
        <v>-688.1628999999994</v>
      </c>
      <c r="I15" s="1134"/>
      <c r="J15" s="338" t="s">
        <v>844</v>
      </c>
      <c r="N15" s="338" t="s">
        <v>845</v>
      </c>
      <c r="O15" s="338" t="s">
        <v>846</v>
      </c>
    </row>
    <row r="16" spans="9:15" ht="12.75">
      <c r="I16" s="1134"/>
      <c r="J16" s="338" t="s">
        <v>847</v>
      </c>
      <c r="N16" s="338" t="s">
        <v>848</v>
      </c>
      <c r="O16" s="338" t="s">
        <v>849</v>
      </c>
    </row>
    <row r="17" spans="9:15" ht="12.75">
      <c r="I17" s="1134"/>
      <c r="J17" s="338" t="s">
        <v>850</v>
      </c>
      <c r="N17" s="338" t="s">
        <v>851</v>
      </c>
      <c r="O17" s="338" t="s">
        <v>852</v>
      </c>
    </row>
    <row r="18" spans="2:4" ht="13.5">
      <c r="B18" s="1150" t="s">
        <v>876</v>
      </c>
      <c r="D18" s="1134"/>
    </row>
    <row r="19" spans="3:8" ht="12.75">
      <c r="C19" s="338" t="s">
        <v>853</v>
      </c>
      <c r="G19" s="338" t="s">
        <v>854</v>
      </c>
      <c r="H19" s="338" t="s">
        <v>855</v>
      </c>
    </row>
    <row r="20" ht="12.75">
      <c r="D20" s="338" t="s">
        <v>877</v>
      </c>
    </row>
    <row r="21" ht="12.75">
      <c r="D21" s="338" t="s">
        <v>856</v>
      </c>
    </row>
    <row r="22" ht="12.75">
      <c r="D22" s="338" t="s">
        <v>857</v>
      </c>
    </row>
    <row r="23" ht="12.75">
      <c r="D23" s="338" t="s">
        <v>864</v>
      </c>
    </row>
    <row r="24" spans="10:12" ht="12.75">
      <c r="J24" s="1139" t="s">
        <v>566</v>
      </c>
      <c r="K24" s="1139" t="s">
        <v>862</v>
      </c>
      <c r="L24" s="1139" t="s">
        <v>861</v>
      </c>
    </row>
    <row r="25" spans="2:12" ht="14.25" thickBot="1">
      <c r="B25" s="1150" t="s">
        <v>863</v>
      </c>
      <c r="D25" s="1134"/>
      <c r="F25" s="338" t="s">
        <v>67</v>
      </c>
      <c r="J25" s="1124">
        <v>39353</v>
      </c>
      <c r="K25" s="1121" t="s">
        <v>828</v>
      </c>
      <c r="L25" s="1125">
        <v>39417</v>
      </c>
    </row>
    <row r="26" spans="4:12" ht="12.75">
      <c r="D26" s="1134"/>
      <c r="F26" s="1126" t="s">
        <v>545</v>
      </c>
      <c r="G26" s="1126"/>
      <c r="H26" s="1126"/>
      <c r="I26" s="1126"/>
      <c r="J26" s="1127">
        <v>39329</v>
      </c>
      <c r="K26" s="1132" t="s">
        <v>820</v>
      </c>
      <c r="L26" s="1133">
        <v>39387</v>
      </c>
    </row>
    <row r="27" spans="4:12" ht="13.5" thickBot="1">
      <c r="D27" s="1134"/>
      <c r="F27" s="1126" t="s">
        <v>44</v>
      </c>
      <c r="G27" s="1126"/>
      <c r="H27" s="1126"/>
      <c r="I27" s="1126"/>
      <c r="J27" s="1127">
        <v>39345</v>
      </c>
      <c r="K27" s="1130">
        <v>39458</v>
      </c>
      <c r="L27" s="1131">
        <v>39417</v>
      </c>
    </row>
    <row r="28" spans="4:12" ht="12.75">
      <c r="D28" s="1134"/>
      <c r="F28" s="338" t="s">
        <v>557</v>
      </c>
      <c r="J28" s="1124">
        <v>39595</v>
      </c>
      <c r="K28" s="1124">
        <v>39546</v>
      </c>
      <c r="L28" s="1125">
        <v>39692</v>
      </c>
    </row>
    <row r="29" spans="4:12" ht="12.75">
      <c r="D29" s="1134"/>
      <c r="F29" s="338" t="s">
        <v>858</v>
      </c>
      <c r="J29" s="1121" t="s">
        <v>859</v>
      </c>
      <c r="K29" s="1121" t="s">
        <v>860</v>
      </c>
      <c r="L29" s="1125">
        <v>39722</v>
      </c>
    </row>
    <row r="30" spans="4:12" ht="12.75">
      <c r="D30" s="1134"/>
      <c r="F30" s="338" t="s">
        <v>561</v>
      </c>
      <c r="J30" s="1124">
        <v>39482</v>
      </c>
      <c r="K30" s="1124">
        <v>39566</v>
      </c>
      <c r="L30" s="1125">
        <v>39569</v>
      </c>
    </row>
    <row r="31" spans="4:12" ht="12.75">
      <c r="D31" s="1134"/>
      <c r="F31" s="338" t="s">
        <v>822</v>
      </c>
      <c r="J31" s="1124">
        <v>39644</v>
      </c>
      <c r="K31" s="1124">
        <v>39580</v>
      </c>
      <c r="L31" s="1125">
        <v>39753</v>
      </c>
    </row>
    <row r="32" spans="2:7" ht="13.5">
      <c r="B32" s="1150" t="s">
        <v>865</v>
      </c>
      <c r="C32" s="1134"/>
      <c r="D32" s="338" t="s">
        <v>866</v>
      </c>
      <c r="F32" s="1147" t="s">
        <v>881</v>
      </c>
      <c r="G32" s="1129">
        <v>0.283</v>
      </c>
    </row>
    <row r="33" spans="3:6" ht="12.75">
      <c r="C33" s="1134"/>
      <c r="D33" s="338" t="s">
        <v>867</v>
      </c>
      <c r="F33" s="338">
        <v>0</v>
      </c>
    </row>
    <row r="34" spans="3:9" ht="12.75">
      <c r="C34" s="1134"/>
      <c r="D34" s="338" t="s">
        <v>868</v>
      </c>
      <c r="I34" s="1129">
        <v>0.33</v>
      </c>
    </row>
    <row r="35" ht="13.5">
      <c r="B35" s="1150" t="s">
        <v>878</v>
      </c>
    </row>
    <row r="36" ht="12.75"/>
    <row r="37" ht="12.75"/>
    <row r="38" ht="12.75"/>
    <row r="39" ht="12.75">
      <c r="C39" s="1134" t="s">
        <v>880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C49" s="1134" t="s">
        <v>879</v>
      </c>
    </row>
    <row r="50" ht="12.75"/>
    <row r="51" ht="12.75"/>
    <row r="52" ht="12.75"/>
    <row r="53" s="4" customFormat="1" ht="12.75">
      <c r="AH53" s="1151"/>
    </row>
    <row r="54" s="4" customFormat="1" ht="37.5" customHeight="1">
      <c r="AH54" s="1151"/>
    </row>
    <row r="55" s="4" customFormat="1" ht="12.75">
      <c r="AH55" s="1151"/>
    </row>
    <row r="56" spans="2:34" s="4" customFormat="1" ht="13.5">
      <c r="B56" s="1150" t="s">
        <v>882</v>
      </c>
      <c r="C56" s="338"/>
      <c r="D56" s="338"/>
      <c r="E56" s="338"/>
      <c r="F56" s="338"/>
      <c r="AH56" s="1151"/>
    </row>
    <row r="57" spans="2:34" s="4" customFormat="1" ht="12.75">
      <c r="B57" s="338"/>
      <c r="C57" s="338" t="s">
        <v>871</v>
      </c>
      <c r="D57" s="338"/>
      <c r="E57" s="338"/>
      <c r="F57" s="338"/>
      <c r="AH57" s="1151"/>
    </row>
    <row r="58" spans="2:34" s="4" customFormat="1" ht="12.75">
      <c r="B58" s="338"/>
      <c r="C58" s="338"/>
      <c r="D58" s="338" t="s">
        <v>869</v>
      </c>
      <c r="E58" s="338"/>
      <c r="F58" s="338"/>
      <c r="AH58" s="1151"/>
    </row>
    <row r="59" ht="12.75">
      <c r="D59" s="338" t="s">
        <v>870</v>
      </c>
    </row>
    <row r="60" ht="12.75">
      <c r="C60" s="338" t="s">
        <v>872</v>
      </c>
    </row>
    <row r="61" ht="12.75">
      <c r="D61" s="338" t="s">
        <v>873</v>
      </c>
    </row>
    <row r="62" ht="12.75">
      <c r="D62" s="338" t="s">
        <v>883</v>
      </c>
    </row>
    <row r="80" spans="29:35" ht="12.75">
      <c r="AC80" s="1126"/>
      <c r="AD80" s="1126"/>
      <c r="AE80" s="1126"/>
      <c r="AF80" s="1126"/>
      <c r="AG80" s="1126"/>
      <c r="AH80" s="1128"/>
      <c r="AI80" s="1126"/>
    </row>
    <row r="81" spans="29:35" ht="12.75">
      <c r="AC81" s="1126"/>
      <c r="AD81" s="1126"/>
      <c r="AE81" s="1126"/>
      <c r="AF81" s="1134" t="s">
        <v>884</v>
      </c>
      <c r="AG81" s="1126"/>
      <c r="AH81" s="1128"/>
      <c r="AI81" s="1126"/>
    </row>
    <row r="82" spans="29:35" ht="12.75">
      <c r="AC82" s="1126"/>
      <c r="AD82" s="1126"/>
      <c r="AE82" s="1126"/>
      <c r="AF82" s="1126"/>
      <c r="AG82" s="1126"/>
      <c r="AH82" s="1128" t="s">
        <v>885</v>
      </c>
      <c r="AI82" s="1126"/>
    </row>
    <row r="83" spans="29:35" ht="12.75">
      <c r="AC83" s="1126"/>
      <c r="AD83" s="1126"/>
      <c r="AE83" s="1126"/>
      <c r="AF83" s="1126"/>
      <c r="AG83" s="1126"/>
      <c r="AI83" s="1126"/>
    </row>
    <row r="84" spans="29:35" ht="12.75">
      <c r="AC84" s="1126"/>
      <c r="AD84" s="1126" t="s">
        <v>887</v>
      </c>
      <c r="AE84" s="1126"/>
      <c r="AF84" s="1126"/>
      <c r="AG84" s="1126"/>
      <c r="AH84" s="1128">
        <v>3</v>
      </c>
      <c r="AI84" s="1126"/>
    </row>
    <row r="85" spans="29:35" ht="12.75">
      <c r="AC85" s="1126"/>
      <c r="AD85" s="1126"/>
      <c r="AE85" s="1126"/>
      <c r="AF85" s="1126"/>
      <c r="AG85" s="1126"/>
      <c r="AH85" s="1128"/>
      <c r="AI85" s="1126"/>
    </row>
    <row r="86" spans="29:35" ht="12.75">
      <c r="AC86" s="1126"/>
      <c r="AD86" s="1126" t="s">
        <v>886</v>
      </c>
      <c r="AE86" s="1126"/>
      <c r="AF86" s="1126"/>
      <c r="AG86" s="1126"/>
      <c r="AH86" s="1152" t="s">
        <v>888</v>
      </c>
      <c r="AI86" s="1126"/>
    </row>
    <row r="87" spans="29:35" ht="12.75">
      <c r="AC87" s="1126"/>
      <c r="AD87" s="1126"/>
      <c r="AE87" s="1126"/>
      <c r="AF87" s="1126"/>
      <c r="AG87" s="1126"/>
      <c r="AH87" s="1128"/>
      <c r="AI87" s="1126"/>
    </row>
    <row r="88" spans="29:35" ht="12.75">
      <c r="AC88" s="1126"/>
      <c r="AD88" s="1126" t="s">
        <v>890</v>
      </c>
      <c r="AE88" s="1126"/>
      <c r="AF88" s="1126"/>
      <c r="AG88" s="1126"/>
      <c r="AH88" s="1153" t="s">
        <v>889</v>
      </c>
      <c r="AI88" s="1126"/>
    </row>
    <row r="89" spans="29:35" ht="12.75">
      <c r="AC89" s="1126"/>
      <c r="AD89" s="1126"/>
      <c r="AE89" s="1126"/>
      <c r="AF89" s="1126"/>
      <c r="AG89" s="1126"/>
      <c r="AH89" s="1128"/>
      <c r="AI89" s="1126"/>
    </row>
    <row r="90" spans="29:35" ht="12.75">
      <c r="AC90" s="1126"/>
      <c r="AD90" s="1126" t="s">
        <v>891</v>
      </c>
      <c r="AE90" s="1126"/>
      <c r="AF90" s="1126"/>
      <c r="AG90" s="1126"/>
      <c r="AH90" s="1153" t="s">
        <v>894</v>
      </c>
      <c r="AI90" s="1126"/>
    </row>
    <row r="91" spans="29:35" ht="12.75">
      <c r="AC91" s="1126"/>
      <c r="AD91" s="1126"/>
      <c r="AE91" s="1126"/>
      <c r="AF91" s="1126"/>
      <c r="AG91" s="1126"/>
      <c r="AH91" s="1128"/>
      <c r="AI91" s="1126"/>
    </row>
    <row r="92" spans="29:35" ht="12.75">
      <c r="AC92" s="1126"/>
      <c r="AD92" s="1126" t="s">
        <v>892</v>
      </c>
      <c r="AE92" s="1126"/>
      <c r="AF92" s="1126"/>
      <c r="AG92" s="1126"/>
      <c r="AH92" s="1153" t="s">
        <v>895</v>
      </c>
      <c r="AI92" s="1126"/>
    </row>
    <row r="93" spans="29:35" ht="12.75">
      <c r="AC93" s="1126"/>
      <c r="AD93" s="1126"/>
      <c r="AE93" s="1126"/>
      <c r="AF93" s="1126"/>
      <c r="AG93" s="1126"/>
      <c r="AH93" s="1128"/>
      <c r="AI93" s="1126"/>
    </row>
    <row r="94" spans="29:35" ht="12.75">
      <c r="AC94" s="1126"/>
      <c r="AD94" s="1126" t="s">
        <v>893</v>
      </c>
      <c r="AE94" s="1126"/>
      <c r="AF94" s="1126"/>
      <c r="AG94" s="1126"/>
      <c r="AH94" s="1153" t="s">
        <v>896</v>
      </c>
      <c r="AI94" s="1126"/>
    </row>
    <row r="95" spans="29:35" ht="12.75">
      <c r="AC95" s="1126"/>
      <c r="AD95" s="1126"/>
      <c r="AE95" s="1126"/>
      <c r="AF95" s="1126"/>
      <c r="AG95" s="1126"/>
      <c r="AH95" s="1128"/>
      <c r="AI95" s="1126"/>
    </row>
    <row r="96" spans="29:35" ht="12.75">
      <c r="AC96" s="1126"/>
      <c r="AD96" s="1126"/>
      <c r="AE96" s="1126"/>
      <c r="AF96" s="1126"/>
      <c r="AG96" s="1126"/>
      <c r="AH96" s="1128"/>
      <c r="AI96" s="1126"/>
    </row>
  </sheetData>
  <printOptions horizontalCentered="1" verticalCentered="1"/>
  <pageMargins left="0.45" right="0.18" top="0.17" bottom="0.26" header="0.17" footer="0.17"/>
  <pageSetup horizontalDpi="300" verticalDpi="300" orientation="landscape" scale="1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zoomScale="85" zoomScaleNormal="85" workbookViewId="0" topLeftCell="A1">
      <pane ySplit="4" topLeftCell="BM119" activePane="bottomLeft" state="frozen"/>
      <selection pane="topLeft" activeCell="A1" sqref="A1"/>
      <selection pane="bottomLeft" activeCell="N133" sqref="N133"/>
    </sheetView>
  </sheetViews>
  <sheetFormatPr defaultColWidth="9.140625" defaultRowHeight="12.75"/>
  <cols>
    <col min="1" max="1" width="10.8515625" style="87" customWidth="1"/>
    <col min="2" max="2" width="21.8515625" style="87" customWidth="1"/>
    <col min="3" max="3" width="28.8515625" style="87" customWidth="1"/>
    <col min="4" max="4" width="10.8515625" style="87" customWidth="1"/>
    <col min="5" max="5" width="45.421875" style="87" customWidth="1"/>
    <col min="6" max="6" width="14.00390625" style="170" customWidth="1"/>
    <col min="7" max="7" width="10.8515625" style="171" customWidth="1"/>
    <col min="8" max="9" width="11.8515625" style="16" customWidth="1"/>
    <col min="10" max="12" width="12.00390625" style="16" customWidth="1"/>
    <col min="13" max="13" width="12.421875" style="16" customWidth="1"/>
    <col min="14" max="14" width="15.8515625" style="182" customWidth="1"/>
    <col min="15" max="15" width="14.140625" style="92" customWidth="1"/>
    <col min="16" max="16" width="14.140625" style="87" customWidth="1"/>
    <col min="17" max="99" width="12.00390625" style="87" customWidth="1"/>
    <col min="100" max="16384" width="13.00390625" style="87" customWidth="1"/>
  </cols>
  <sheetData>
    <row r="1" spans="3:14" ht="23.25" thickBot="1">
      <c r="C1" s="88" t="s">
        <v>97</v>
      </c>
      <c r="D1" s="89"/>
      <c r="E1" s="90"/>
      <c r="F1" s="91"/>
      <c r="G1" s="91"/>
      <c r="H1" s="90"/>
      <c r="I1" s="90"/>
      <c r="J1" s="90"/>
      <c r="K1" s="90"/>
      <c r="L1" s="90"/>
      <c r="M1" s="90"/>
      <c r="N1" s="172"/>
    </row>
    <row r="2" spans="3:16" ht="51.75" customHeight="1" thickBot="1">
      <c r="C2" s="93" t="s">
        <v>193</v>
      </c>
      <c r="D2" s="93"/>
      <c r="E2" s="93" t="s">
        <v>252</v>
      </c>
      <c r="F2" s="94" t="s">
        <v>98</v>
      </c>
      <c r="G2" s="95"/>
      <c r="H2" s="96" t="s">
        <v>99</v>
      </c>
      <c r="I2" s="97"/>
      <c r="J2" s="97"/>
      <c r="K2" s="97"/>
      <c r="L2" s="98"/>
      <c r="M2" s="99" t="s">
        <v>195</v>
      </c>
      <c r="N2" s="173"/>
      <c r="O2" s="100" t="s">
        <v>100</v>
      </c>
      <c r="P2" s="87" t="s">
        <v>101</v>
      </c>
    </row>
    <row r="3" spans="3:14" ht="27.75" customHeight="1" thickBot="1">
      <c r="C3" s="101"/>
      <c r="D3" s="101"/>
      <c r="E3" s="101"/>
      <c r="F3" s="102"/>
      <c r="G3" s="103"/>
      <c r="H3" s="104" t="s">
        <v>102</v>
      </c>
      <c r="I3" s="104" t="s">
        <v>103</v>
      </c>
      <c r="J3" s="104" t="s">
        <v>104</v>
      </c>
      <c r="K3" s="104" t="s">
        <v>105</v>
      </c>
      <c r="L3" s="104" t="s">
        <v>106</v>
      </c>
      <c r="M3" s="105" t="s">
        <v>196</v>
      </c>
      <c r="N3" s="174" t="s">
        <v>107</v>
      </c>
    </row>
    <row r="4" spans="1:18" ht="15" customHeight="1">
      <c r="A4" s="135" t="s">
        <v>585</v>
      </c>
      <c r="B4" s="135" t="s">
        <v>586</v>
      </c>
      <c r="C4" s="135" t="s">
        <v>587</v>
      </c>
      <c r="D4" s="135" t="s">
        <v>588</v>
      </c>
      <c r="E4" s="134" t="s">
        <v>589</v>
      </c>
      <c r="F4" s="119" t="s">
        <v>590</v>
      </c>
      <c r="G4" s="117" t="s">
        <v>591</v>
      </c>
      <c r="H4" s="136" t="s">
        <v>592</v>
      </c>
      <c r="I4" s="136" t="s">
        <v>593</v>
      </c>
      <c r="J4" s="136" t="s">
        <v>594</v>
      </c>
      <c r="K4" s="136" t="s">
        <v>595</v>
      </c>
      <c r="L4" s="136" t="s">
        <v>596</v>
      </c>
      <c r="M4" s="136" t="s">
        <v>597</v>
      </c>
      <c r="N4" s="178" t="s">
        <v>598</v>
      </c>
      <c r="O4" s="342" t="s">
        <v>599</v>
      </c>
      <c r="P4" s="343" t="s">
        <v>600</v>
      </c>
      <c r="Q4" s="344" t="s">
        <v>601</v>
      </c>
      <c r="R4" s="135" t="s">
        <v>602</v>
      </c>
    </row>
    <row r="5" spans="3:18" ht="15" customHeight="1">
      <c r="C5" s="87" t="s">
        <v>108</v>
      </c>
      <c r="D5" s="87" t="s">
        <v>109</v>
      </c>
      <c r="E5" s="106" t="s">
        <v>236</v>
      </c>
      <c r="F5" s="107">
        <v>424</v>
      </c>
      <c r="G5" s="108"/>
      <c r="H5" s="109"/>
      <c r="I5" s="109"/>
      <c r="J5" s="109"/>
      <c r="K5" s="109"/>
      <c r="L5" s="109"/>
      <c r="M5" s="109">
        <f aca="true" t="shared" si="0" ref="M5:M10">SUM(H5:L5)</f>
        <v>0</v>
      </c>
      <c r="N5" s="175">
        <f aca="true" t="shared" si="1" ref="N5:N10">SUM(F5:L5)</f>
        <v>424</v>
      </c>
      <c r="O5" s="110">
        <v>424</v>
      </c>
      <c r="P5" s="5">
        <f aca="true" t="shared" si="2" ref="P5:P10">+N5-O5</f>
        <v>0</v>
      </c>
      <c r="Q5" s="111">
        <f aca="true" t="shared" si="3" ref="Q5:Q68">+P5/O5</f>
        <v>0</v>
      </c>
      <c r="R5">
        <v>1201</v>
      </c>
    </row>
    <row r="6" spans="4:18" ht="15" customHeight="1">
      <c r="D6" s="87" t="s">
        <v>109</v>
      </c>
      <c r="E6" s="106" t="s">
        <v>208</v>
      </c>
      <c r="F6" s="107">
        <v>1770.9</v>
      </c>
      <c r="G6" s="108"/>
      <c r="H6" s="109"/>
      <c r="I6" s="109"/>
      <c r="J6" s="109"/>
      <c r="K6" s="109"/>
      <c r="L6" s="109"/>
      <c r="M6" s="109">
        <f t="shared" si="0"/>
        <v>0</v>
      </c>
      <c r="N6" s="175">
        <f t="shared" si="1"/>
        <v>1770.9</v>
      </c>
      <c r="O6" s="110">
        <v>1791</v>
      </c>
      <c r="P6" s="5">
        <f t="shared" si="2"/>
        <v>-20.09999999999991</v>
      </c>
      <c r="Q6" s="111">
        <f t="shared" si="3"/>
        <v>-0.011222780569514187</v>
      </c>
      <c r="R6">
        <v>1202</v>
      </c>
    </row>
    <row r="7" spans="4:18" ht="15" customHeight="1">
      <c r="D7" s="87" t="s">
        <v>109</v>
      </c>
      <c r="E7" s="106" t="s">
        <v>237</v>
      </c>
      <c r="F7" s="107">
        <v>1217</v>
      </c>
      <c r="G7" s="108"/>
      <c r="H7" s="109"/>
      <c r="I7" s="109"/>
      <c r="J7" s="109"/>
      <c r="K7" s="109"/>
      <c r="L7" s="109"/>
      <c r="M7" s="109">
        <f t="shared" si="0"/>
        <v>0</v>
      </c>
      <c r="N7" s="175">
        <f t="shared" si="1"/>
        <v>1217</v>
      </c>
      <c r="O7" s="110">
        <v>944</v>
      </c>
      <c r="P7" s="5">
        <f t="shared" si="2"/>
        <v>273</v>
      </c>
      <c r="Q7" s="111">
        <f t="shared" si="3"/>
        <v>0.2891949152542373</v>
      </c>
      <c r="R7">
        <v>1203</v>
      </c>
    </row>
    <row r="8" spans="1:18" ht="15" customHeight="1">
      <c r="A8" s="106" t="s">
        <v>238</v>
      </c>
      <c r="D8" s="87" t="s">
        <v>110</v>
      </c>
      <c r="E8" s="87" t="s">
        <v>414</v>
      </c>
      <c r="F8" s="107">
        <v>535.9</v>
      </c>
      <c r="G8" s="108"/>
      <c r="H8" s="109">
        <v>47</v>
      </c>
      <c r="I8" s="109">
        <v>162</v>
      </c>
      <c r="J8" s="109">
        <v>1</v>
      </c>
      <c r="K8" s="109">
        <v>198</v>
      </c>
      <c r="L8" s="109">
        <v>0</v>
      </c>
      <c r="M8" s="109">
        <f t="shared" si="0"/>
        <v>408</v>
      </c>
      <c r="N8" s="175">
        <f t="shared" si="1"/>
        <v>943.9</v>
      </c>
      <c r="O8" s="110">
        <v>557</v>
      </c>
      <c r="P8" s="5">
        <f t="shared" si="2"/>
        <v>386.9</v>
      </c>
      <c r="Q8" s="111">
        <f t="shared" si="3"/>
        <v>0.6946140035906643</v>
      </c>
      <c r="R8">
        <v>1204</v>
      </c>
    </row>
    <row r="9" spans="4:18" ht="15" customHeight="1">
      <c r="D9" s="87" t="s">
        <v>109</v>
      </c>
      <c r="E9" s="106" t="s">
        <v>239</v>
      </c>
      <c r="F9" s="107">
        <v>15.954</v>
      </c>
      <c r="G9" s="108"/>
      <c r="H9" s="109"/>
      <c r="I9" s="109"/>
      <c r="J9" s="109"/>
      <c r="K9" s="109"/>
      <c r="L9" s="109"/>
      <c r="M9" s="109">
        <f t="shared" si="0"/>
        <v>0</v>
      </c>
      <c r="N9" s="175">
        <f t="shared" si="1"/>
        <v>15.954</v>
      </c>
      <c r="O9" s="110">
        <v>74</v>
      </c>
      <c r="P9" s="5">
        <f t="shared" si="2"/>
        <v>-58.046</v>
      </c>
      <c r="Q9" s="111">
        <f t="shared" si="3"/>
        <v>-0.7844054054054054</v>
      </c>
      <c r="R9">
        <v>1206</v>
      </c>
    </row>
    <row r="10" spans="4:18" ht="15" customHeight="1">
      <c r="D10" s="87" t="s">
        <v>110</v>
      </c>
      <c r="E10" s="106" t="s">
        <v>240</v>
      </c>
      <c r="F10" s="112">
        <v>5788.9</v>
      </c>
      <c r="G10" s="113"/>
      <c r="H10" s="114">
        <v>-252</v>
      </c>
      <c r="I10" s="114">
        <v>0</v>
      </c>
      <c r="J10" s="114">
        <v>0</v>
      </c>
      <c r="K10" s="114">
        <v>0</v>
      </c>
      <c r="L10" s="114">
        <v>0</v>
      </c>
      <c r="M10" s="114">
        <f t="shared" si="0"/>
        <v>-252</v>
      </c>
      <c r="N10" s="176">
        <f t="shared" si="1"/>
        <v>5536.9</v>
      </c>
      <c r="O10" s="110">
        <v>5741</v>
      </c>
      <c r="P10" s="5">
        <f t="shared" si="2"/>
        <v>-204.10000000000036</v>
      </c>
      <c r="Q10" s="111">
        <f t="shared" si="3"/>
        <v>-0.03555129768333049</v>
      </c>
      <c r="R10">
        <v>1250</v>
      </c>
    </row>
    <row r="11" spans="5:18" ht="15" customHeight="1">
      <c r="E11" s="115" t="s">
        <v>215</v>
      </c>
      <c r="F11" s="116">
        <f>SUM(F5:F10)</f>
        <v>9752.654</v>
      </c>
      <c r="G11" s="117"/>
      <c r="H11" s="118">
        <f aca="true" t="shared" si="4" ref="H11:P11">SUM(H5:H10)</f>
        <v>-205</v>
      </c>
      <c r="I11" s="118">
        <f t="shared" si="4"/>
        <v>162</v>
      </c>
      <c r="J11" s="118">
        <f t="shared" si="4"/>
        <v>1</v>
      </c>
      <c r="K11" s="118">
        <f t="shared" si="4"/>
        <v>198</v>
      </c>
      <c r="L11" s="118">
        <f t="shared" si="4"/>
        <v>0</v>
      </c>
      <c r="M11" s="119">
        <f t="shared" si="4"/>
        <v>156</v>
      </c>
      <c r="N11" s="177">
        <f t="shared" si="4"/>
        <v>9908.653999999999</v>
      </c>
      <c r="O11" s="120">
        <f t="shared" si="4"/>
        <v>9531</v>
      </c>
      <c r="P11" s="119">
        <f t="shared" si="4"/>
        <v>377.65399999999966</v>
      </c>
      <c r="Q11" s="111">
        <f t="shared" si="3"/>
        <v>0.039623754065680375</v>
      </c>
      <c r="R11"/>
    </row>
    <row r="12" spans="5:18" ht="15" customHeight="1">
      <c r="E12" s="106"/>
      <c r="F12" s="107"/>
      <c r="G12" s="108"/>
      <c r="H12" s="109"/>
      <c r="I12" s="109"/>
      <c r="J12" s="109"/>
      <c r="K12" s="109"/>
      <c r="L12" s="109"/>
      <c r="M12" s="109"/>
      <c r="N12" s="175"/>
      <c r="O12" s="120"/>
      <c r="P12" s="5">
        <f aca="true" t="shared" si="5" ref="P12:P75">+N12-O12</f>
        <v>0</v>
      </c>
      <c r="Q12" s="111" t="e">
        <f t="shared" si="3"/>
        <v>#DIV/0!</v>
      </c>
      <c r="R12"/>
    </row>
    <row r="13" spans="3:18" ht="15" customHeight="1">
      <c r="C13" s="87" t="s">
        <v>111</v>
      </c>
      <c r="D13" s="87" t="s">
        <v>109</v>
      </c>
      <c r="E13" s="106" t="s">
        <v>241</v>
      </c>
      <c r="F13" s="107">
        <v>970.1</v>
      </c>
      <c r="G13" s="108"/>
      <c r="H13" s="109"/>
      <c r="I13" s="109"/>
      <c r="J13" s="109"/>
      <c r="K13" s="109"/>
      <c r="L13" s="109"/>
      <c r="M13" s="109">
        <f aca="true" t="shared" si="6" ref="M13:M22">SUM(H13:L13)</f>
        <v>0</v>
      </c>
      <c r="N13" s="175">
        <f aca="true" t="shared" si="7" ref="N13:N22">SUM(F13:L13)</f>
        <v>970.1</v>
      </c>
      <c r="O13" s="110">
        <v>837</v>
      </c>
      <c r="P13" s="5">
        <f t="shared" si="5"/>
        <v>133.10000000000002</v>
      </c>
      <c r="Q13" s="111">
        <f t="shared" si="3"/>
        <v>0.1590203106332139</v>
      </c>
      <c r="R13">
        <v>1301</v>
      </c>
    </row>
    <row r="14" spans="1:18" ht="15" customHeight="1">
      <c r="A14" s="106" t="s">
        <v>260</v>
      </c>
      <c r="D14" s="87" t="s">
        <v>109</v>
      </c>
      <c r="E14" s="87" t="s">
        <v>415</v>
      </c>
      <c r="F14" s="107">
        <v>19.338</v>
      </c>
      <c r="G14" s="108"/>
      <c r="H14" s="109">
        <v>44</v>
      </c>
      <c r="I14" s="109">
        <v>213</v>
      </c>
      <c r="J14" s="109">
        <v>0</v>
      </c>
      <c r="K14" s="109">
        <v>0</v>
      </c>
      <c r="L14" s="109">
        <v>0</v>
      </c>
      <c r="M14" s="109">
        <f t="shared" si="6"/>
        <v>257</v>
      </c>
      <c r="N14" s="175">
        <f t="shared" si="7"/>
        <v>276.338</v>
      </c>
      <c r="O14" s="110">
        <v>253</v>
      </c>
      <c r="P14" s="5">
        <f t="shared" si="5"/>
        <v>23.338000000000022</v>
      </c>
      <c r="Q14" s="111">
        <f t="shared" si="3"/>
        <v>0.09224505928853764</v>
      </c>
      <c r="R14">
        <v>1302</v>
      </c>
    </row>
    <row r="15" spans="4:17" ht="15" customHeight="1">
      <c r="D15" s="87" t="s">
        <v>109</v>
      </c>
      <c r="E15" s="106" t="s">
        <v>261</v>
      </c>
      <c r="F15" s="107">
        <v>154.9</v>
      </c>
      <c r="G15" s="108"/>
      <c r="H15" s="109"/>
      <c r="I15" s="109"/>
      <c r="J15" s="109"/>
      <c r="K15" s="109"/>
      <c r="L15" s="109"/>
      <c r="M15" s="109">
        <f t="shared" si="6"/>
        <v>0</v>
      </c>
      <c r="N15" s="175">
        <f t="shared" si="7"/>
        <v>154.9</v>
      </c>
      <c r="P15" s="5">
        <f t="shared" si="5"/>
        <v>154.9</v>
      </c>
      <c r="Q15" s="111" t="e">
        <f t="shared" si="3"/>
        <v>#DIV/0!</v>
      </c>
    </row>
    <row r="16" spans="4:18" ht="15" customHeight="1">
      <c r="D16" s="87" t="s">
        <v>109</v>
      </c>
      <c r="E16" s="106" t="s">
        <v>250</v>
      </c>
      <c r="F16" s="107">
        <v>535.99</v>
      </c>
      <c r="G16" s="108"/>
      <c r="H16" s="109"/>
      <c r="I16" s="109"/>
      <c r="J16" s="109"/>
      <c r="K16" s="109"/>
      <c r="L16" s="109"/>
      <c r="M16" s="109">
        <f t="shared" si="6"/>
        <v>0</v>
      </c>
      <c r="N16" s="175">
        <f t="shared" si="7"/>
        <v>535.99</v>
      </c>
      <c r="O16" s="110">
        <v>400</v>
      </c>
      <c r="P16" s="5">
        <f t="shared" si="5"/>
        <v>135.99</v>
      </c>
      <c r="Q16" s="111">
        <f t="shared" si="3"/>
        <v>0.339975</v>
      </c>
      <c r="R16">
        <v>1350</v>
      </c>
    </row>
    <row r="17" spans="4:18" ht="15" customHeight="1">
      <c r="D17" s="87" t="s">
        <v>109</v>
      </c>
      <c r="E17" s="106" t="s">
        <v>258</v>
      </c>
      <c r="F17" s="107">
        <v>482.959</v>
      </c>
      <c r="G17" s="108"/>
      <c r="H17" s="109"/>
      <c r="I17" s="109"/>
      <c r="J17" s="109"/>
      <c r="K17" s="109"/>
      <c r="L17" s="109"/>
      <c r="M17" s="109">
        <f t="shared" si="6"/>
        <v>0</v>
      </c>
      <c r="N17" s="175">
        <f t="shared" si="7"/>
        <v>482.959</v>
      </c>
      <c r="O17" s="110">
        <v>1318</v>
      </c>
      <c r="P17" s="5">
        <f t="shared" si="5"/>
        <v>-835.0409999999999</v>
      </c>
      <c r="Q17" s="111">
        <f t="shared" si="3"/>
        <v>-0.6335667678300455</v>
      </c>
      <c r="R17">
        <v>1351</v>
      </c>
    </row>
    <row r="18" spans="1:18" ht="15" customHeight="1">
      <c r="A18" s="106"/>
      <c r="D18" s="87" t="s">
        <v>109</v>
      </c>
      <c r="E18" s="87" t="s">
        <v>416</v>
      </c>
      <c r="F18" s="107"/>
      <c r="G18" s="108"/>
      <c r="H18" s="121">
        <v>0</v>
      </c>
      <c r="I18" s="121">
        <v>968</v>
      </c>
      <c r="J18" s="121">
        <v>634</v>
      </c>
      <c r="K18" s="121">
        <v>28</v>
      </c>
      <c r="L18" s="121">
        <v>0</v>
      </c>
      <c r="M18" s="109">
        <f t="shared" si="6"/>
        <v>1630</v>
      </c>
      <c r="N18" s="175">
        <f t="shared" si="7"/>
        <v>1630</v>
      </c>
      <c r="O18" s="110">
        <v>1362</v>
      </c>
      <c r="P18" s="5">
        <f t="shared" si="5"/>
        <v>268</v>
      </c>
      <c r="Q18" s="111">
        <f t="shared" si="3"/>
        <v>0.19676945668135096</v>
      </c>
      <c r="R18">
        <v>1352</v>
      </c>
    </row>
    <row r="19" spans="1:18" ht="15" customHeight="1">
      <c r="A19" s="106"/>
      <c r="D19" s="87" t="s">
        <v>109</v>
      </c>
      <c r="E19" s="87" t="s">
        <v>417</v>
      </c>
      <c r="F19" s="107"/>
      <c r="G19" s="108"/>
      <c r="H19" s="121">
        <v>0</v>
      </c>
      <c r="I19" s="121">
        <v>0</v>
      </c>
      <c r="J19" s="121">
        <v>78</v>
      </c>
      <c r="K19" s="121">
        <v>259</v>
      </c>
      <c r="L19" s="121">
        <v>0</v>
      </c>
      <c r="M19" s="109">
        <f t="shared" si="6"/>
        <v>337</v>
      </c>
      <c r="N19" s="175">
        <f t="shared" si="7"/>
        <v>337</v>
      </c>
      <c r="O19" s="110">
        <v>270</v>
      </c>
      <c r="P19" s="5">
        <f t="shared" si="5"/>
        <v>67</v>
      </c>
      <c r="Q19" s="111">
        <f t="shared" si="3"/>
        <v>0.24814814814814815</v>
      </c>
      <c r="R19">
        <v>1353</v>
      </c>
    </row>
    <row r="20" spans="1:18" ht="15" customHeight="1">
      <c r="A20" s="106"/>
      <c r="D20" s="87" t="s">
        <v>109</v>
      </c>
      <c r="E20" s="87" t="s">
        <v>418</v>
      </c>
      <c r="F20" s="107"/>
      <c r="G20" s="108"/>
      <c r="H20" s="121">
        <v>0</v>
      </c>
      <c r="I20" s="121">
        <v>0</v>
      </c>
      <c r="J20" s="121">
        <v>162</v>
      </c>
      <c r="K20" s="121">
        <v>0</v>
      </c>
      <c r="L20" s="121">
        <v>0</v>
      </c>
      <c r="M20" s="109">
        <f t="shared" si="6"/>
        <v>162</v>
      </c>
      <c r="N20" s="175">
        <f t="shared" si="7"/>
        <v>162</v>
      </c>
      <c r="O20" s="110">
        <v>258</v>
      </c>
      <c r="P20" s="5">
        <f t="shared" si="5"/>
        <v>-96</v>
      </c>
      <c r="Q20" s="111">
        <f t="shared" si="3"/>
        <v>-0.37209302325581395</v>
      </c>
      <c r="R20">
        <v>1354</v>
      </c>
    </row>
    <row r="21" spans="1:18" ht="15" customHeight="1">
      <c r="A21" s="106"/>
      <c r="D21" s="87" t="s">
        <v>109</v>
      </c>
      <c r="E21" s="87" t="s">
        <v>419</v>
      </c>
      <c r="F21" s="107"/>
      <c r="G21" s="108"/>
      <c r="H21" s="121">
        <v>0</v>
      </c>
      <c r="I21" s="121">
        <v>32</v>
      </c>
      <c r="J21" s="121">
        <v>39</v>
      </c>
      <c r="K21" s="121">
        <v>2</v>
      </c>
      <c r="L21" s="121">
        <v>0</v>
      </c>
      <c r="M21" s="109">
        <f t="shared" si="6"/>
        <v>73</v>
      </c>
      <c r="N21" s="175">
        <f t="shared" si="7"/>
        <v>73</v>
      </c>
      <c r="O21" s="110">
        <v>92</v>
      </c>
      <c r="P21" s="5">
        <f t="shared" si="5"/>
        <v>-19</v>
      </c>
      <c r="Q21" s="111">
        <f t="shared" si="3"/>
        <v>-0.20652173913043478</v>
      </c>
      <c r="R21">
        <v>1355</v>
      </c>
    </row>
    <row r="22" spans="1:18" ht="15" customHeight="1">
      <c r="A22" s="106"/>
      <c r="D22" s="87" t="s">
        <v>109</v>
      </c>
      <c r="E22" s="122" t="s">
        <v>420</v>
      </c>
      <c r="F22" s="123">
        <f>1073.999-11</f>
        <v>1062.999</v>
      </c>
      <c r="G22" s="124" t="s">
        <v>306</v>
      </c>
      <c r="H22" s="114">
        <v>228</v>
      </c>
      <c r="I22" s="114">
        <v>775</v>
      </c>
      <c r="J22" s="114">
        <v>0</v>
      </c>
      <c r="K22" s="114">
        <v>0</v>
      </c>
      <c r="L22" s="114">
        <v>0</v>
      </c>
      <c r="M22" s="114">
        <f t="shared" si="6"/>
        <v>1003</v>
      </c>
      <c r="N22" s="176">
        <f t="shared" si="7"/>
        <v>2065.999</v>
      </c>
      <c r="O22" s="110"/>
      <c r="P22" s="5">
        <f t="shared" si="5"/>
        <v>2065.999</v>
      </c>
      <c r="Q22" s="111" t="e">
        <f t="shared" si="3"/>
        <v>#DIV/0!</v>
      </c>
      <c r="R22"/>
    </row>
    <row r="23" spans="1:18" ht="15" customHeight="1">
      <c r="A23" s="106"/>
      <c r="E23" s="115" t="s">
        <v>215</v>
      </c>
      <c r="F23" s="116">
        <f>SUM(F13:F22)</f>
        <v>3226.286</v>
      </c>
      <c r="G23" s="117"/>
      <c r="H23" s="118">
        <f aca="true" t="shared" si="8" ref="H23:O23">SUM(H13:H22)</f>
        <v>272</v>
      </c>
      <c r="I23" s="118">
        <f t="shared" si="8"/>
        <v>1988</v>
      </c>
      <c r="J23" s="118">
        <f t="shared" si="8"/>
        <v>913</v>
      </c>
      <c r="K23" s="118">
        <f t="shared" si="8"/>
        <v>289</v>
      </c>
      <c r="L23" s="118">
        <f t="shared" si="8"/>
        <v>0</v>
      </c>
      <c r="M23" s="119">
        <f t="shared" si="8"/>
        <v>3462</v>
      </c>
      <c r="N23" s="177">
        <f t="shared" si="8"/>
        <v>6688.286</v>
      </c>
      <c r="O23" s="120">
        <f t="shared" si="8"/>
        <v>4790</v>
      </c>
      <c r="P23" s="125">
        <f t="shared" si="5"/>
        <v>1898.286</v>
      </c>
      <c r="Q23" s="111">
        <f t="shared" si="3"/>
        <v>0.39630187891440505</v>
      </c>
      <c r="R23"/>
    </row>
    <row r="24" spans="1:18" ht="15" customHeight="1">
      <c r="A24" s="106"/>
      <c r="F24" s="107"/>
      <c r="G24" s="108"/>
      <c r="H24" s="109"/>
      <c r="I24" s="109"/>
      <c r="J24" s="109"/>
      <c r="K24" s="109"/>
      <c r="L24" s="109"/>
      <c r="M24" s="109"/>
      <c r="N24" s="175"/>
      <c r="O24" s="110"/>
      <c r="P24" s="5">
        <f t="shared" si="5"/>
        <v>0</v>
      </c>
      <c r="Q24" s="111" t="e">
        <f t="shared" si="3"/>
        <v>#DIV/0!</v>
      </c>
      <c r="R24"/>
    </row>
    <row r="25" spans="3:18" ht="15" customHeight="1">
      <c r="C25" s="87" t="s">
        <v>112</v>
      </c>
      <c r="D25" s="87" t="s">
        <v>109</v>
      </c>
      <c r="E25" s="106" t="s">
        <v>227</v>
      </c>
      <c r="F25" s="107">
        <v>304.5</v>
      </c>
      <c r="G25" s="108"/>
      <c r="H25" s="109"/>
      <c r="I25" s="109"/>
      <c r="J25" s="109"/>
      <c r="K25" s="109"/>
      <c r="L25" s="109"/>
      <c r="M25" s="109">
        <f aca="true" t="shared" si="9" ref="M25:M46">SUM(H25:L25)</f>
        <v>0</v>
      </c>
      <c r="N25" s="175">
        <f aca="true" t="shared" si="10" ref="N25:N46">SUM(F25:L25)</f>
        <v>304.5</v>
      </c>
      <c r="O25" s="110">
        <v>303</v>
      </c>
      <c r="P25" s="5">
        <f t="shared" si="5"/>
        <v>1.5</v>
      </c>
      <c r="Q25" s="111">
        <f t="shared" si="3"/>
        <v>0.0049504950495049506</v>
      </c>
      <c r="R25">
        <v>1401</v>
      </c>
    </row>
    <row r="26" spans="4:18" ht="15" customHeight="1">
      <c r="D26" s="87" t="s">
        <v>109</v>
      </c>
      <c r="E26" s="106" t="s">
        <v>228</v>
      </c>
      <c r="F26" s="107">
        <v>239.14</v>
      </c>
      <c r="G26" s="108"/>
      <c r="H26" s="109"/>
      <c r="I26" s="109"/>
      <c r="J26" s="109"/>
      <c r="K26" s="109"/>
      <c r="L26" s="109"/>
      <c r="M26" s="109">
        <f t="shared" si="9"/>
        <v>0</v>
      </c>
      <c r="N26" s="175">
        <f t="shared" si="10"/>
        <v>239.14</v>
      </c>
      <c r="O26" s="110">
        <v>239</v>
      </c>
      <c r="P26" s="5">
        <f t="shared" si="5"/>
        <v>0.13999999999998636</v>
      </c>
      <c r="Q26" s="111">
        <f t="shared" si="3"/>
        <v>0.0005857740585773488</v>
      </c>
      <c r="R26">
        <v>1402</v>
      </c>
    </row>
    <row r="27" spans="4:18" ht="15" customHeight="1">
      <c r="D27" s="87" t="s">
        <v>109</v>
      </c>
      <c r="E27" s="106" t="s">
        <v>421</v>
      </c>
      <c r="F27" s="126">
        <v>3310.9</v>
      </c>
      <c r="G27" s="127"/>
      <c r="H27" s="109"/>
      <c r="I27" s="109"/>
      <c r="J27" s="109"/>
      <c r="K27" s="109"/>
      <c r="L27" s="109"/>
      <c r="M27" s="109">
        <f t="shared" si="9"/>
        <v>0</v>
      </c>
      <c r="N27" s="175">
        <f t="shared" si="10"/>
        <v>3310.9</v>
      </c>
      <c r="O27" s="110">
        <v>3149</v>
      </c>
      <c r="P27" s="5">
        <f t="shared" si="5"/>
        <v>161.9000000000001</v>
      </c>
      <c r="Q27" s="111">
        <f t="shared" si="3"/>
        <v>0.051413147030803456</v>
      </c>
      <c r="R27">
        <v>1403</v>
      </c>
    </row>
    <row r="28" spans="4:18" ht="15" customHeight="1">
      <c r="D28" s="87" t="s">
        <v>109</v>
      </c>
      <c r="E28" s="106" t="s">
        <v>229</v>
      </c>
      <c r="F28" s="107">
        <v>2554.9</v>
      </c>
      <c r="G28" s="108"/>
      <c r="H28" s="109">
        <v>-36</v>
      </c>
      <c r="I28" s="109">
        <v>0</v>
      </c>
      <c r="J28" s="109">
        <v>0</v>
      </c>
      <c r="K28" s="109">
        <v>0</v>
      </c>
      <c r="L28" s="109">
        <v>0</v>
      </c>
      <c r="M28" s="109">
        <f t="shared" si="9"/>
        <v>-36</v>
      </c>
      <c r="N28" s="175">
        <f t="shared" si="10"/>
        <v>2518.9</v>
      </c>
      <c r="O28" s="110">
        <v>2534</v>
      </c>
      <c r="P28" s="5">
        <f t="shared" si="5"/>
        <v>-15.099999999999909</v>
      </c>
      <c r="Q28" s="111">
        <f t="shared" si="3"/>
        <v>-0.005958958168902884</v>
      </c>
      <c r="R28">
        <v>1404</v>
      </c>
    </row>
    <row r="29" spans="4:18" ht="15" customHeight="1">
      <c r="D29" s="87" t="s">
        <v>109</v>
      </c>
      <c r="E29" s="106" t="s">
        <v>259</v>
      </c>
      <c r="F29" s="107">
        <v>168</v>
      </c>
      <c r="G29" s="108"/>
      <c r="H29" s="109"/>
      <c r="I29" s="109"/>
      <c r="J29" s="109"/>
      <c r="K29" s="109"/>
      <c r="L29" s="109"/>
      <c r="M29" s="109">
        <f t="shared" si="9"/>
        <v>0</v>
      </c>
      <c r="N29" s="175">
        <f t="shared" si="10"/>
        <v>168</v>
      </c>
      <c r="O29" s="110">
        <v>168</v>
      </c>
      <c r="P29" s="5">
        <f t="shared" si="5"/>
        <v>0</v>
      </c>
      <c r="Q29" s="111">
        <f t="shared" si="3"/>
        <v>0</v>
      </c>
      <c r="R29">
        <v>1405</v>
      </c>
    </row>
    <row r="30" spans="4:18" ht="15" customHeight="1">
      <c r="D30" s="87" t="s">
        <v>109</v>
      </c>
      <c r="E30" s="106" t="s">
        <v>256</v>
      </c>
      <c r="F30" s="107">
        <v>2263</v>
      </c>
      <c r="G30" s="108"/>
      <c r="H30" s="109"/>
      <c r="I30" s="109"/>
      <c r="J30" s="109"/>
      <c r="K30" s="109"/>
      <c r="L30" s="109"/>
      <c r="M30" s="109">
        <f t="shared" si="9"/>
        <v>0</v>
      </c>
      <c r="N30" s="175">
        <f t="shared" si="10"/>
        <v>2263</v>
      </c>
      <c r="O30" s="110">
        <v>2214</v>
      </c>
      <c r="P30" s="5">
        <f t="shared" si="5"/>
        <v>49</v>
      </c>
      <c r="Q30" s="111">
        <f t="shared" si="3"/>
        <v>0.022131887985546522</v>
      </c>
      <c r="R30">
        <v>1406</v>
      </c>
    </row>
    <row r="31" spans="4:18" ht="15" customHeight="1">
      <c r="D31" s="87" t="s">
        <v>109</v>
      </c>
      <c r="E31" s="106" t="s">
        <v>231</v>
      </c>
      <c r="F31" s="107">
        <v>2569</v>
      </c>
      <c r="G31" s="108"/>
      <c r="H31" s="109"/>
      <c r="I31" s="109"/>
      <c r="J31" s="109"/>
      <c r="K31" s="109"/>
      <c r="L31" s="109"/>
      <c r="M31" s="109">
        <f t="shared" si="9"/>
        <v>0</v>
      </c>
      <c r="N31" s="175">
        <f t="shared" si="10"/>
        <v>2569</v>
      </c>
      <c r="O31" s="110">
        <v>2523</v>
      </c>
      <c r="P31" s="5">
        <f t="shared" si="5"/>
        <v>46</v>
      </c>
      <c r="Q31" s="111">
        <f t="shared" si="3"/>
        <v>0.01823226317875545</v>
      </c>
      <c r="R31">
        <v>1407</v>
      </c>
    </row>
    <row r="32" spans="1:18" ht="15" customHeight="1">
      <c r="A32" s="106" t="s">
        <v>233</v>
      </c>
      <c r="D32" s="87" t="s">
        <v>110</v>
      </c>
      <c r="E32" s="87" t="s">
        <v>422</v>
      </c>
      <c r="F32" s="107">
        <v>2353</v>
      </c>
      <c r="G32" s="108"/>
      <c r="H32" s="109">
        <v>178</v>
      </c>
      <c r="I32" s="109">
        <v>172</v>
      </c>
      <c r="J32" s="109">
        <v>0</v>
      </c>
      <c r="K32" s="109">
        <v>0</v>
      </c>
      <c r="L32" s="109">
        <v>0</v>
      </c>
      <c r="M32" s="109">
        <f t="shared" si="9"/>
        <v>350</v>
      </c>
      <c r="N32" s="175">
        <f t="shared" si="10"/>
        <v>2703</v>
      </c>
      <c r="O32" s="110">
        <v>1836</v>
      </c>
      <c r="P32" s="5">
        <f t="shared" si="5"/>
        <v>867</v>
      </c>
      <c r="Q32" s="111">
        <f t="shared" si="3"/>
        <v>0.4722222222222222</v>
      </c>
      <c r="R32">
        <v>1408</v>
      </c>
    </row>
    <row r="33" spans="4:18" ht="15" customHeight="1">
      <c r="D33" s="87" t="s">
        <v>109</v>
      </c>
      <c r="E33" s="106" t="s">
        <v>234</v>
      </c>
      <c r="F33" s="107">
        <v>832.9</v>
      </c>
      <c r="G33" s="108"/>
      <c r="H33" s="109"/>
      <c r="I33" s="109"/>
      <c r="J33" s="109"/>
      <c r="K33" s="109"/>
      <c r="L33" s="109"/>
      <c r="M33" s="109">
        <f t="shared" si="9"/>
        <v>0</v>
      </c>
      <c r="N33" s="175">
        <f t="shared" si="10"/>
        <v>832.9</v>
      </c>
      <c r="O33" s="110">
        <v>488</v>
      </c>
      <c r="P33" s="5">
        <f t="shared" si="5"/>
        <v>344.9</v>
      </c>
      <c r="Q33" s="111">
        <f t="shared" si="3"/>
        <v>0.7067622950819672</v>
      </c>
      <c r="R33">
        <v>1409</v>
      </c>
    </row>
    <row r="34" spans="4:18" ht="15" customHeight="1">
      <c r="D34" s="87" t="s">
        <v>109</v>
      </c>
      <c r="E34" s="106" t="s">
        <v>230</v>
      </c>
      <c r="F34" s="107">
        <v>1049.908</v>
      </c>
      <c r="G34" s="108"/>
      <c r="H34" s="109"/>
      <c r="I34" s="109"/>
      <c r="J34" s="109"/>
      <c r="K34" s="109"/>
      <c r="L34" s="109"/>
      <c r="M34" s="109">
        <f t="shared" si="9"/>
        <v>0</v>
      </c>
      <c r="N34" s="175">
        <f t="shared" si="10"/>
        <v>1049.908</v>
      </c>
      <c r="O34" s="110">
        <v>799</v>
      </c>
      <c r="P34" s="5">
        <f t="shared" si="5"/>
        <v>250.9079999999999</v>
      </c>
      <c r="Q34" s="111">
        <f t="shared" si="3"/>
        <v>0.3140275344180224</v>
      </c>
      <c r="R34">
        <v>1410</v>
      </c>
    </row>
    <row r="35" spans="1:18" ht="15" customHeight="1">
      <c r="A35" s="106" t="s">
        <v>235</v>
      </c>
      <c r="D35" s="87" t="s">
        <v>109</v>
      </c>
      <c r="E35" s="122" t="s">
        <v>423</v>
      </c>
      <c r="F35" s="107">
        <v>9965</v>
      </c>
      <c r="G35" s="108"/>
      <c r="H35" s="109">
        <v>-80</v>
      </c>
      <c r="I35" s="109">
        <v>0</v>
      </c>
      <c r="J35" s="109">
        <v>0</v>
      </c>
      <c r="K35" s="109">
        <v>0</v>
      </c>
      <c r="L35" s="109">
        <v>0</v>
      </c>
      <c r="M35" s="109">
        <f t="shared" si="9"/>
        <v>-80</v>
      </c>
      <c r="N35" s="175">
        <f t="shared" si="10"/>
        <v>9885</v>
      </c>
      <c r="O35" s="110">
        <v>8329</v>
      </c>
      <c r="P35" s="125">
        <f t="shared" si="5"/>
        <v>1556</v>
      </c>
      <c r="Q35" s="111">
        <f t="shared" si="3"/>
        <v>0.18681714491535598</v>
      </c>
      <c r="R35">
        <v>1411</v>
      </c>
    </row>
    <row r="36" spans="4:18" ht="15" customHeight="1">
      <c r="D36" s="87" t="s">
        <v>109</v>
      </c>
      <c r="E36" s="106" t="s">
        <v>232</v>
      </c>
      <c r="F36" s="107">
        <v>540.732</v>
      </c>
      <c r="G36" s="108"/>
      <c r="H36" s="109"/>
      <c r="I36" s="109"/>
      <c r="J36" s="109"/>
      <c r="K36" s="109"/>
      <c r="L36" s="109"/>
      <c r="M36" s="109">
        <f t="shared" si="9"/>
        <v>0</v>
      </c>
      <c r="N36" s="175">
        <f t="shared" si="10"/>
        <v>540.732</v>
      </c>
      <c r="O36" s="110">
        <v>310</v>
      </c>
      <c r="P36" s="5">
        <f t="shared" si="5"/>
        <v>230.73199999999997</v>
      </c>
      <c r="Q36" s="111">
        <f t="shared" si="3"/>
        <v>0.7442967741935483</v>
      </c>
      <c r="R36">
        <v>1412</v>
      </c>
    </row>
    <row r="37" spans="4:18" ht="15" customHeight="1">
      <c r="D37" s="87" t="s">
        <v>109</v>
      </c>
      <c r="E37" s="106" t="s">
        <v>251</v>
      </c>
      <c r="F37" s="107">
        <v>27.819</v>
      </c>
      <c r="G37" s="108"/>
      <c r="H37" s="109"/>
      <c r="I37" s="109"/>
      <c r="J37" s="109"/>
      <c r="K37" s="109"/>
      <c r="L37" s="109"/>
      <c r="M37" s="109">
        <f t="shared" si="9"/>
        <v>0</v>
      </c>
      <c r="N37" s="175">
        <f t="shared" si="10"/>
        <v>27.819</v>
      </c>
      <c r="O37" s="110">
        <v>23</v>
      </c>
      <c r="P37" s="5">
        <f t="shared" si="5"/>
        <v>4.818999999999999</v>
      </c>
      <c r="Q37" s="111">
        <f t="shared" si="3"/>
        <v>0.20952173913043473</v>
      </c>
      <c r="R37">
        <v>1413</v>
      </c>
    </row>
    <row r="38" spans="4:18" ht="15" customHeight="1">
      <c r="D38" s="87" t="s">
        <v>109</v>
      </c>
      <c r="E38" s="128" t="s">
        <v>254</v>
      </c>
      <c r="F38" s="129">
        <v>638.674</v>
      </c>
      <c r="G38" s="130"/>
      <c r="H38" s="109"/>
      <c r="I38" s="109"/>
      <c r="J38" s="109"/>
      <c r="K38" s="109"/>
      <c r="L38" s="109"/>
      <c r="M38" s="109">
        <f t="shared" si="9"/>
        <v>0</v>
      </c>
      <c r="N38" s="175">
        <f t="shared" si="10"/>
        <v>638.674</v>
      </c>
      <c r="O38" s="110"/>
      <c r="P38" s="5">
        <f t="shared" si="5"/>
        <v>638.674</v>
      </c>
      <c r="Q38" s="111" t="e">
        <f t="shared" si="3"/>
        <v>#DIV/0!</v>
      </c>
      <c r="R38"/>
    </row>
    <row r="39" spans="4:18" ht="15" customHeight="1">
      <c r="D39" s="87" t="s">
        <v>109</v>
      </c>
      <c r="E39" s="106" t="s">
        <v>253</v>
      </c>
      <c r="F39" s="107">
        <v>24.038</v>
      </c>
      <c r="G39" s="108"/>
      <c r="H39" s="109"/>
      <c r="I39" s="109"/>
      <c r="J39" s="109"/>
      <c r="K39" s="109"/>
      <c r="L39" s="109"/>
      <c r="M39" s="109">
        <f t="shared" si="9"/>
        <v>0</v>
      </c>
      <c r="N39" s="175">
        <f t="shared" si="10"/>
        <v>24.038</v>
      </c>
      <c r="O39" s="110"/>
      <c r="P39" s="5">
        <f t="shared" si="5"/>
        <v>24.038</v>
      </c>
      <c r="Q39" s="111" t="e">
        <f t="shared" si="3"/>
        <v>#DIV/0!</v>
      </c>
      <c r="R39"/>
    </row>
    <row r="40" spans="1:18" ht="15" customHeight="1">
      <c r="A40" s="131" t="s">
        <v>113</v>
      </c>
      <c r="D40" s="87" t="s">
        <v>109</v>
      </c>
      <c r="E40" s="122" t="s">
        <v>424</v>
      </c>
      <c r="F40" s="126">
        <f>4418.959-3310.469</f>
        <v>1108.4899999999998</v>
      </c>
      <c r="G40" s="127"/>
      <c r="H40" s="109">
        <v>1066</v>
      </c>
      <c r="I40" s="109">
        <v>422</v>
      </c>
      <c r="J40" s="109">
        <v>0</v>
      </c>
      <c r="K40" s="109">
        <v>0</v>
      </c>
      <c r="L40" s="109">
        <v>0</v>
      </c>
      <c r="M40" s="109">
        <f t="shared" si="9"/>
        <v>1488</v>
      </c>
      <c r="N40" s="175">
        <f t="shared" si="10"/>
        <v>2596.49</v>
      </c>
      <c r="O40" s="110"/>
      <c r="P40" s="125">
        <f t="shared" si="5"/>
        <v>2596.49</v>
      </c>
      <c r="Q40" s="111" t="e">
        <f t="shared" si="3"/>
        <v>#DIV/0!</v>
      </c>
      <c r="R40"/>
    </row>
    <row r="41" spans="1:18" ht="15" customHeight="1">
      <c r="A41" s="131" t="s">
        <v>303</v>
      </c>
      <c r="D41" s="87" t="s">
        <v>109</v>
      </c>
      <c r="E41" s="87" t="s">
        <v>425</v>
      </c>
      <c r="F41" s="126">
        <v>157.99</v>
      </c>
      <c r="G41" s="127"/>
      <c r="H41" s="109">
        <v>118</v>
      </c>
      <c r="I41" s="109">
        <v>0</v>
      </c>
      <c r="J41" s="109">
        <v>0</v>
      </c>
      <c r="K41" s="109">
        <v>0</v>
      </c>
      <c r="L41" s="109">
        <v>0</v>
      </c>
      <c r="M41" s="109">
        <f t="shared" si="9"/>
        <v>118</v>
      </c>
      <c r="N41" s="175">
        <f t="shared" si="10"/>
        <v>275.99</v>
      </c>
      <c r="O41" s="110"/>
      <c r="P41" s="5">
        <f t="shared" si="5"/>
        <v>275.99</v>
      </c>
      <c r="Q41" s="111" t="e">
        <f t="shared" si="3"/>
        <v>#DIV/0!</v>
      </c>
      <c r="R41"/>
    </row>
    <row r="42" spans="4:18" ht="15" customHeight="1">
      <c r="D42" s="87" t="s">
        <v>109</v>
      </c>
      <c r="E42" s="106" t="s">
        <v>255</v>
      </c>
      <c r="F42" s="107">
        <v>48.434</v>
      </c>
      <c r="G42" s="108"/>
      <c r="H42" s="109"/>
      <c r="I42" s="109"/>
      <c r="J42" s="109"/>
      <c r="K42" s="109"/>
      <c r="L42" s="109"/>
      <c r="M42" s="109">
        <f t="shared" si="9"/>
        <v>0</v>
      </c>
      <c r="N42" s="175">
        <f t="shared" si="10"/>
        <v>48.434</v>
      </c>
      <c r="O42" s="110"/>
      <c r="P42" s="5">
        <f t="shared" si="5"/>
        <v>48.434</v>
      </c>
      <c r="Q42" s="111" t="e">
        <f t="shared" si="3"/>
        <v>#DIV/0!</v>
      </c>
      <c r="R42"/>
    </row>
    <row r="43" spans="1:18" ht="15" customHeight="1">
      <c r="A43" s="106"/>
      <c r="D43" s="87" t="s">
        <v>109</v>
      </c>
      <c r="E43" s="87" t="s">
        <v>426</v>
      </c>
      <c r="F43" s="107"/>
      <c r="G43" s="108"/>
      <c r="H43" s="109">
        <v>362</v>
      </c>
      <c r="I43" s="109">
        <v>660</v>
      </c>
      <c r="J43" s="109">
        <v>0</v>
      </c>
      <c r="K43" s="109">
        <v>17</v>
      </c>
      <c r="L43" s="109">
        <v>0</v>
      </c>
      <c r="M43" s="109">
        <f t="shared" si="9"/>
        <v>1039</v>
      </c>
      <c r="N43" s="175">
        <f t="shared" si="10"/>
        <v>1039</v>
      </c>
      <c r="O43" s="110">
        <v>86</v>
      </c>
      <c r="P43" s="5">
        <f t="shared" si="5"/>
        <v>953</v>
      </c>
      <c r="Q43" s="111">
        <f t="shared" si="3"/>
        <v>11.081395348837209</v>
      </c>
      <c r="R43">
        <v>1431</v>
      </c>
    </row>
    <row r="44" spans="1:18" ht="15" customHeight="1">
      <c r="A44" s="131" t="s">
        <v>299</v>
      </c>
      <c r="D44" s="87" t="s">
        <v>110</v>
      </c>
      <c r="E44" s="92" t="s">
        <v>427</v>
      </c>
      <c r="F44" s="132">
        <f>6042.2-60</f>
        <v>5982.2</v>
      </c>
      <c r="G44" s="124" t="s">
        <v>306</v>
      </c>
      <c r="H44" s="109">
        <v>1054</v>
      </c>
      <c r="I44" s="109">
        <v>1813</v>
      </c>
      <c r="J44" s="109">
        <v>0</v>
      </c>
      <c r="K44" s="109">
        <v>0</v>
      </c>
      <c r="L44" s="109">
        <v>0</v>
      </c>
      <c r="M44" s="109">
        <f t="shared" si="9"/>
        <v>2867</v>
      </c>
      <c r="N44" s="175">
        <f t="shared" si="10"/>
        <v>8849.2</v>
      </c>
      <c r="O44" s="110">
        <v>5091</v>
      </c>
      <c r="P44" s="133">
        <f t="shared" si="5"/>
        <v>3758.2000000000007</v>
      </c>
      <c r="Q44" s="111">
        <f t="shared" si="3"/>
        <v>0.7382046749165195</v>
      </c>
      <c r="R44">
        <v>1451</v>
      </c>
    </row>
    <row r="45" spans="1:18" ht="15" customHeight="1">
      <c r="A45" s="131"/>
      <c r="D45" s="87" t="s">
        <v>110</v>
      </c>
      <c r="E45" s="87" t="s">
        <v>428</v>
      </c>
      <c r="F45" s="107"/>
      <c r="G45" s="108"/>
      <c r="H45" s="109">
        <v>90</v>
      </c>
      <c r="I45" s="109">
        <v>411</v>
      </c>
      <c r="J45" s="109">
        <v>0</v>
      </c>
      <c r="K45" s="109">
        <v>0</v>
      </c>
      <c r="L45" s="109">
        <v>0</v>
      </c>
      <c r="M45" s="109">
        <f t="shared" si="9"/>
        <v>501</v>
      </c>
      <c r="N45" s="175">
        <f t="shared" si="10"/>
        <v>501</v>
      </c>
      <c r="O45" s="110"/>
      <c r="P45" s="5">
        <f t="shared" si="5"/>
        <v>501</v>
      </c>
      <c r="Q45" s="111" t="e">
        <f t="shared" si="3"/>
        <v>#DIV/0!</v>
      </c>
      <c r="R45"/>
    </row>
    <row r="46" spans="4:18" ht="15" customHeight="1">
      <c r="D46" s="87" t="s">
        <v>109</v>
      </c>
      <c r="E46" s="106" t="s">
        <v>295</v>
      </c>
      <c r="F46" s="112">
        <v>57.337</v>
      </c>
      <c r="G46" s="113"/>
      <c r="H46" s="114"/>
      <c r="I46" s="114"/>
      <c r="J46" s="114"/>
      <c r="K46" s="114"/>
      <c r="L46" s="114"/>
      <c r="M46" s="114">
        <f t="shared" si="9"/>
        <v>0</v>
      </c>
      <c r="N46" s="176">
        <f t="shared" si="10"/>
        <v>57.337</v>
      </c>
      <c r="O46" s="110"/>
      <c r="P46" s="5">
        <f t="shared" si="5"/>
        <v>57.337</v>
      </c>
      <c r="Q46" s="111" t="e">
        <f t="shared" si="3"/>
        <v>#DIV/0!</v>
      </c>
      <c r="R46"/>
    </row>
    <row r="47" spans="5:18" ht="15" customHeight="1">
      <c r="E47" s="115" t="s">
        <v>215</v>
      </c>
      <c r="F47" s="116">
        <f>SUM(F25:F46)</f>
        <v>34195.962</v>
      </c>
      <c r="G47" s="117"/>
      <c r="H47" s="118">
        <f aca="true" t="shared" si="11" ref="H47:O47">SUM(H25:H46)</f>
        <v>2752</v>
      </c>
      <c r="I47" s="118">
        <f t="shared" si="11"/>
        <v>3478</v>
      </c>
      <c r="J47" s="118">
        <f t="shared" si="11"/>
        <v>0</v>
      </c>
      <c r="K47" s="118">
        <f t="shared" si="11"/>
        <v>17</v>
      </c>
      <c r="L47" s="118">
        <f t="shared" si="11"/>
        <v>0</v>
      </c>
      <c r="M47" s="119">
        <f t="shared" si="11"/>
        <v>6247</v>
      </c>
      <c r="N47" s="177">
        <f t="shared" si="11"/>
        <v>40442.962</v>
      </c>
      <c r="O47" s="120">
        <f t="shared" si="11"/>
        <v>28092</v>
      </c>
      <c r="P47" s="5">
        <f t="shared" si="5"/>
        <v>12350.962</v>
      </c>
      <c r="Q47" s="111">
        <f t="shared" si="3"/>
        <v>0.43966118467891213</v>
      </c>
      <c r="R47"/>
    </row>
    <row r="48" spans="5:18" ht="15" customHeight="1">
      <c r="E48" s="106"/>
      <c r="F48" s="107"/>
      <c r="G48" s="108"/>
      <c r="H48" s="109"/>
      <c r="I48" s="109"/>
      <c r="J48" s="109"/>
      <c r="K48" s="109"/>
      <c r="L48" s="109"/>
      <c r="M48" s="109"/>
      <c r="N48" s="175"/>
      <c r="O48" s="110"/>
      <c r="P48" s="5">
        <f t="shared" si="5"/>
        <v>0</v>
      </c>
      <c r="Q48" s="111" t="e">
        <f t="shared" si="3"/>
        <v>#DIV/0!</v>
      </c>
      <c r="R48"/>
    </row>
    <row r="49" spans="1:18" ht="15" customHeight="1">
      <c r="A49" s="106" t="s">
        <v>225</v>
      </c>
      <c r="C49" s="87" t="s">
        <v>114</v>
      </c>
      <c r="D49" s="87" t="s">
        <v>109</v>
      </c>
      <c r="E49" s="122" t="s">
        <v>429</v>
      </c>
      <c r="F49" s="132">
        <f>335.94-5</f>
        <v>330.94</v>
      </c>
      <c r="G49" s="124" t="s">
        <v>306</v>
      </c>
      <c r="H49" s="109">
        <v>164</v>
      </c>
      <c r="I49" s="109">
        <v>22</v>
      </c>
      <c r="J49" s="109">
        <v>0</v>
      </c>
      <c r="K49" s="109">
        <v>0</v>
      </c>
      <c r="L49" s="109">
        <v>0</v>
      </c>
      <c r="M49" s="109">
        <f>SUM(H49:L49)</f>
        <v>186</v>
      </c>
      <c r="N49" s="175">
        <f>SUM(F49:L49)</f>
        <v>516.94</v>
      </c>
      <c r="O49" s="110">
        <v>221</v>
      </c>
      <c r="P49" s="5">
        <f t="shared" si="5"/>
        <v>295.94000000000005</v>
      </c>
      <c r="Q49" s="111">
        <f t="shared" si="3"/>
        <v>1.3390950226244347</v>
      </c>
      <c r="R49">
        <v>1501</v>
      </c>
    </row>
    <row r="50" spans="1:18" ht="15" customHeight="1">
      <c r="A50" s="106" t="s">
        <v>226</v>
      </c>
      <c r="D50" s="87" t="s">
        <v>109</v>
      </c>
      <c r="E50" s="122" t="s">
        <v>430</v>
      </c>
      <c r="F50" s="112">
        <v>4.061</v>
      </c>
      <c r="G50" s="113"/>
      <c r="H50" s="114">
        <v>0</v>
      </c>
      <c r="I50" s="114">
        <v>403</v>
      </c>
      <c r="J50" s="114">
        <v>673</v>
      </c>
      <c r="K50" s="114">
        <v>0</v>
      </c>
      <c r="L50" s="114">
        <v>0</v>
      </c>
      <c r="M50" s="114">
        <f>SUM(H50:L50)</f>
        <v>1076</v>
      </c>
      <c r="N50" s="176">
        <f>SUM(F50:L50)</f>
        <v>1080.061</v>
      </c>
      <c r="O50" s="110">
        <v>1191</v>
      </c>
      <c r="P50" s="5">
        <f t="shared" si="5"/>
        <v>-110.93900000000008</v>
      </c>
      <c r="Q50" s="111">
        <f t="shared" si="3"/>
        <v>-0.0931477749790093</v>
      </c>
      <c r="R50">
        <v>1550</v>
      </c>
    </row>
    <row r="51" spans="1:18" ht="15" customHeight="1">
      <c r="A51" s="106"/>
      <c r="E51" s="115" t="s">
        <v>215</v>
      </c>
      <c r="F51" s="116">
        <f>SUM(F49:F50)</f>
        <v>335.001</v>
      </c>
      <c r="G51" s="117"/>
      <c r="H51" s="118">
        <f aca="true" t="shared" si="12" ref="H51:O51">SUM(H49:H50)</f>
        <v>164</v>
      </c>
      <c r="I51" s="118">
        <f t="shared" si="12"/>
        <v>425</v>
      </c>
      <c r="J51" s="118">
        <f t="shared" si="12"/>
        <v>673</v>
      </c>
      <c r="K51" s="118">
        <f t="shared" si="12"/>
        <v>0</v>
      </c>
      <c r="L51" s="118">
        <f t="shared" si="12"/>
        <v>0</v>
      </c>
      <c r="M51" s="119">
        <f t="shared" si="12"/>
        <v>1262</v>
      </c>
      <c r="N51" s="177">
        <f t="shared" si="12"/>
        <v>1597.001</v>
      </c>
      <c r="O51" s="120">
        <f t="shared" si="12"/>
        <v>1412</v>
      </c>
      <c r="P51" s="125">
        <f t="shared" si="5"/>
        <v>185.00099999999998</v>
      </c>
      <c r="Q51" s="111">
        <f t="shared" si="3"/>
        <v>0.13102053824362606</v>
      </c>
      <c r="R51"/>
    </row>
    <row r="52" spans="1:18" ht="15" customHeight="1">
      <c r="A52" s="106"/>
      <c r="F52" s="107"/>
      <c r="G52" s="108"/>
      <c r="H52" s="109"/>
      <c r="I52" s="109"/>
      <c r="J52" s="109"/>
      <c r="K52" s="109"/>
      <c r="L52" s="109"/>
      <c r="M52" s="109"/>
      <c r="N52" s="175"/>
      <c r="O52" s="110"/>
      <c r="P52" s="5">
        <f t="shared" si="5"/>
        <v>0</v>
      </c>
      <c r="Q52" s="111" t="e">
        <f t="shared" si="3"/>
        <v>#DIV/0!</v>
      </c>
      <c r="R52"/>
    </row>
    <row r="53" spans="1:18" ht="15" customHeight="1">
      <c r="A53" s="134" t="s">
        <v>296</v>
      </c>
      <c r="C53" s="87" t="s">
        <v>115</v>
      </c>
      <c r="D53" s="87" t="s">
        <v>109</v>
      </c>
      <c r="E53" s="135" t="s">
        <v>431</v>
      </c>
      <c r="F53" s="116">
        <v>2.614</v>
      </c>
      <c r="G53" s="117"/>
      <c r="H53" s="136">
        <v>6</v>
      </c>
      <c r="I53" s="136">
        <v>323</v>
      </c>
      <c r="J53" s="136">
        <v>372</v>
      </c>
      <c r="K53" s="136">
        <v>160</v>
      </c>
      <c r="L53" s="136">
        <v>0</v>
      </c>
      <c r="M53" s="136">
        <f>SUM(H53:L53)</f>
        <v>861</v>
      </c>
      <c r="N53" s="178">
        <f>SUM(F53:L53)</f>
        <v>863.614</v>
      </c>
      <c r="O53" s="110">
        <v>1140</v>
      </c>
      <c r="P53" s="5">
        <f t="shared" si="5"/>
        <v>-276.38599999999997</v>
      </c>
      <c r="Q53" s="111">
        <f t="shared" si="3"/>
        <v>-0.24244385964912277</v>
      </c>
      <c r="R53">
        <v>1601</v>
      </c>
    </row>
    <row r="54" spans="1:18" ht="15" customHeight="1">
      <c r="A54" s="134"/>
      <c r="F54" s="107"/>
      <c r="G54" s="108"/>
      <c r="H54" s="109"/>
      <c r="I54" s="109"/>
      <c r="J54" s="109"/>
      <c r="K54" s="109"/>
      <c r="L54" s="109"/>
      <c r="M54" s="109"/>
      <c r="N54" s="175"/>
      <c r="O54" s="110"/>
      <c r="P54" s="5">
        <f t="shared" si="5"/>
        <v>0</v>
      </c>
      <c r="Q54" s="111" t="e">
        <f t="shared" si="3"/>
        <v>#DIV/0!</v>
      </c>
      <c r="R54"/>
    </row>
    <row r="55" spans="1:18" ht="15" customHeight="1">
      <c r="A55" s="106" t="s">
        <v>304</v>
      </c>
      <c r="C55" s="87" t="s">
        <v>116</v>
      </c>
      <c r="D55" s="87" t="s">
        <v>109</v>
      </c>
      <c r="E55" s="87" t="s">
        <v>432</v>
      </c>
      <c r="F55" s="107">
        <v>431.07300000000004</v>
      </c>
      <c r="G55" s="108"/>
      <c r="H55" s="121">
        <v>0</v>
      </c>
      <c r="I55" s="121">
        <v>0</v>
      </c>
      <c r="J55" s="121">
        <v>207</v>
      </c>
      <c r="K55" s="121">
        <v>0</v>
      </c>
      <c r="L55" s="121">
        <v>0</v>
      </c>
      <c r="M55" s="109">
        <f>SUM(H55:L55)</f>
        <v>207</v>
      </c>
      <c r="N55" s="175">
        <f>SUM(F55:L55)</f>
        <v>638.0730000000001</v>
      </c>
      <c r="O55" s="110">
        <v>504</v>
      </c>
      <c r="P55" s="5">
        <f t="shared" si="5"/>
        <v>134.0730000000001</v>
      </c>
      <c r="Q55" s="111">
        <f t="shared" si="3"/>
        <v>0.2660178571428573</v>
      </c>
      <c r="R55">
        <v>1701</v>
      </c>
    </row>
    <row r="56" spans="1:18" ht="15" customHeight="1">
      <c r="A56" s="106"/>
      <c r="D56" s="87" t="s">
        <v>109</v>
      </c>
      <c r="E56" s="87" t="s">
        <v>433</v>
      </c>
      <c r="F56" s="107"/>
      <c r="G56" s="108"/>
      <c r="H56" s="121">
        <v>0</v>
      </c>
      <c r="I56" s="121">
        <v>163</v>
      </c>
      <c r="J56" s="121">
        <v>0</v>
      </c>
      <c r="K56" s="121">
        <v>0</v>
      </c>
      <c r="L56" s="121">
        <v>0</v>
      </c>
      <c r="M56" s="109">
        <f>SUM(H56:L56)</f>
        <v>163</v>
      </c>
      <c r="N56" s="175">
        <f>SUM(F56:L56)</f>
        <v>163</v>
      </c>
      <c r="O56" s="110">
        <v>541</v>
      </c>
      <c r="P56" s="5">
        <f t="shared" si="5"/>
        <v>-378</v>
      </c>
      <c r="Q56" s="111">
        <f t="shared" si="3"/>
        <v>-0.6987060998151571</v>
      </c>
      <c r="R56">
        <v>1751</v>
      </c>
    </row>
    <row r="57" spans="1:18" ht="15" customHeight="1">
      <c r="A57" s="106"/>
      <c r="D57" s="87" t="s">
        <v>109</v>
      </c>
      <c r="E57" s="87" t="s">
        <v>434</v>
      </c>
      <c r="F57" s="107"/>
      <c r="G57" s="108"/>
      <c r="H57" s="121">
        <v>0</v>
      </c>
      <c r="I57" s="121">
        <v>0</v>
      </c>
      <c r="J57" s="121">
        <v>0</v>
      </c>
      <c r="K57" s="121">
        <v>325</v>
      </c>
      <c r="L57" s="121">
        <v>0</v>
      </c>
      <c r="M57" s="109">
        <f>SUM(H57:L57)</f>
        <v>325</v>
      </c>
      <c r="N57" s="175">
        <f>SUM(F57:L57)</f>
        <v>325</v>
      </c>
      <c r="O57" s="110">
        <v>315</v>
      </c>
      <c r="P57" s="5">
        <f t="shared" si="5"/>
        <v>10</v>
      </c>
      <c r="Q57" s="111">
        <f t="shared" si="3"/>
        <v>0.031746031746031744</v>
      </c>
      <c r="R57">
        <v>1752</v>
      </c>
    </row>
    <row r="58" spans="1:18" ht="15" customHeight="1">
      <c r="A58" s="106"/>
      <c r="D58" s="87" t="s">
        <v>109</v>
      </c>
      <c r="E58" s="87" t="s">
        <v>435</v>
      </c>
      <c r="F58" s="112"/>
      <c r="G58" s="113"/>
      <c r="H58" s="114">
        <v>0</v>
      </c>
      <c r="I58" s="114">
        <v>61</v>
      </c>
      <c r="J58" s="114">
        <v>28</v>
      </c>
      <c r="K58" s="114">
        <v>0</v>
      </c>
      <c r="L58" s="114">
        <v>0</v>
      </c>
      <c r="M58" s="114">
        <f>SUM(H58:L58)</f>
        <v>89</v>
      </c>
      <c r="N58" s="176">
        <f>SUM(F58:L58)</f>
        <v>89</v>
      </c>
      <c r="O58" s="110"/>
      <c r="P58" s="5">
        <f t="shared" si="5"/>
        <v>89</v>
      </c>
      <c r="Q58" s="111" t="e">
        <f t="shared" si="3"/>
        <v>#DIV/0!</v>
      </c>
      <c r="R58"/>
    </row>
    <row r="59" spans="1:18" ht="15" customHeight="1">
      <c r="A59" s="106"/>
      <c r="E59" s="115" t="s">
        <v>215</v>
      </c>
      <c r="F59" s="116">
        <f>SUM(F55:F58)</f>
        <v>431.07300000000004</v>
      </c>
      <c r="G59" s="117"/>
      <c r="H59" s="118">
        <f aca="true" t="shared" si="13" ref="H59:O59">SUM(H55:H58)</f>
        <v>0</v>
      </c>
      <c r="I59" s="118">
        <f t="shared" si="13"/>
        <v>224</v>
      </c>
      <c r="J59" s="118">
        <f t="shared" si="13"/>
        <v>235</v>
      </c>
      <c r="K59" s="118">
        <f t="shared" si="13"/>
        <v>325</v>
      </c>
      <c r="L59" s="118">
        <f t="shared" si="13"/>
        <v>0</v>
      </c>
      <c r="M59" s="119">
        <f t="shared" si="13"/>
        <v>784</v>
      </c>
      <c r="N59" s="177">
        <f t="shared" si="13"/>
        <v>1215.073</v>
      </c>
      <c r="O59" s="120">
        <f t="shared" si="13"/>
        <v>1360</v>
      </c>
      <c r="P59" s="5">
        <f t="shared" si="5"/>
        <v>-144.9269999999999</v>
      </c>
      <c r="Q59" s="111">
        <f t="shared" si="3"/>
        <v>-0.10656397058823523</v>
      </c>
      <c r="R59"/>
    </row>
    <row r="60" spans="1:18" ht="15" customHeight="1">
      <c r="A60" s="106"/>
      <c r="F60" s="107"/>
      <c r="G60" s="108"/>
      <c r="H60" s="109"/>
      <c r="I60" s="109"/>
      <c r="J60" s="109"/>
      <c r="K60" s="109"/>
      <c r="L60" s="109"/>
      <c r="M60" s="109"/>
      <c r="N60" s="175"/>
      <c r="O60" s="110"/>
      <c r="P60" s="5">
        <f t="shared" si="5"/>
        <v>0</v>
      </c>
      <c r="Q60" s="111" t="e">
        <f t="shared" si="3"/>
        <v>#DIV/0!</v>
      </c>
      <c r="R60"/>
    </row>
    <row r="61" spans="3:18" ht="15" customHeight="1">
      <c r="C61" s="87" t="s">
        <v>117</v>
      </c>
      <c r="D61" s="87" t="s">
        <v>110</v>
      </c>
      <c r="E61" s="106" t="s">
        <v>300</v>
      </c>
      <c r="F61" s="107">
        <v>64.38</v>
      </c>
      <c r="G61" s="108"/>
      <c r="H61" s="109"/>
      <c r="I61" s="109"/>
      <c r="J61" s="109"/>
      <c r="K61" s="109"/>
      <c r="L61" s="109"/>
      <c r="M61" s="109">
        <f aca="true" t="shared" si="14" ref="M61:M68">SUM(H61:L61)</f>
        <v>0</v>
      </c>
      <c r="N61" s="175">
        <f aca="true" t="shared" si="15" ref="N61:N68">SUM(F61:L61)</f>
        <v>64.38</v>
      </c>
      <c r="O61" s="110">
        <v>61</v>
      </c>
      <c r="P61" s="5">
        <f t="shared" si="5"/>
        <v>3.3799999999999955</v>
      </c>
      <c r="Q61" s="111">
        <f t="shared" si="3"/>
        <v>0.055409836065573696</v>
      </c>
      <c r="R61">
        <v>1801</v>
      </c>
    </row>
    <row r="62" spans="1:18" ht="15" customHeight="1">
      <c r="A62" s="106" t="s">
        <v>301</v>
      </c>
      <c r="D62" s="87" t="s">
        <v>110</v>
      </c>
      <c r="E62" s="92" t="s">
        <v>436</v>
      </c>
      <c r="F62" s="132">
        <f>997.703-11</f>
        <v>986.703</v>
      </c>
      <c r="G62" s="124" t="s">
        <v>306</v>
      </c>
      <c r="H62" s="109">
        <v>253</v>
      </c>
      <c r="I62" s="109">
        <v>790</v>
      </c>
      <c r="J62" s="109">
        <v>858</v>
      </c>
      <c r="K62" s="109">
        <v>88</v>
      </c>
      <c r="L62" s="109">
        <v>0</v>
      </c>
      <c r="M62" s="109">
        <f t="shared" si="14"/>
        <v>1989</v>
      </c>
      <c r="N62" s="175">
        <f t="shared" si="15"/>
        <v>2975.703</v>
      </c>
      <c r="O62" s="110">
        <v>1444</v>
      </c>
      <c r="P62" s="133">
        <f t="shared" si="5"/>
        <v>1531.703</v>
      </c>
      <c r="Q62" s="111">
        <f t="shared" si="3"/>
        <v>1.0607361495844876</v>
      </c>
      <c r="R62">
        <v>1802</v>
      </c>
    </row>
    <row r="63" spans="1:18" ht="15" customHeight="1">
      <c r="A63" s="106" t="s">
        <v>262</v>
      </c>
      <c r="D63" s="87" t="s">
        <v>110</v>
      </c>
      <c r="E63" s="87" t="s">
        <v>437</v>
      </c>
      <c r="F63" s="107">
        <v>1142.2</v>
      </c>
      <c r="G63" s="108"/>
      <c r="H63" s="109">
        <v>131</v>
      </c>
      <c r="I63" s="109">
        <v>316</v>
      </c>
      <c r="J63" s="109">
        <v>75</v>
      </c>
      <c r="K63" s="109">
        <v>0</v>
      </c>
      <c r="L63" s="109">
        <v>0</v>
      </c>
      <c r="M63" s="109">
        <f t="shared" si="14"/>
        <v>522</v>
      </c>
      <c r="N63" s="175">
        <f t="shared" si="15"/>
        <v>1664.2</v>
      </c>
      <c r="O63" s="110">
        <v>1220</v>
      </c>
      <c r="P63" s="5">
        <f t="shared" si="5"/>
        <v>444.20000000000005</v>
      </c>
      <c r="Q63" s="111">
        <f t="shared" si="3"/>
        <v>0.36409836065573775</v>
      </c>
      <c r="R63">
        <v>1803</v>
      </c>
    </row>
    <row r="64" spans="4:18" ht="15" customHeight="1">
      <c r="D64" s="87" t="s">
        <v>110</v>
      </c>
      <c r="E64" s="106" t="s">
        <v>209</v>
      </c>
      <c r="F64" s="107">
        <v>558.9370000000001</v>
      </c>
      <c r="G64" s="108"/>
      <c r="H64" s="109"/>
      <c r="I64" s="109"/>
      <c r="J64" s="109"/>
      <c r="K64" s="109"/>
      <c r="L64" s="109"/>
      <c r="M64" s="109">
        <f t="shared" si="14"/>
        <v>0</v>
      </c>
      <c r="N64" s="175">
        <f t="shared" si="15"/>
        <v>558.9370000000001</v>
      </c>
      <c r="O64" s="110">
        <v>502</v>
      </c>
      <c r="P64" s="5">
        <f t="shared" si="5"/>
        <v>56.937000000000126</v>
      </c>
      <c r="Q64" s="111">
        <f t="shared" si="3"/>
        <v>0.11342031872509985</v>
      </c>
      <c r="R64">
        <v>1804</v>
      </c>
    </row>
    <row r="65" spans="4:18" ht="15" customHeight="1">
      <c r="D65" s="87" t="s">
        <v>110</v>
      </c>
      <c r="E65" s="106" t="s">
        <v>297</v>
      </c>
      <c r="F65" s="107">
        <v>6.876</v>
      </c>
      <c r="G65" s="108"/>
      <c r="H65" s="109"/>
      <c r="I65" s="109"/>
      <c r="J65" s="109"/>
      <c r="K65" s="109"/>
      <c r="L65" s="109"/>
      <c r="M65" s="109">
        <f t="shared" si="14"/>
        <v>0</v>
      </c>
      <c r="N65" s="175">
        <f t="shared" si="15"/>
        <v>6.876</v>
      </c>
      <c r="O65" s="110"/>
      <c r="P65" s="5">
        <f t="shared" si="5"/>
        <v>6.876</v>
      </c>
      <c r="Q65" s="111" t="e">
        <f t="shared" si="3"/>
        <v>#DIV/0!</v>
      </c>
      <c r="R65"/>
    </row>
    <row r="66" spans="1:18" ht="15" customHeight="1">
      <c r="A66" s="106" t="s">
        <v>298</v>
      </c>
      <c r="D66" s="87" t="s">
        <v>110</v>
      </c>
      <c r="E66" s="13" t="s">
        <v>438</v>
      </c>
      <c r="F66" s="107">
        <v>26.517</v>
      </c>
      <c r="G66" s="108"/>
      <c r="H66" s="109">
        <v>92</v>
      </c>
      <c r="I66" s="109">
        <v>382</v>
      </c>
      <c r="J66" s="109">
        <v>40</v>
      </c>
      <c r="K66" s="109">
        <v>0</v>
      </c>
      <c r="L66" s="109">
        <v>0</v>
      </c>
      <c r="M66" s="109">
        <f t="shared" si="14"/>
        <v>514</v>
      </c>
      <c r="N66" s="175">
        <f t="shared" si="15"/>
        <v>540.517</v>
      </c>
      <c r="O66" s="110"/>
      <c r="P66" s="7">
        <f t="shared" si="5"/>
        <v>540.517</v>
      </c>
      <c r="Q66" s="111" t="e">
        <f t="shared" si="3"/>
        <v>#DIV/0!</v>
      </c>
      <c r="R66"/>
    </row>
    <row r="67" spans="1:18" ht="15" customHeight="1">
      <c r="A67" s="131" t="s">
        <v>302</v>
      </c>
      <c r="D67" s="87" t="s">
        <v>110</v>
      </c>
      <c r="E67" s="87" t="s">
        <v>439</v>
      </c>
      <c r="F67" s="132">
        <f>704.632-11</f>
        <v>693.632</v>
      </c>
      <c r="G67" s="124" t="s">
        <v>306</v>
      </c>
      <c r="H67" s="109">
        <v>1266</v>
      </c>
      <c r="I67" s="109">
        <v>2353</v>
      </c>
      <c r="J67" s="109">
        <v>1961</v>
      </c>
      <c r="K67" s="109">
        <v>165</v>
      </c>
      <c r="L67" s="109">
        <v>0</v>
      </c>
      <c r="M67" s="109">
        <f t="shared" si="14"/>
        <v>5745</v>
      </c>
      <c r="N67" s="175">
        <f t="shared" si="15"/>
        <v>6438.632</v>
      </c>
      <c r="O67" s="110">
        <v>2203</v>
      </c>
      <c r="P67" s="133">
        <f t="shared" si="5"/>
        <v>4235.632</v>
      </c>
      <c r="Q67" s="111">
        <f t="shared" si="3"/>
        <v>1.922665456196096</v>
      </c>
      <c r="R67">
        <v>1810</v>
      </c>
    </row>
    <row r="68" spans="1:18" ht="15" customHeight="1">
      <c r="A68" s="131"/>
      <c r="D68" s="87" t="s">
        <v>110</v>
      </c>
      <c r="E68" s="92" t="s">
        <v>440</v>
      </c>
      <c r="F68" s="112"/>
      <c r="G68" s="113"/>
      <c r="H68" s="114">
        <v>0</v>
      </c>
      <c r="I68" s="114">
        <v>223</v>
      </c>
      <c r="J68" s="114">
        <v>1017</v>
      </c>
      <c r="K68" s="114">
        <v>94</v>
      </c>
      <c r="L68" s="114">
        <v>0</v>
      </c>
      <c r="M68" s="114">
        <f t="shared" si="14"/>
        <v>1334</v>
      </c>
      <c r="N68" s="176">
        <f t="shared" si="15"/>
        <v>1334</v>
      </c>
      <c r="O68" s="110"/>
      <c r="P68" s="133">
        <f t="shared" si="5"/>
        <v>1334</v>
      </c>
      <c r="Q68" s="111" t="e">
        <f t="shared" si="3"/>
        <v>#DIV/0!</v>
      </c>
      <c r="R68"/>
    </row>
    <row r="69" spans="1:18" ht="15" customHeight="1">
      <c r="A69" s="131"/>
      <c r="E69" s="115" t="s">
        <v>215</v>
      </c>
      <c r="F69" s="116">
        <f>SUM(F61:F68)</f>
        <v>3479.2450000000003</v>
      </c>
      <c r="G69" s="117"/>
      <c r="H69" s="118">
        <f aca="true" t="shared" si="16" ref="H69:O69">SUM(H61:H68)</f>
        <v>1742</v>
      </c>
      <c r="I69" s="118">
        <f t="shared" si="16"/>
        <v>4064</v>
      </c>
      <c r="J69" s="118">
        <f t="shared" si="16"/>
        <v>3951</v>
      </c>
      <c r="K69" s="118">
        <f t="shared" si="16"/>
        <v>347</v>
      </c>
      <c r="L69" s="118">
        <f t="shared" si="16"/>
        <v>0</v>
      </c>
      <c r="M69" s="119">
        <f t="shared" si="16"/>
        <v>10104</v>
      </c>
      <c r="N69" s="177">
        <f t="shared" si="16"/>
        <v>13583.244999999999</v>
      </c>
      <c r="O69" s="120">
        <f t="shared" si="16"/>
        <v>5430</v>
      </c>
      <c r="P69" s="5">
        <f t="shared" si="5"/>
        <v>8153.244999999999</v>
      </c>
      <c r="Q69" s="111">
        <f aca="true" t="shared" si="17" ref="Q69:Q130">+P69/O69</f>
        <v>1.5015184162062614</v>
      </c>
      <c r="R69"/>
    </row>
    <row r="70" spans="1:18" ht="15" customHeight="1">
      <c r="A70" s="131"/>
      <c r="F70" s="107"/>
      <c r="G70" s="108"/>
      <c r="H70" s="109"/>
      <c r="I70" s="109"/>
      <c r="J70" s="109"/>
      <c r="K70" s="109"/>
      <c r="L70" s="109"/>
      <c r="M70" s="109"/>
      <c r="N70" s="175"/>
      <c r="O70" s="110"/>
      <c r="P70" s="5">
        <f t="shared" si="5"/>
        <v>0</v>
      </c>
      <c r="Q70" s="111" t="e">
        <f t="shared" si="17"/>
        <v>#DIV/0!</v>
      </c>
      <c r="R70"/>
    </row>
    <row r="71" spans="1:18" ht="15" customHeight="1" thickBot="1">
      <c r="A71" s="134" t="s">
        <v>294</v>
      </c>
      <c r="C71" s="87" t="s">
        <v>118</v>
      </c>
      <c r="D71" s="87" t="s">
        <v>109</v>
      </c>
      <c r="E71" s="135" t="s">
        <v>441</v>
      </c>
      <c r="F71" s="137">
        <v>2128.2</v>
      </c>
      <c r="G71" s="138"/>
      <c r="H71" s="139">
        <v>162</v>
      </c>
      <c r="I71" s="139">
        <v>408</v>
      </c>
      <c r="J71" s="139">
        <v>432</v>
      </c>
      <c r="K71" s="139">
        <v>448</v>
      </c>
      <c r="L71" s="139">
        <v>170</v>
      </c>
      <c r="M71" s="139">
        <f>SUM(H71:L71)</f>
        <v>1620</v>
      </c>
      <c r="N71" s="179">
        <f>SUM(F71:L71)</f>
        <v>3748.2</v>
      </c>
      <c r="O71" s="110">
        <v>2752</v>
      </c>
      <c r="P71" s="5">
        <f t="shared" si="5"/>
        <v>996.1999999999998</v>
      </c>
      <c r="Q71" s="111">
        <f t="shared" si="17"/>
        <v>0.36199127906976736</v>
      </c>
      <c r="R71">
        <v>1901</v>
      </c>
    </row>
    <row r="72" spans="1:18" ht="15" customHeight="1">
      <c r="A72" s="134"/>
      <c r="E72" s="140" t="s">
        <v>442</v>
      </c>
      <c r="F72" s="141">
        <f>SUM(F71,F69,F59,F53,F51,F47,F23,F11)</f>
        <v>53551.035</v>
      </c>
      <c r="G72" s="142"/>
      <c r="H72" s="143">
        <f aca="true" t="shared" si="18" ref="H72:O72">SUM(H71,H69,H59,H53,H51,H47,H23,H11)</f>
        <v>4893</v>
      </c>
      <c r="I72" s="143">
        <f t="shared" si="18"/>
        <v>11072</v>
      </c>
      <c r="J72" s="143">
        <f t="shared" si="18"/>
        <v>6577</v>
      </c>
      <c r="K72" s="143">
        <f t="shared" si="18"/>
        <v>1784</v>
      </c>
      <c r="L72" s="143">
        <f t="shared" si="18"/>
        <v>170</v>
      </c>
      <c r="M72" s="144">
        <f t="shared" si="18"/>
        <v>24496</v>
      </c>
      <c r="N72" s="177">
        <f t="shared" si="18"/>
        <v>78047.03499999999</v>
      </c>
      <c r="O72" s="145">
        <f t="shared" si="18"/>
        <v>54507</v>
      </c>
      <c r="P72" s="5">
        <f t="shared" si="5"/>
        <v>23540.03499999999</v>
      </c>
      <c r="Q72" s="111">
        <f t="shared" si="17"/>
        <v>0.43187177793677856</v>
      </c>
      <c r="R72"/>
    </row>
    <row r="73" spans="1:18" ht="15" customHeight="1">
      <c r="A73" s="134"/>
      <c r="F73" s="107"/>
      <c r="G73" s="108"/>
      <c r="H73" s="109"/>
      <c r="I73" s="109"/>
      <c r="J73" s="109"/>
      <c r="K73" s="109"/>
      <c r="L73" s="109"/>
      <c r="M73" s="109"/>
      <c r="N73" s="175"/>
      <c r="O73" s="110"/>
      <c r="P73" s="5">
        <f t="shared" si="5"/>
        <v>0</v>
      </c>
      <c r="Q73" s="111" t="e">
        <f t="shared" si="17"/>
        <v>#DIV/0!</v>
      </c>
      <c r="R73"/>
    </row>
    <row r="74" spans="1:18" ht="15" customHeight="1">
      <c r="A74" s="134"/>
      <c r="F74" s="107"/>
      <c r="G74" s="108"/>
      <c r="H74" s="109"/>
      <c r="I74" s="109"/>
      <c r="J74" s="109"/>
      <c r="K74" s="109"/>
      <c r="L74" s="109"/>
      <c r="M74" s="109"/>
      <c r="N74" s="175"/>
      <c r="O74" s="110"/>
      <c r="P74" s="5">
        <f t="shared" si="5"/>
        <v>0</v>
      </c>
      <c r="Q74" s="111" t="e">
        <f t="shared" si="17"/>
        <v>#DIV/0!</v>
      </c>
      <c r="R74"/>
    </row>
    <row r="75" spans="1:18" ht="15" customHeight="1">
      <c r="A75" s="106" t="s">
        <v>217</v>
      </c>
      <c r="C75" s="87" t="s">
        <v>197</v>
      </c>
      <c r="D75" s="87" t="s">
        <v>110</v>
      </c>
      <c r="E75" s="87" t="s">
        <v>443</v>
      </c>
      <c r="F75" s="107">
        <v>62.89300000000001</v>
      </c>
      <c r="G75" s="108"/>
      <c r="H75" s="109">
        <v>0</v>
      </c>
      <c r="I75" s="109">
        <v>0</v>
      </c>
      <c r="J75" s="109">
        <v>13</v>
      </c>
      <c r="K75" s="109">
        <v>56</v>
      </c>
      <c r="L75" s="109">
        <v>0</v>
      </c>
      <c r="M75" s="109">
        <f>SUM(H75:L75)</f>
        <v>69</v>
      </c>
      <c r="N75" s="175">
        <f>SUM(F75:L75)</f>
        <v>131.893</v>
      </c>
      <c r="O75" s="110">
        <v>151</v>
      </c>
      <c r="P75" s="5">
        <f t="shared" si="5"/>
        <v>-19.107</v>
      </c>
      <c r="Q75" s="111">
        <f t="shared" si="17"/>
        <v>-0.1265364238410596</v>
      </c>
      <c r="R75">
        <v>2101</v>
      </c>
    </row>
    <row r="76" spans="1:18" ht="15" customHeight="1">
      <c r="A76" s="106"/>
      <c r="C76" s="87" t="s">
        <v>198</v>
      </c>
      <c r="D76" s="87" t="s">
        <v>110</v>
      </c>
      <c r="E76" s="87" t="s">
        <v>444</v>
      </c>
      <c r="F76" s="107"/>
      <c r="G76" s="108"/>
      <c r="H76" s="109">
        <v>0</v>
      </c>
      <c r="I76" s="109">
        <v>0</v>
      </c>
      <c r="J76" s="109">
        <v>70</v>
      </c>
      <c r="K76" s="109">
        <v>102</v>
      </c>
      <c r="L76" s="109">
        <v>0</v>
      </c>
      <c r="M76" s="109">
        <f>SUM(H76:L76)</f>
        <v>172</v>
      </c>
      <c r="N76" s="175">
        <f>SUM(F76:L76)</f>
        <v>172</v>
      </c>
      <c r="O76" s="110">
        <v>349</v>
      </c>
      <c r="P76" s="5">
        <f aca="true" t="shared" si="19" ref="P76:P130">+N76-O76</f>
        <v>-177</v>
      </c>
      <c r="Q76" s="111">
        <f t="shared" si="17"/>
        <v>-0.5071633237822349</v>
      </c>
      <c r="R76">
        <v>2201</v>
      </c>
    </row>
    <row r="77" spans="3:18" ht="15" customHeight="1" thickBot="1">
      <c r="C77" s="87" t="s">
        <v>119</v>
      </c>
      <c r="D77" s="87" t="s">
        <v>110</v>
      </c>
      <c r="E77" s="106" t="s">
        <v>218</v>
      </c>
      <c r="F77" s="146">
        <v>284.946</v>
      </c>
      <c r="G77" s="147"/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f>SUM(H77:L77)</f>
        <v>0</v>
      </c>
      <c r="N77" s="180">
        <f>SUM(F77:L77)</f>
        <v>284.946</v>
      </c>
      <c r="O77" s="110">
        <v>284</v>
      </c>
      <c r="P77" s="5">
        <f t="shared" si="19"/>
        <v>0.9460000000000264</v>
      </c>
      <c r="Q77" s="111">
        <f t="shared" si="17"/>
        <v>0.0033309859154930506</v>
      </c>
      <c r="R77">
        <v>2501</v>
      </c>
    </row>
    <row r="78" spans="5:18" ht="15" customHeight="1">
      <c r="E78" s="140" t="s">
        <v>445</v>
      </c>
      <c r="F78" s="141">
        <f>SUM(F75:F77)</f>
        <v>347.83900000000006</v>
      </c>
      <c r="G78" s="142"/>
      <c r="H78" s="143">
        <f aca="true" t="shared" si="20" ref="H78:O78">SUM(H75:H77)</f>
        <v>0</v>
      </c>
      <c r="I78" s="143">
        <f t="shared" si="20"/>
        <v>0</v>
      </c>
      <c r="J78" s="143">
        <f t="shared" si="20"/>
        <v>83</v>
      </c>
      <c r="K78" s="143">
        <f t="shared" si="20"/>
        <v>158</v>
      </c>
      <c r="L78" s="143">
        <f t="shared" si="20"/>
        <v>0</v>
      </c>
      <c r="M78" s="144">
        <f t="shared" si="20"/>
        <v>241</v>
      </c>
      <c r="N78" s="177">
        <f t="shared" si="20"/>
        <v>588.839</v>
      </c>
      <c r="O78" s="145">
        <f t="shared" si="20"/>
        <v>784</v>
      </c>
      <c r="P78" s="5">
        <f t="shared" si="19"/>
        <v>-195.16099999999994</v>
      </c>
      <c r="Q78" s="111">
        <f t="shared" si="17"/>
        <v>-0.24892984693877543</v>
      </c>
      <c r="R78"/>
    </row>
    <row r="79" spans="5:18" ht="15" customHeight="1">
      <c r="E79" s="106"/>
      <c r="F79" s="107"/>
      <c r="G79" s="108"/>
      <c r="H79" s="109"/>
      <c r="I79" s="109"/>
      <c r="J79" s="109"/>
      <c r="K79" s="109"/>
      <c r="L79" s="109"/>
      <c r="M79" s="109"/>
      <c r="N79" s="175"/>
      <c r="O79" s="110"/>
      <c r="P79" s="5">
        <f t="shared" si="19"/>
        <v>0</v>
      </c>
      <c r="Q79" s="111" t="e">
        <f t="shared" si="17"/>
        <v>#DIV/0!</v>
      </c>
      <c r="R79"/>
    </row>
    <row r="80" spans="1:18" ht="15" customHeight="1">
      <c r="A80" s="134" t="s">
        <v>210</v>
      </c>
      <c r="C80" s="87" t="s">
        <v>120</v>
      </c>
      <c r="D80" s="87" t="s">
        <v>110</v>
      </c>
      <c r="E80" s="87" t="s">
        <v>446</v>
      </c>
      <c r="F80" s="132">
        <f>614.4-3</f>
        <v>611.4</v>
      </c>
      <c r="G80" s="124" t="s">
        <v>306</v>
      </c>
      <c r="H80" s="121">
        <v>184</v>
      </c>
      <c r="I80" s="121">
        <v>107</v>
      </c>
      <c r="J80" s="121">
        <v>0</v>
      </c>
      <c r="K80" s="121">
        <v>0</v>
      </c>
      <c r="L80" s="121">
        <v>0</v>
      </c>
      <c r="M80" s="109">
        <f>SUM(H80:L80)</f>
        <v>291</v>
      </c>
      <c r="N80" s="175">
        <f>SUM(F80:L80)</f>
        <v>902.4</v>
      </c>
      <c r="O80" s="110">
        <v>426</v>
      </c>
      <c r="P80" s="5">
        <f t="shared" si="19"/>
        <v>476.4</v>
      </c>
      <c r="Q80" s="111">
        <f t="shared" si="17"/>
        <v>1.1183098591549294</v>
      </c>
      <c r="R80">
        <v>3101</v>
      </c>
    </row>
    <row r="81" spans="1:18" ht="15" customHeight="1">
      <c r="A81" s="134"/>
      <c r="C81" s="87" t="s">
        <v>199</v>
      </c>
      <c r="D81" s="87" t="s">
        <v>110</v>
      </c>
      <c r="E81" s="87" t="s">
        <v>447</v>
      </c>
      <c r="F81" s="107"/>
      <c r="G81" s="108"/>
      <c r="H81" s="121">
        <v>0</v>
      </c>
      <c r="I81" s="121">
        <v>0</v>
      </c>
      <c r="J81" s="121">
        <v>0</v>
      </c>
      <c r="K81" s="121">
        <v>31</v>
      </c>
      <c r="L81" s="121">
        <v>0</v>
      </c>
      <c r="M81" s="109">
        <f>SUM(H81:L81)</f>
        <v>31</v>
      </c>
      <c r="N81" s="175">
        <f>SUM(F81:L81)</f>
        <v>31</v>
      </c>
      <c r="O81" s="110">
        <v>46</v>
      </c>
      <c r="P81" s="5">
        <f t="shared" si="19"/>
        <v>-15</v>
      </c>
      <c r="Q81" s="111">
        <f t="shared" si="17"/>
        <v>-0.32608695652173914</v>
      </c>
      <c r="R81">
        <v>3601</v>
      </c>
    </row>
    <row r="82" spans="1:18" ht="15" customHeight="1">
      <c r="A82" s="134"/>
      <c r="C82" s="87" t="s">
        <v>200</v>
      </c>
      <c r="D82" s="87" t="s">
        <v>110</v>
      </c>
      <c r="E82" s="87" t="s">
        <v>448</v>
      </c>
      <c r="F82" s="107"/>
      <c r="G82" s="108"/>
      <c r="H82" s="121">
        <v>0</v>
      </c>
      <c r="I82" s="121">
        <v>0</v>
      </c>
      <c r="J82" s="121">
        <v>101</v>
      </c>
      <c r="K82" s="121">
        <v>162</v>
      </c>
      <c r="L82" s="121">
        <v>0</v>
      </c>
      <c r="M82" s="109">
        <f>SUM(H82:L82)</f>
        <v>263</v>
      </c>
      <c r="N82" s="175">
        <f>SUM(F82:L82)</f>
        <v>263</v>
      </c>
      <c r="O82" s="110">
        <v>310</v>
      </c>
      <c r="P82" s="5">
        <f t="shared" si="19"/>
        <v>-47</v>
      </c>
      <c r="Q82" s="111">
        <f t="shared" si="17"/>
        <v>-0.15161290322580645</v>
      </c>
      <c r="R82">
        <v>3801</v>
      </c>
    </row>
    <row r="83" spans="1:18" ht="15" customHeight="1" thickBot="1">
      <c r="A83" s="134" t="s">
        <v>219</v>
      </c>
      <c r="C83" s="87" t="s">
        <v>121</v>
      </c>
      <c r="D83" s="87" t="s">
        <v>110</v>
      </c>
      <c r="E83" s="87" t="s">
        <v>449</v>
      </c>
      <c r="F83" s="146">
        <v>342.50600000000003</v>
      </c>
      <c r="G83" s="147"/>
      <c r="H83" s="114">
        <v>11</v>
      </c>
      <c r="I83" s="114">
        <v>29</v>
      </c>
      <c r="J83" s="114">
        <v>30</v>
      </c>
      <c r="K83" s="114">
        <v>62</v>
      </c>
      <c r="L83" s="114">
        <v>0</v>
      </c>
      <c r="M83" s="148">
        <f>SUM(H83:L83)</f>
        <v>132</v>
      </c>
      <c r="N83" s="180">
        <f>SUM(F83:L83)</f>
        <v>474.50600000000003</v>
      </c>
      <c r="O83" s="110">
        <v>361</v>
      </c>
      <c r="P83" s="5">
        <f t="shared" si="19"/>
        <v>113.50600000000003</v>
      </c>
      <c r="Q83" s="111">
        <f t="shared" si="17"/>
        <v>0.31442105263157905</v>
      </c>
      <c r="R83">
        <v>3901</v>
      </c>
    </row>
    <row r="84" spans="1:18" ht="15" customHeight="1">
      <c r="A84" s="134"/>
      <c r="E84" s="140" t="s">
        <v>450</v>
      </c>
      <c r="F84" s="141">
        <f>SUM(F80:F83)</f>
        <v>953.906</v>
      </c>
      <c r="G84" s="142"/>
      <c r="H84" s="143">
        <f aca="true" t="shared" si="21" ref="H84:O84">SUM(H80:H83)</f>
        <v>195</v>
      </c>
      <c r="I84" s="143">
        <f t="shared" si="21"/>
        <v>136</v>
      </c>
      <c r="J84" s="143">
        <f t="shared" si="21"/>
        <v>131</v>
      </c>
      <c r="K84" s="143">
        <f t="shared" si="21"/>
        <v>255</v>
      </c>
      <c r="L84" s="143">
        <f t="shared" si="21"/>
        <v>0</v>
      </c>
      <c r="M84" s="144">
        <f t="shared" si="21"/>
        <v>717</v>
      </c>
      <c r="N84" s="177">
        <f t="shared" si="21"/>
        <v>1670.9060000000002</v>
      </c>
      <c r="O84" s="145">
        <f t="shared" si="21"/>
        <v>1143</v>
      </c>
      <c r="P84" s="5">
        <f t="shared" si="19"/>
        <v>527.9060000000002</v>
      </c>
      <c r="Q84" s="111">
        <f t="shared" si="17"/>
        <v>0.4618600174978129</v>
      </c>
      <c r="R84"/>
    </row>
    <row r="85" spans="1:18" ht="15" customHeight="1">
      <c r="A85" s="134"/>
      <c r="F85" s="107"/>
      <c r="G85" s="108"/>
      <c r="H85" s="109"/>
      <c r="I85" s="109"/>
      <c r="J85" s="109"/>
      <c r="K85" s="109"/>
      <c r="L85" s="109"/>
      <c r="M85" s="109"/>
      <c r="N85" s="175"/>
      <c r="O85" s="110"/>
      <c r="P85" s="5">
        <f t="shared" si="19"/>
        <v>0</v>
      </c>
      <c r="Q85" s="111" t="e">
        <f t="shared" si="17"/>
        <v>#DIV/0!</v>
      </c>
      <c r="R85"/>
    </row>
    <row r="86" spans="1:18" ht="15" customHeight="1">
      <c r="A86" s="134" t="s">
        <v>220</v>
      </c>
      <c r="C86" s="87" t="s">
        <v>122</v>
      </c>
      <c r="D86" s="87" t="s">
        <v>143</v>
      </c>
      <c r="E86" s="87" t="s">
        <v>451</v>
      </c>
      <c r="F86" s="107">
        <v>107.351</v>
      </c>
      <c r="G86" s="108"/>
      <c r="H86" s="121">
        <v>-104</v>
      </c>
      <c r="I86" s="121">
        <v>0</v>
      </c>
      <c r="J86" s="121">
        <v>57</v>
      </c>
      <c r="K86" s="121">
        <v>102</v>
      </c>
      <c r="L86" s="121">
        <v>0</v>
      </c>
      <c r="M86" s="109">
        <f>SUM(H86:L86)</f>
        <v>55</v>
      </c>
      <c r="N86" s="175">
        <f>SUM(F86:L86)</f>
        <v>162.351</v>
      </c>
      <c r="O86" s="110">
        <v>430</v>
      </c>
      <c r="P86" s="5">
        <f t="shared" si="19"/>
        <v>-267.649</v>
      </c>
      <c r="Q86" s="111">
        <f t="shared" si="17"/>
        <v>-0.622439534883721</v>
      </c>
      <c r="R86">
        <v>4101</v>
      </c>
    </row>
    <row r="87" spans="1:18" ht="15" customHeight="1">
      <c r="A87" s="134" t="s">
        <v>221</v>
      </c>
      <c r="C87" s="87" t="s">
        <v>123</v>
      </c>
      <c r="D87" s="87" t="s">
        <v>143</v>
      </c>
      <c r="E87" s="87" t="s">
        <v>452</v>
      </c>
      <c r="F87" s="107">
        <v>369.4</v>
      </c>
      <c r="G87" s="108"/>
      <c r="H87" s="121">
        <v>0</v>
      </c>
      <c r="I87" s="121">
        <v>11</v>
      </c>
      <c r="J87" s="121">
        <v>274</v>
      </c>
      <c r="K87" s="121">
        <v>318</v>
      </c>
      <c r="L87" s="121">
        <v>0</v>
      </c>
      <c r="M87" s="109">
        <f>SUM(H87:L87)</f>
        <v>603</v>
      </c>
      <c r="N87" s="175">
        <f>SUM(F87:L87)</f>
        <v>972.4</v>
      </c>
      <c r="O87" s="110">
        <v>454</v>
      </c>
      <c r="P87" s="5">
        <f t="shared" si="19"/>
        <v>518.4</v>
      </c>
      <c r="Q87" s="111">
        <f t="shared" si="17"/>
        <v>1.141850220264317</v>
      </c>
      <c r="R87">
        <v>4301</v>
      </c>
    </row>
    <row r="88" spans="1:18" ht="15" customHeight="1">
      <c r="A88" s="134" t="s">
        <v>222</v>
      </c>
      <c r="C88" s="87" t="s">
        <v>124</v>
      </c>
      <c r="D88" s="87" t="s">
        <v>143</v>
      </c>
      <c r="E88" s="87" t="s">
        <v>453</v>
      </c>
      <c r="F88" s="107">
        <v>80.521</v>
      </c>
      <c r="G88" s="108"/>
      <c r="H88" s="121">
        <v>0</v>
      </c>
      <c r="I88" s="121">
        <v>0</v>
      </c>
      <c r="J88" s="121">
        <v>314</v>
      </c>
      <c r="K88" s="121">
        <v>770</v>
      </c>
      <c r="L88" s="121">
        <v>0</v>
      </c>
      <c r="M88" s="109">
        <f>SUM(H88:L88)</f>
        <v>1084</v>
      </c>
      <c r="N88" s="175">
        <f>SUM(F88:L88)</f>
        <v>1164.521</v>
      </c>
      <c r="O88" s="110">
        <v>1309</v>
      </c>
      <c r="P88" s="5">
        <f t="shared" si="19"/>
        <v>-144.47900000000004</v>
      </c>
      <c r="Q88" s="111">
        <f t="shared" si="17"/>
        <v>-0.11037356760886176</v>
      </c>
      <c r="R88">
        <v>4401</v>
      </c>
    </row>
    <row r="89" spans="1:18" ht="15" customHeight="1">
      <c r="A89" s="134" t="s">
        <v>223</v>
      </c>
      <c r="C89" s="87" t="s">
        <v>125</v>
      </c>
      <c r="D89" s="87" t="s">
        <v>143</v>
      </c>
      <c r="E89" s="87" t="s">
        <v>454</v>
      </c>
      <c r="F89" s="107">
        <v>161.05599999999998</v>
      </c>
      <c r="G89" s="108"/>
      <c r="H89" s="121">
        <v>0</v>
      </c>
      <c r="I89" s="121">
        <v>0</v>
      </c>
      <c r="J89" s="121">
        <v>356</v>
      </c>
      <c r="K89" s="121">
        <v>274</v>
      </c>
      <c r="L89" s="121">
        <v>53</v>
      </c>
      <c r="M89" s="109">
        <f>SUM(H89:L89)</f>
        <v>683</v>
      </c>
      <c r="N89" s="175">
        <f>SUM(F89:L89)</f>
        <v>844.056</v>
      </c>
      <c r="O89" s="110">
        <v>1107</v>
      </c>
      <c r="P89" s="5">
        <f t="shared" si="19"/>
        <v>-262.94399999999996</v>
      </c>
      <c r="Q89" s="111">
        <f t="shared" si="17"/>
        <v>-0.2375284552845528</v>
      </c>
      <c r="R89">
        <v>4501</v>
      </c>
    </row>
    <row r="90" spans="3:18" ht="15" customHeight="1" thickBot="1">
      <c r="C90" s="87" t="s">
        <v>126</v>
      </c>
      <c r="D90" s="87" t="s">
        <v>143</v>
      </c>
      <c r="E90" s="106" t="s">
        <v>224</v>
      </c>
      <c r="F90" s="146">
        <v>1.3</v>
      </c>
      <c r="G90" s="147"/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48">
        <f>SUM(H90:L90)</f>
        <v>0</v>
      </c>
      <c r="N90" s="180">
        <f>SUM(F90:L90)</f>
        <v>1.3</v>
      </c>
      <c r="O90" s="110">
        <v>1</v>
      </c>
      <c r="P90" s="5">
        <f t="shared" si="19"/>
        <v>0.30000000000000004</v>
      </c>
      <c r="Q90" s="111">
        <f t="shared" si="17"/>
        <v>0.30000000000000004</v>
      </c>
      <c r="R90">
        <v>4601</v>
      </c>
    </row>
    <row r="91" spans="5:18" ht="15" customHeight="1">
      <c r="E91" s="140" t="s">
        <v>455</v>
      </c>
      <c r="F91" s="141">
        <f>SUM(F86:F90)</f>
        <v>719.6279999999999</v>
      </c>
      <c r="G91" s="142"/>
      <c r="H91" s="143">
        <f aca="true" t="shared" si="22" ref="H91:O91">SUM(H86:H90)</f>
        <v>-104</v>
      </c>
      <c r="I91" s="143">
        <f t="shared" si="22"/>
        <v>11</v>
      </c>
      <c r="J91" s="143">
        <f t="shared" si="22"/>
        <v>1001</v>
      </c>
      <c r="K91" s="143">
        <f t="shared" si="22"/>
        <v>1464</v>
      </c>
      <c r="L91" s="143">
        <f t="shared" si="22"/>
        <v>53</v>
      </c>
      <c r="M91" s="144">
        <f t="shared" si="22"/>
        <v>2425</v>
      </c>
      <c r="N91" s="177">
        <f t="shared" si="22"/>
        <v>3144.628</v>
      </c>
      <c r="O91" s="145">
        <f t="shared" si="22"/>
        <v>3301</v>
      </c>
      <c r="P91" s="5">
        <f t="shared" si="19"/>
        <v>-156.37199999999984</v>
      </c>
      <c r="Q91" s="111">
        <f t="shared" si="17"/>
        <v>-0.0473710996667676</v>
      </c>
      <c r="R91"/>
    </row>
    <row r="92" spans="5:18" ht="15" customHeight="1">
      <c r="E92" s="106"/>
      <c r="F92" s="107"/>
      <c r="G92" s="108"/>
      <c r="H92" s="109"/>
      <c r="I92" s="109"/>
      <c r="J92" s="109"/>
      <c r="K92" s="109"/>
      <c r="L92" s="109"/>
      <c r="M92" s="109"/>
      <c r="N92" s="175"/>
      <c r="O92" s="110"/>
      <c r="P92" s="5">
        <f t="shared" si="19"/>
        <v>0</v>
      </c>
      <c r="Q92" s="111" t="e">
        <f t="shared" si="17"/>
        <v>#DIV/0!</v>
      </c>
      <c r="R92"/>
    </row>
    <row r="93" spans="1:18" ht="15" customHeight="1">
      <c r="A93" s="134"/>
      <c r="C93" s="87" t="s">
        <v>127</v>
      </c>
      <c r="D93" s="87" t="s">
        <v>143</v>
      </c>
      <c r="E93" s="87" t="s">
        <v>456</v>
      </c>
      <c r="F93" s="107"/>
      <c r="G93" s="108"/>
      <c r="H93" s="121">
        <v>0</v>
      </c>
      <c r="I93" s="121">
        <v>0</v>
      </c>
      <c r="J93" s="121">
        <v>7</v>
      </c>
      <c r="K93" s="121">
        <v>143</v>
      </c>
      <c r="L93" s="121">
        <v>0</v>
      </c>
      <c r="M93" s="109">
        <f aca="true" t="shared" si="23" ref="M93:M99">SUM(H93:L93)</f>
        <v>150</v>
      </c>
      <c r="N93" s="175">
        <f aca="true" t="shared" si="24" ref="N93:N99">SUM(F93:L93)</f>
        <v>150</v>
      </c>
      <c r="O93" s="110"/>
      <c r="P93" s="5">
        <f t="shared" si="19"/>
        <v>150</v>
      </c>
      <c r="Q93" s="111" t="e">
        <f t="shared" si="17"/>
        <v>#DIV/0!</v>
      </c>
      <c r="R93"/>
    </row>
    <row r="94" spans="1:18" ht="15" customHeight="1">
      <c r="A94" s="134"/>
      <c r="C94" s="87" t="s">
        <v>201</v>
      </c>
      <c r="D94" s="87" t="s">
        <v>143</v>
      </c>
      <c r="E94" s="87" t="s">
        <v>457</v>
      </c>
      <c r="F94" s="107"/>
      <c r="G94" s="108"/>
      <c r="H94" s="121">
        <v>0</v>
      </c>
      <c r="I94" s="121">
        <v>0</v>
      </c>
      <c r="J94" s="121">
        <v>81</v>
      </c>
      <c r="K94" s="121">
        <v>115</v>
      </c>
      <c r="L94" s="121">
        <v>0</v>
      </c>
      <c r="M94" s="109">
        <f t="shared" si="23"/>
        <v>196</v>
      </c>
      <c r="N94" s="175">
        <f t="shared" si="24"/>
        <v>196</v>
      </c>
      <c r="O94" s="110">
        <v>611</v>
      </c>
      <c r="P94" s="5">
        <f t="shared" si="19"/>
        <v>-415</v>
      </c>
      <c r="Q94" s="111">
        <f t="shared" si="17"/>
        <v>-0.679214402618658</v>
      </c>
      <c r="R94">
        <v>5201</v>
      </c>
    </row>
    <row r="95" spans="1:18" ht="15" customHeight="1">
      <c r="A95" s="134"/>
      <c r="C95" s="87" t="s">
        <v>128</v>
      </c>
      <c r="D95" s="87" t="s">
        <v>143</v>
      </c>
      <c r="E95" s="87" t="s">
        <v>458</v>
      </c>
      <c r="F95" s="107"/>
      <c r="G95" s="108"/>
      <c r="H95" s="121">
        <v>0</v>
      </c>
      <c r="I95" s="121">
        <v>0</v>
      </c>
      <c r="J95" s="121">
        <v>51</v>
      </c>
      <c r="K95" s="121">
        <v>114</v>
      </c>
      <c r="L95" s="121">
        <v>0</v>
      </c>
      <c r="M95" s="109">
        <f t="shared" si="23"/>
        <v>165</v>
      </c>
      <c r="N95" s="175">
        <f t="shared" si="24"/>
        <v>165</v>
      </c>
      <c r="O95" s="110">
        <v>351</v>
      </c>
      <c r="P95" s="5">
        <f t="shared" si="19"/>
        <v>-186</v>
      </c>
      <c r="Q95" s="111">
        <f t="shared" si="17"/>
        <v>-0.5299145299145299</v>
      </c>
      <c r="R95">
        <v>5301</v>
      </c>
    </row>
    <row r="96" spans="1:18" ht="15" customHeight="1">
      <c r="A96" s="134"/>
      <c r="C96" s="87" t="s">
        <v>202</v>
      </c>
      <c r="D96" s="87" t="s">
        <v>143</v>
      </c>
      <c r="E96" s="87" t="s">
        <v>459</v>
      </c>
      <c r="F96" s="107"/>
      <c r="G96" s="108"/>
      <c r="H96" s="121">
        <v>0</v>
      </c>
      <c r="I96" s="121">
        <v>0</v>
      </c>
      <c r="J96" s="121">
        <v>12</v>
      </c>
      <c r="K96" s="121">
        <v>193</v>
      </c>
      <c r="L96" s="121">
        <v>0</v>
      </c>
      <c r="M96" s="109">
        <f t="shared" si="23"/>
        <v>205</v>
      </c>
      <c r="N96" s="175">
        <f t="shared" si="24"/>
        <v>205</v>
      </c>
      <c r="O96" s="110">
        <v>221</v>
      </c>
      <c r="P96" s="5">
        <f t="shared" si="19"/>
        <v>-16</v>
      </c>
      <c r="Q96" s="111">
        <f t="shared" si="17"/>
        <v>-0.07239819004524888</v>
      </c>
      <c r="R96">
        <v>5401</v>
      </c>
    </row>
    <row r="97" spans="1:18" ht="15" customHeight="1">
      <c r="A97" s="134"/>
      <c r="C97" s="87" t="s">
        <v>129</v>
      </c>
      <c r="D97" s="87" t="s">
        <v>143</v>
      </c>
      <c r="E97" s="87" t="s">
        <v>460</v>
      </c>
      <c r="F97" s="107"/>
      <c r="G97" s="108"/>
      <c r="H97" s="121">
        <v>0</v>
      </c>
      <c r="I97" s="121">
        <v>0</v>
      </c>
      <c r="J97" s="121">
        <v>17</v>
      </c>
      <c r="K97" s="121">
        <v>112</v>
      </c>
      <c r="L97" s="121">
        <v>0</v>
      </c>
      <c r="M97" s="109">
        <f t="shared" si="23"/>
        <v>129</v>
      </c>
      <c r="N97" s="175">
        <f t="shared" si="24"/>
        <v>129</v>
      </c>
      <c r="O97" s="110">
        <v>162</v>
      </c>
      <c r="P97" s="5">
        <f t="shared" si="19"/>
        <v>-33</v>
      </c>
      <c r="Q97" s="111">
        <f t="shared" si="17"/>
        <v>-0.2037037037037037</v>
      </c>
      <c r="R97">
        <v>5501</v>
      </c>
    </row>
    <row r="98" spans="1:18" ht="15" customHeight="1">
      <c r="A98" s="134"/>
      <c r="C98" s="87" t="s">
        <v>130</v>
      </c>
      <c r="D98" s="87" t="s">
        <v>143</v>
      </c>
      <c r="E98" s="87" t="s">
        <v>461</v>
      </c>
      <c r="F98" s="107"/>
      <c r="G98" s="108"/>
      <c r="H98" s="121">
        <v>0</v>
      </c>
      <c r="I98" s="121">
        <v>0</v>
      </c>
      <c r="J98" s="121">
        <v>12</v>
      </c>
      <c r="K98" s="121">
        <v>210</v>
      </c>
      <c r="L98" s="121">
        <v>0</v>
      </c>
      <c r="M98" s="109">
        <f t="shared" si="23"/>
        <v>222</v>
      </c>
      <c r="N98" s="175">
        <f t="shared" si="24"/>
        <v>222</v>
      </c>
      <c r="O98" s="110">
        <v>382</v>
      </c>
      <c r="P98" s="5">
        <f t="shared" si="19"/>
        <v>-160</v>
      </c>
      <c r="Q98" s="111">
        <f t="shared" si="17"/>
        <v>-0.418848167539267</v>
      </c>
      <c r="R98">
        <v>5601</v>
      </c>
    </row>
    <row r="99" spans="1:18" ht="15" customHeight="1" thickBot="1">
      <c r="A99" s="134" t="s">
        <v>211</v>
      </c>
      <c r="C99" s="87" t="s">
        <v>131</v>
      </c>
      <c r="D99" s="87" t="s">
        <v>143</v>
      </c>
      <c r="E99" s="87" t="s">
        <v>462</v>
      </c>
      <c r="F99" s="146">
        <v>33.022</v>
      </c>
      <c r="G99" s="147"/>
      <c r="H99" s="114">
        <v>7</v>
      </c>
      <c r="I99" s="114">
        <v>24</v>
      </c>
      <c r="J99" s="114">
        <v>19</v>
      </c>
      <c r="K99" s="114">
        <v>19</v>
      </c>
      <c r="L99" s="114">
        <v>0</v>
      </c>
      <c r="M99" s="148">
        <f t="shared" si="23"/>
        <v>69</v>
      </c>
      <c r="N99" s="180">
        <f t="shared" si="24"/>
        <v>102.02199999999999</v>
      </c>
      <c r="O99" s="110">
        <v>323</v>
      </c>
      <c r="P99" s="5">
        <f t="shared" si="19"/>
        <v>-220.978</v>
      </c>
      <c r="Q99" s="111">
        <f t="shared" si="17"/>
        <v>-0.6841424148606812</v>
      </c>
      <c r="R99">
        <v>5801</v>
      </c>
    </row>
    <row r="100" spans="1:19" ht="15" customHeight="1">
      <c r="A100" s="134"/>
      <c r="E100" s="140" t="s">
        <v>463</v>
      </c>
      <c r="F100" s="141">
        <f>SUM(F93:F99)</f>
        <v>33.022</v>
      </c>
      <c r="G100" s="142"/>
      <c r="H100" s="143">
        <f aca="true" t="shared" si="25" ref="H100:O100">SUM(H93:H99)</f>
        <v>7</v>
      </c>
      <c r="I100" s="143">
        <f t="shared" si="25"/>
        <v>24</v>
      </c>
      <c r="J100" s="143">
        <f t="shared" si="25"/>
        <v>199</v>
      </c>
      <c r="K100" s="143">
        <f t="shared" si="25"/>
        <v>906</v>
      </c>
      <c r="L100" s="143">
        <f t="shared" si="25"/>
        <v>0</v>
      </c>
      <c r="M100" s="144">
        <f t="shared" si="25"/>
        <v>1136</v>
      </c>
      <c r="N100" s="177">
        <f t="shared" si="25"/>
        <v>1169.022</v>
      </c>
      <c r="O100" s="145">
        <f t="shared" si="25"/>
        <v>2050</v>
      </c>
      <c r="P100" s="5">
        <f t="shared" si="19"/>
        <v>-880.9780000000001</v>
      </c>
      <c r="Q100" s="111">
        <f t="shared" si="17"/>
        <v>-0.4297453658536586</v>
      </c>
      <c r="R100"/>
      <c r="S100" s="87">
        <f>SUM(O99:O100)</f>
        <v>2373</v>
      </c>
    </row>
    <row r="101" spans="1:17" ht="15" customHeight="1">
      <c r="A101" s="134"/>
      <c r="F101" s="107"/>
      <c r="G101" s="108"/>
      <c r="H101" s="109"/>
      <c r="I101" s="109"/>
      <c r="J101" s="109"/>
      <c r="K101" s="109"/>
      <c r="L101" s="109"/>
      <c r="M101" s="109"/>
      <c r="N101" s="175"/>
      <c r="P101" s="5">
        <f t="shared" si="19"/>
        <v>0</v>
      </c>
      <c r="Q101" s="111" t="e">
        <f t="shared" si="17"/>
        <v>#DIV/0!</v>
      </c>
    </row>
    <row r="102" spans="3:18" ht="15" customHeight="1">
      <c r="C102" s="87" t="s">
        <v>203</v>
      </c>
      <c r="D102" s="87" t="s">
        <v>110</v>
      </c>
      <c r="E102" s="106" t="s">
        <v>212</v>
      </c>
      <c r="F102" s="107">
        <v>24</v>
      </c>
      <c r="G102" s="108"/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f>SUM(H102:L102)</f>
        <v>0</v>
      </c>
      <c r="N102" s="175">
        <f>SUM(F102:L102)</f>
        <v>24</v>
      </c>
      <c r="O102" s="110">
        <v>24</v>
      </c>
      <c r="P102" s="5">
        <f t="shared" si="19"/>
        <v>0</v>
      </c>
      <c r="Q102" s="111">
        <f t="shared" si="17"/>
        <v>0</v>
      </c>
      <c r="R102">
        <v>6163</v>
      </c>
    </row>
    <row r="103" spans="1:18" ht="15" customHeight="1">
      <c r="A103" s="134"/>
      <c r="D103" s="87" t="s">
        <v>110</v>
      </c>
      <c r="E103" s="87" t="s">
        <v>464</v>
      </c>
      <c r="F103" s="107"/>
      <c r="G103" s="108"/>
      <c r="H103" s="121">
        <v>0</v>
      </c>
      <c r="I103" s="121">
        <v>0</v>
      </c>
      <c r="J103" s="121">
        <v>46</v>
      </c>
      <c r="K103" s="121">
        <v>0</v>
      </c>
      <c r="L103" s="121">
        <v>0</v>
      </c>
      <c r="M103" s="109">
        <f>SUM(H103:L103)</f>
        <v>46</v>
      </c>
      <c r="N103" s="175">
        <f>SUM(F103:L103)</f>
        <v>46</v>
      </c>
      <c r="O103" s="110">
        <v>95</v>
      </c>
      <c r="P103" s="5">
        <f t="shared" si="19"/>
        <v>-49</v>
      </c>
      <c r="Q103" s="111">
        <f t="shared" si="17"/>
        <v>-0.5157894736842106</v>
      </c>
      <c r="R103">
        <v>6101</v>
      </c>
    </row>
    <row r="104" spans="1:18" ht="15" customHeight="1">
      <c r="A104" s="134"/>
      <c r="C104" s="87" t="s">
        <v>204</v>
      </c>
      <c r="D104" s="87" t="s">
        <v>110</v>
      </c>
      <c r="E104" s="87" t="s">
        <v>465</v>
      </c>
      <c r="F104" s="107"/>
      <c r="G104" s="108"/>
      <c r="H104" s="121">
        <v>0</v>
      </c>
      <c r="I104" s="121">
        <v>0</v>
      </c>
      <c r="J104" s="121">
        <v>271</v>
      </c>
      <c r="K104" s="121">
        <v>384</v>
      </c>
      <c r="L104" s="121">
        <v>0</v>
      </c>
      <c r="M104" s="109">
        <f>SUM(H104:L104)</f>
        <v>655</v>
      </c>
      <c r="N104" s="175">
        <f>SUM(F104:L104)</f>
        <v>655</v>
      </c>
      <c r="O104" s="110">
        <v>463</v>
      </c>
      <c r="P104" s="5">
        <f t="shared" si="19"/>
        <v>192</v>
      </c>
      <c r="Q104" s="111">
        <f t="shared" si="17"/>
        <v>0.4146868250539957</v>
      </c>
      <c r="R104">
        <v>6201</v>
      </c>
    </row>
    <row r="105" spans="1:18" ht="15" customHeight="1">
      <c r="A105" s="134"/>
      <c r="C105" s="87" t="s">
        <v>205</v>
      </c>
      <c r="D105" s="87" t="s">
        <v>110</v>
      </c>
      <c r="E105" s="87" t="s">
        <v>466</v>
      </c>
      <c r="F105" s="107"/>
      <c r="G105" s="108"/>
      <c r="H105" s="121">
        <v>0</v>
      </c>
      <c r="I105" s="121">
        <v>0</v>
      </c>
      <c r="J105" s="121">
        <v>105</v>
      </c>
      <c r="K105" s="121">
        <v>0</v>
      </c>
      <c r="L105" s="121">
        <v>0</v>
      </c>
      <c r="M105" s="109">
        <f>SUM(H105:L105)</f>
        <v>105</v>
      </c>
      <c r="N105" s="175">
        <f>SUM(F105:L105)</f>
        <v>105</v>
      </c>
      <c r="O105" s="110">
        <v>109</v>
      </c>
      <c r="P105" s="5">
        <f t="shared" si="19"/>
        <v>-4</v>
      </c>
      <c r="Q105" s="111">
        <f t="shared" si="17"/>
        <v>-0.03669724770642202</v>
      </c>
      <c r="R105">
        <v>6301</v>
      </c>
    </row>
    <row r="106" spans="1:18" ht="15" customHeight="1" thickBot="1">
      <c r="A106" s="134"/>
      <c r="C106" s="87" t="s">
        <v>132</v>
      </c>
      <c r="D106" s="87" t="s">
        <v>110</v>
      </c>
      <c r="E106" s="13" t="s">
        <v>467</v>
      </c>
      <c r="F106" s="146"/>
      <c r="G106" s="147"/>
      <c r="H106" s="114">
        <v>0</v>
      </c>
      <c r="I106" s="114">
        <v>0</v>
      </c>
      <c r="J106" s="114">
        <v>107</v>
      </c>
      <c r="K106" s="114">
        <v>466</v>
      </c>
      <c r="L106" s="114">
        <v>0</v>
      </c>
      <c r="M106" s="148">
        <f>SUM(H106:L106)</f>
        <v>573</v>
      </c>
      <c r="N106" s="180">
        <f>SUM(F106:L106)</f>
        <v>573</v>
      </c>
      <c r="O106" s="110"/>
      <c r="P106" s="7">
        <f t="shared" si="19"/>
        <v>573</v>
      </c>
      <c r="Q106" s="111" t="e">
        <f t="shared" si="17"/>
        <v>#DIV/0!</v>
      </c>
      <c r="R106"/>
    </row>
    <row r="107" spans="1:18" ht="15" customHeight="1">
      <c r="A107" s="134"/>
      <c r="E107" s="140" t="s">
        <v>468</v>
      </c>
      <c r="F107" s="141">
        <f>SUM(F102:F106)</f>
        <v>24</v>
      </c>
      <c r="G107" s="142"/>
      <c r="H107" s="143">
        <f aca="true" t="shared" si="26" ref="H107:O107">SUM(H102:H106)</f>
        <v>0</v>
      </c>
      <c r="I107" s="143">
        <f t="shared" si="26"/>
        <v>0</v>
      </c>
      <c r="J107" s="143">
        <f t="shared" si="26"/>
        <v>529</v>
      </c>
      <c r="K107" s="143">
        <f t="shared" si="26"/>
        <v>850</v>
      </c>
      <c r="L107" s="143">
        <f t="shared" si="26"/>
        <v>0</v>
      </c>
      <c r="M107" s="144">
        <f t="shared" si="26"/>
        <v>1379</v>
      </c>
      <c r="N107" s="177">
        <f t="shared" si="26"/>
        <v>1403</v>
      </c>
      <c r="O107" s="145">
        <f t="shared" si="26"/>
        <v>691</v>
      </c>
      <c r="P107" s="5">
        <f t="shared" si="19"/>
        <v>712</v>
      </c>
      <c r="Q107" s="111">
        <f t="shared" si="17"/>
        <v>1.0303907380607815</v>
      </c>
      <c r="R107"/>
    </row>
    <row r="108" spans="1:18" ht="15" customHeight="1">
      <c r="A108" s="134"/>
      <c r="F108" s="107"/>
      <c r="G108" s="108"/>
      <c r="H108" s="109"/>
      <c r="I108" s="109"/>
      <c r="J108" s="109"/>
      <c r="K108" s="109"/>
      <c r="L108" s="109"/>
      <c r="M108" s="109"/>
      <c r="N108" s="175"/>
      <c r="O108" s="110"/>
      <c r="P108" s="5">
        <f t="shared" si="19"/>
        <v>0</v>
      </c>
      <c r="Q108" s="111" t="e">
        <f t="shared" si="17"/>
        <v>#DIV/0!</v>
      </c>
      <c r="R108"/>
    </row>
    <row r="109" spans="3:18" ht="15" customHeight="1">
      <c r="C109" s="87" t="s">
        <v>133</v>
      </c>
      <c r="D109" s="87" t="s">
        <v>110</v>
      </c>
      <c r="E109" s="106" t="s">
        <v>213</v>
      </c>
      <c r="F109" s="107">
        <v>32.605</v>
      </c>
      <c r="G109" s="108"/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f aca="true" t="shared" si="27" ref="M109:M114">SUM(H109:L109)</f>
        <v>0</v>
      </c>
      <c r="N109" s="175">
        <f aca="true" t="shared" si="28" ref="N109:N114">SUM(F109:L109)</f>
        <v>32.605</v>
      </c>
      <c r="O109" s="110">
        <v>80</v>
      </c>
      <c r="P109" s="5">
        <f t="shared" si="19"/>
        <v>-47.395</v>
      </c>
      <c r="Q109" s="111">
        <f t="shared" si="17"/>
        <v>-0.5924375000000001</v>
      </c>
      <c r="R109">
        <v>7101</v>
      </c>
    </row>
    <row r="110" spans="1:18" ht="15" customHeight="1">
      <c r="A110" s="134" t="s">
        <v>214</v>
      </c>
      <c r="C110" s="87" t="s">
        <v>134</v>
      </c>
      <c r="D110" s="87" t="s">
        <v>110</v>
      </c>
      <c r="E110" s="87" t="s">
        <v>214</v>
      </c>
      <c r="F110" s="107">
        <v>75.836</v>
      </c>
      <c r="G110" s="108"/>
      <c r="H110" s="121">
        <v>2</v>
      </c>
      <c r="I110" s="121">
        <v>5</v>
      </c>
      <c r="J110" s="121">
        <v>197</v>
      </c>
      <c r="K110" s="121">
        <v>0</v>
      </c>
      <c r="L110" s="121">
        <v>0</v>
      </c>
      <c r="M110" s="109">
        <f t="shared" si="27"/>
        <v>204</v>
      </c>
      <c r="N110" s="175">
        <f t="shared" si="28"/>
        <v>279.836</v>
      </c>
      <c r="O110" s="110">
        <v>164</v>
      </c>
      <c r="P110" s="5">
        <f t="shared" si="19"/>
        <v>115.83600000000001</v>
      </c>
      <c r="Q110" s="111">
        <f t="shared" si="17"/>
        <v>0.7063170731707318</v>
      </c>
      <c r="R110">
        <v>7301</v>
      </c>
    </row>
    <row r="111" spans="1:18" ht="15" customHeight="1">
      <c r="A111" s="134" t="s">
        <v>216</v>
      </c>
      <c r="C111" s="87" t="s">
        <v>135</v>
      </c>
      <c r="D111" s="87" t="s">
        <v>110</v>
      </c>
      <c r="E111" s="87" t="s">
        <v>469</v>
      </c>
      <c r="F111" s="107">
        <v>854.9</v>
      </c>
      <c r="G111" s="108"/>
      <c r="H111" s="121">
        <v>-308</v>
      </c>
      <c r="I111" s="121">
        <v>23</v>
      </c>
      <c r="J111" s="121">
        <v>615</v>
      </c>
      <c r="K111" s="121">
        <v>857</v>
      </c>
      <c r="L111" s="121">
        <v>230</v>
      </c>
      <c r="M111" s="109">
        <f t="shared" si="27"/>
        <v>1417</v>
      </c>
      <c r="N111" s="175">
        <f t="shared" si="28"/>
        <v>2271.9</v>
      </c>
      <c r="O111" s="110">
        <v>1565</v>
      </c>
      <c r="P111" s="5">
        <f t="shared" si="19"/>
        <v>706.9000000000001</v>
      </c>
      <c r="Q111" s="111">
        <f t="shared" si="17"/>
        <v>0.45169329073482434</v>
      </c>
      <c r="R111">
        <v>7401</v>
      </c>
    </row>
    <row r="112" spans="1:18" ht="15" customHeight="1">
      <c r="A112" s="134"/>
      <c r="C112" s="87" t="s">
        <v>136</v>
      </c>
      <c r="D112" s="87" t="s">
        <v>110</v>
      </c>
      <c r="E112" s="122" t="s">
        <v>470</v>
      </c>
      <c r="F112" s="107"/>
      <c r="G112" s="108"/>
      <c r="H112" s="121">
        <v>0</v>
      </c>
      <c r="I112" s="121">
        <v>0</v>
      </c>
      <c r="J112" s="121">
        <v>336</v>
      </c>
      <c r="K112" s="121">
        <v>806</v>
      </c>
      <c r="L112" s="121">
        <v>265</v>
      </c>
      <c r="M112" s="109">
        <f t="shared" si="27"/>
        <v>1407</v>
      </c>
      <c r="N112" s="175">
        <f t="shared" si="28"/>
        <v>1407</v>
      </c>
      <c r="O112" s="110">
        <v>1111</v>
      </c>
      <c r="P112" s="125">
        <f t="shared" si="19"/>
        <v>296</v>
      </c>
      <c r="Q112" s="111">
        <f t="shared" si="17"/>
        <v>0.2664266426642664</v>
      </c>
      <c r="R112">
        <v>7501</v>
      </c>
    </row>
    <row r="113" spans="1:18" ht="15" customHeight="1">
      <c r="A113" s="134"/>
      <c r="C113" s="87" t="s">
        <v>136</v>
      </c>
      <c r="D113" s="87" t="s">
        <v>110</v>
      </c>
      <c r="E113" s="122" t="s">
        <v>471</v>
      </c>
      <c r="F113" s="107"/>
      <c r="G113" s="108"/>
      <c r="H113" s="121">
        <v>0</v>
      </c>
      <c r="I113" s="121">
        <v>0</v>
      </c>
      <c r="J113" s="121">
        <v>1668</v>
      </c>
      <c r="K113" s="121">
        <v>2205</v>
      </c>
      <c r="L113" s="121">
        <v>638</v>
      </c>
      <c r="M113" s="109">
        <f t="shared" si="27"/>
        <v>4511</v>
      </c>
      <c r="N113" s="175">
        <f t="shared" si="28"/>
        <v>4511</v>
      </c>
      <c r="O113" s="110">
        <v>1254</v>
      </c>
      <c r="P113" s="125">
        <f t="shared" si="19"/>
        <v>3257</v>
      </c>
      <c r="Q113" s="111">
        <f t="shared" si="17"/>
        <v>2.5972886762360448</v>
      </c>
      <c r="R113">
        <v>7503</v>
      </c>
    </row>
    <row r="114" spans="1:18" ht="15" customHeight="1" thickBot="1">
      <c r="A114" s="134"/>
      <c r="C114" s="87" t="s">
        <v>137</v>
      </c>
      <c r="D114" s="87" t="s">
        <v>110</v>
      </c>
      <c r="E114" s="87" t="s">
        <v>472</v>
      </c>
      <c r="F114" s="146"/>
      <c r="G114" s="147"/>
      <c r="H114" s="114">
        <v>0</v>
      </c>
      <c r="I114" s="114">
        <v>0</v>
      </c>
      <c r="J114" s="114">
        <v>207</v>
      </c>
      <c r="K114" s="114">
        <v>205</v>
      </c>
      <c r="L114" s="114">
        <v>0</v>
      </c>
      <c r="M114" s="148">
        <f t="shared" si="27"/>
        <v>412</v>
      </c>
      <c r="N114" s="180">
        <f t="shared" si="28"/>
        <v>412</v>
      </c>
      <c r="O114" s="110">
        <v>238</v>
      </c>
      <c r="P114" s="5">
        <f t="shared" si="19"/>
        <v>174</v>
      </c>
      <c r="Q114" s="111">
        <f t="shared" si="17"/>
        <v>0.7310924369747899</v>
      </c>
      <c r="R114">
        <v>7601</v>
      </c>
    </row>
    <row r="115" spans="1:18" ht="15" customHeight="1">
      <c r="A115" s="134"/>
      <c r="E115" s="140" t="s">
        <v>473</v>
      </c>
      <c r="F115" s="141">
        <f>SUM(F109:F114)</f>
        <v>963.341</v>
      </c>
      <c r="G115" s="142"/>
      <c r="H115" s="143">
        <f aca="true" t="shared" si="29" ref="H115:O115">SUM(H109:H114)</f>
        <v>-306</v>
      </c>
      <c r="I115" s="143">
        <f t="shared" si="29"/>
        <v>28</v>
      </c>
      <c r="J115" s="143">
        <f t="shared" si="29"/>
        <v>3023</v>
      </c>
      <c r="K115" s="143">
        <f t="shared" si="29"/>
        <v>4073</v>
      </c>
      <c r="L115" s="143">
        <f t="shared" si="29"/>
        <v>1133</v>
      </c>
      <c r="M115" s="144">
        <f t="shared" si="29"/>
        <v>7951</v>
      </c>
      <c r="N115" s="177">
        <f t="shared" si="29"/>
        <v>8914.341</v>
      </c>
      <c r="O115" s="145">
        <f t="shared" si="29"/>
        <v>4412</v>
      </c>
      <c r="P115" s="5">
        <f t="shared" si="19"/>
        <v>4502.341</v>
      </c>
      <c r="Q115" s="111">
        <f t="shared" si="17"/>
        <v>1.0204762012692656</v>
      </c>
      <c r="R115"/>
    </row>
    <row r="116" spans="1:18" ht="15" customHeight="1">
      <c r="A116" s="134"/>
      <c r="F116" s="107"/>
      <c r="G116" s="108"/>
      <c r="H116" s="109"/>
      <c r="I116" s="109"/>
      <c r="J116" s="109"/>
      <c r="K116" s="109"/>
      <c r="L116" s="109"/>
      <c r="M116" s="109"/>
      <c r="N116" s="175"/>
      <c r="O116" s="110"/>
      <c r="P116" s="5">
        <f t="shared" si="19"/>
        <v>0</v>
      </c>
      <c r="Q116" s="111" t="e">
        <f t="shared" si="17"/>
        <v>#DIV/0!</v>
      </c>
      <c r="R116"/>
    </row>
    <row r="117" spans="1:18" ht="15" customHeight="1">
      <c r="A117" s="106" t="s">
        <v>242</v>
      </c>
      <c r="C117" s="87" t="s">
        <v>138</v>
      </c>
      <c r="D117" s="87" t="s">
        <v>144</v>
      </c>
      <c r="E117" s="122" t="s">
        <v>474</v>
      </c>
      <c r="F117" s="132">
        <f>2829.4-7</f>
        <v>2822.4</v>
      </c>
      <c r="G117" s="124" t="s">
        <v>306</v>
      </c>
      <c r="H117" s="109">
        <v>278</v>
      </c>
      <c r="I117" s="109">
        <v>1034</v>
      </c>
      <c r="J117" s="109">
        <v>1158</v>
      </c>
      <c r="K117" s="109">
        <v>1074</v>
      </c>
      <c r="L117" s="109">
        <v>299</v>
      </c>
      <c r="M117" s="109">
        <f aca="true" t="shared" si="30" ref="M117:M128">SUM(H117:L117)</f>
        <v>3843</v>
      </c>
      <c r="N117" s="175">
        <f aca="true" t="shared" si="31" ref="N117:N128">SUM(F117:L117)</f>
        <v>6665.4</v>
      </c>
      <c r="O117" s="110">
        <v>4197</v>
      </c>
      <c r="P117" s="125">
        <f t="shared" si="19"/>
        <v>2468.3999999999996</v>
      </c>
      <c r="Q117" s="111">
        <f t="shared" si="17"/>
        <v>0.588134381701215</v>
      </c>
      <c r="R117">
        <v>8101</v>
      </c>
    </row>
    <row r="118" spans="1:18" ht="15" customHeight="1">
      <c r="A118" s="106" t="s">
        <v>243</v>
      </c>
      <c r="D118" s="87" t="s">
        <v>144</v>
      </c>
      <c r="E118" s="122" t="s">
        <v>475</v>
      </c>
      <c r="F118" s="107">
        <v>553.747</v>
      </c>
      <c r="G118" s="108"/>
      <c r="H118" s="109">
        <v>60</v>
      </c>
      <c r="I118" s="109">
        <v>159</v>
      </c>
      <c r="J118" s="109">
        <v>159</v>
      </c>
      <c r="K118" s="109">
        <v>102</v>
      </c>
      <c r="L118" s="109">
        <v>19</v>
      </c>
      <c r="M118" s="109">
        <f t="shared" si="30"/>
        <v>499</v>
      </c>
      <c r="N118" s="175">
        <f t="shared" si="31"/>
        <v>1052.7469999999998</v>
      </c>
      <c r="O118" s="110">
        <v>387</v>
      </c>
      <c r="P118" s="125">
        <f t="shared" si="19"/>
        <v>665.7469999999998</v>
      </c>
      <c r="Q118" s="111">
        <f t="shared" si="17"/>
        <v>1.7202764857881132</v>
      </c>
      <c r="R118">
        <v>8102</v>
      </c>
    </row>
    <row r="119" spans="1:18" ht="15" customHeight="1">
      <c r="A119" s="106" t="s">
        <v>244</v>
      </c>
      <c r="C119" s="87" t="s">
        <v>139</v>
      </c>
      <c r="D119" s="87" t="s">
        <v>109</v>
      </c>
      <c r="E119" s="122" t="s">
        <v>476</v>
      </c>
      <c r="F119" s="132">
        <f>2653.4-7</f>
        <v>2646.4</v>
      </c>
      <c r="G119" s="124" t="s">
        <v>306</v>
      </c>
      <c r="H119" s="109">
        <v>476</v>
      </c>
      <c r="I119" s="109">
        <v>665</v>
      </c>
      <c r="J119" s="109">
        <v>663</v>
      </c>
      <c r="K119" s="109">
        <v>660</v>
      </c>
      <c r="L119" s="109">
        <v>185</v>
      </c>
      <c r="M119" s="109">
        <f t="shared" si="30"/>
        <v>2649</v>
      </c>
      <c r="N119" s="175">
        <f t="shared" si="31"/>
        <v>5295.4</v>
      </c>
      <c r="O119" s="110">
        <v>2835</v>
      </c>
      <c r="P119" s="125">
        <f t="shared" si="19"/>
        <v>2460.3999999999996</v>
      </c>
      <c r="Q119" s="111">
        <f t="shared" si="17"/>
        <v>0.8678659611992944</v>
      </c>
      <c r="R119">
        <v>8202</v>
      </c>
    </row>
    <row r="120" spans="1:18" ht="15" customHeight="1">
      <c r="A120" s="106" t="s">
        <v>245</v>
      </c>
      <c r="D120" s="87" t="s">
        <v>109</v>
      </c>
      <c r="E120" s="92" t="s">
        <v>477</v>
      </c>
      <c r="F120" s="132">
        <f>988.511-3</f>
        <v>985.511</v>
      </c>
      <c r="G120" s="124" t="s">
        <v>306</v>
      </c>
      <c r="H120" s="109">
        <v>160</v>
      </c>
      <c r="I120" s="109">
        <v>377</v>
      </c>
      <c r="J120" s="109">
        <v>376</v>
      </c>
      <c r="K120" s="109">
        <v>374</v>
      </c>
      <c r="L120" s="109">
        <v>121</v>
      </c>
      <c r="M120" s="109">
        <f t="shared" si="30"/>
        <v>1408</v>
      </c>
      <c r="N120" s="175">
        <f t="shared" si="31"/>
        <v>2393.511</v>
      </c>
      <c r="O120" s="110">
        <v>1116</v>
      </c>
      <c r="P120" s="133">
        <f t="shared" si="19"/>
        <v>1277.511</v>
      </c>
      <c r="Q120" s="111">
        <f t="shared" si="17"/>
        <v>1.1447231182795699</v>
      </c>
      <c r="R120">
        <v>8203</v>
      </c>
    </row>
    <row r="121" spans="1:18" ht="15" customHeight="1">
      <c r="A121" s="106" t="s">
        <v>246</v>
      </c>
      <c r="D121" s="87" t="s">
        <v>109</v>
      </c>
      <c r="E121" s="92" t="s">
        <v>478</v>
      </c>
      <c r="F121" s="132">
        <f>1283.406-7</f>
        <v>1276.406</v>
      </c>
      <c r="G121" s="124" t="s">
        <v>306</v>
      </c>
      <c r="H121" s="109">
        <v>181</v>
      </c>
      <c r="I121" s="109">
        <v>295</v>
      </c>
      <c r="J121" s="109">
        <v>293</v>
      </c>
      <c r="K121" s="109">
        <v>292</v>
      </c>
      <c r="L121" s="109">
        <v>93</v>
      </c>
      <c r="M121" s="109">
        <f t="shared" si="30"/>
        <v>1154</v>
      </c>
      <c r="N121" s="175">
        <f t="shared" si="31"/>
        <v>2430.406</v>
      </c>
      <c r="O121" s="110">
        <v>601</v>
      </c>
      <c r="P121" s="133">
        <f t="shared" si="19"/>
        <v>1829.406</v>
      </c>
      <c r="Q121" s="111">
        <f t="shared" si="17"/>
        <v>3.043936772046589</v>
      </c>
      <c r="R121">
        <v>8204</v>
      </c>
    </row>
    <row r="122" spans="1:18" ht="15" customHeight="1">
      <c r="A122" s="106" t="s">
        <v>249</v>
      </c>
      <c r="D122" s="87" t="s">
        <v>109</v>
      </c>
      <c r="E122" s="87" t="s">
        <v>479</v>
      </c>
      <c r="F122" s="107">
        <v>301.9</v>
      </c>
      <c r="G122" s="108"/>
      <c r="H122" s="109">
        <v>102</v>
      </c>
      <c r="I122" s="109">
        <v>266</v>
      </c>
      <c r="J122" s="109">
        <v>162</v>
      </c>
      <c r="K122" s="109">
        <v>56</v>
      </c>
      <c r="L122" s="109">
        <v>12</v>
      </c>
      <c r="M122" s="109">
        <f t="shared" si="30"/>
        <v>598</v>
      </c>
      <c r="N122" s="175">
        <f t="shared" si="31"/>
        <v>899.9</v>
      </c>
      <c r="O122" s="110">
        <v>332</v>
      </c>
      <c r="P122" s="5">
        <f t="shared" si="19"/>
        <v>567.9</v>
      </c>
      <c r="Q122" s="111">
        <f t="shared" si="17"/>
        <v>1.7105421686746987</v>
      </c>
      <c r="R122">
        <v>8205</v>
      </c>
    </row>
    <row r="123" spans="1:17" ht="15" customHeight="1">
      <c r="A123" s="106" t="s">
        <v>305</v>
      </c>
      <c r="D123" s="87" t="s">
        <v>109</v>
      </c>
      <c r="E123" s="87" t="s">
        <v>480</v>
      </c>
      <c r="F123" s="107">
        <v>37.646</v>
      </c>
      <c r="G123" s="108"/>
      <c r="H123" s="109">
        <v>19</v>
      </c>
      <c r="I123" s="109">
        <v>0</v>
      </c>
      <c r="J123" s="109">
        <v>0</v>
      </c>
      <c r="K123" s="109">
        <v>0</v>
      </c>
      <c r="L123" s="109">
        <v>0</v>
      </c>
      <c r="M123" s="109">
        <f t="shared" si="30"/>
        <v>19</v>
      </c>
      <c r="N123" s="175">
        <f t="shared" si="31"/>
        <v>56.646</v>
      </c>
      <c r="P123" s="5">
        <f t="shared" si="19"/>
        <v>56.646</v>
      </c>
      <c r="Q123" s="111" t="e">
        <f t="shared" si="17"/>
        <v>#DIV/0!</v>
      </c>
    </row>
    <row r="124" spans="1:17" ht="15" customHeight="1">
      <c r="A124" s="106"/>
      <c r="D124" s="87" t="s">
        <v>109</v>
      </c>
      <c r="E124" s="87" t="s">
        <v>481</v>
      </c>
      <c r="F124" s="107"/>
      <c r="G124" s="108"/>
      <c r="H124" s="109">
        <v>15</v>
      </c>
      <c r="I124" s="109">
        <v>32</v>
      </c>
      <c r="J124" s="109">
        <v>32</v>
      </c>
      <c r="K124" s="109">
        <v>32</v>
      </c>
      <c r="L124" s="109">
        <v>10</v>
      </c>
      <c r="M124" s="109">
        <f t="shared" si="30"/>
        <v>121</v>
      </c>
      <c r="N124" s="175">
        <f t="shared" si="31"/>
        <v>121</v>
      </c>
      <c r="P124" s="5">
        <f t="shared" si="19"/>
        <v>121</v>
      </c>
      <c r="Q124" s="111" t="e">
        <f t="shared" si="17"/>
        <v>#DIV/0!</v>
      </c>
    </row>
    <row r="125" spans="1:18" ht="15" customHeight="1">
      <c r="A125" s="106"/>
      <c r="D125" s="87" t="s">
        <v>144</v>
      </c>
      <c r="E125" s="87" t="s">
        <v>482</v>
      </c>
      <c r="F125" s="132">
        <f>1419.99-4</f>
        <v>1415.99</v>
      </c>
      <c r="G125" s="124" t="s">
        <v>306</v>
      </c>
      <c r="H125" s="109">
        <v>144</v>
      </c>
      <c r="I125" s="109">
        <v>384</v>
      </c>
      <c r="J125" s="109">
        <v>406</v>
      </c>
      <c r="K125" s="109">
        <v>431</v>
      </c>
      <c r="L125" s="109">
        <v>88</v>
      </c>
      <c r="M125" s="109">
        <f t="shared" si="30"/>
        <v>1453</v>
      </c>
      <c r="N125" s="175">
        <f t="shared" si="31"/>
        <v>2868.99</v>
      </c>
      <c r="O125" s="110">
        <v>1577</v>
      </c>
      <c r="P125" s="5">
        <f t="shared" si="19"/>
        <v>1291.9899999999998</v>
      </c>
      <c r="Q125" s="111">
        <f t="shared" si="17"/>
        <v>0.8192707672796448</v>
      </c>
      <c r="R125">
        <v>8998</v>
      </c>
    </row>
    <row r="126" spans="3:18" ht="15" customHeight="1">
      <c r="C126" s="87" t="s">
        <v>140</v>
      </c>
      <c r="D126" s="87" t="s">
        <v>144</v>
      </c>
      <c r="E126" s="106" t="s">
        <v>263</v>
      </c>
      <c r="F126" s="107">
        <v>323.9</v>
      </c>
      <c r="G126" s="108"/>
      <c r="H126" s="109"/>
      <c r="I126" s="109"/>
      <c r="J126" s="109"/>
      <c r="K126" s="109"/>
      <c r="L126" s="109"/>
      <c r="M126" s="109">
        <f t="shared" si="30"/>
        <v>0</v>
      </c>
      <c r="N126" s="175">
        <f t="shared" si="31"/>
        <v>323.9</v>
      </c>
      <c r="O126" s="110">
        <v>324</v>
      </c>
      <c r="P126" s="5">
        <f t="shared" si="19"/>
        <v>-0.10000000000002274</v>
      </c>
      <c r="Q126" s="111">
        <f t="shared" si="17"/>
        <v>-0.00030864197530871217</v>
      </c>
      <c r="R126">
        <v>8401</v>
      </c>
    </row>
    <row r="127" spans="4:18" ht="15" customHeight="1">
      <c r="D127" s="87" t="s">
        <v>144</v>
      </c>
      <c r="E127" s="106" t="s">
        <v>247</v>
      </c>
      <c r="F127" s="107">
        <v>146.46699999999998</v>
      </c>
      <c r="G127" s="108"/>
      <c r="H127" s="109"/>
      <c r="I127" s="109"/>
      <c r="J127" s="109"/>
      <c r="K127" s="109"/>
      <c r="L127" s="109"/>
      <c r="M127" s="109">
        <f t="shared" si="30"/>
        <v>0</v>
      </c>
      <c r="N127" s="175">
        <f t="shared" si="31"/>
        <v>146.46699999999998</v>
      </c>
      <c r="O127" s="110">
        <v>146</v>
      </c>
      <c r="P127" s="5">
        <f t="shared" si="19"/>
        <v>0.46699999999998454</v>
      </c>
      <c r="Q127" s="111">
        <f t="shared" si="17"/>
        <v>0.0031986301369861954</v>
      </c>
      <c r="R127">
        <v>8402</v>
      </c>
    </row>
    <row r="128" spans="3:18" ht="15" customHeight="1" thickBot="1">
      <c r="C128" s="87" t="s">
        <v>206</v>
      </c>
      <c r="D128" s="87" t="s">
        <v>143</v>
      </c>
      <c r="E128" s="87" t="s">
        <v>483</v>
      </c>
      <c r="F128" s="146"/>
      <c r="G128" s="147"/>
      <c r="H128" s="148">
        <v>0</v>
      </c>
      <c r="I128" s="148">
        <v>0</v>
      </c>
      <c r="J128" s="148">
        <v>276</v>
      </c>
      <c r="K128" s="148">
        <v>70</v>
      </c>
      <c r="L128" s="148">
        <v>419</v>
      </c>
      <c r="M128" s="148">
        <f t="shared" si="30"/>
        <v>765</v>
      </c>
      <c r="N128" s="180">
        <f t="shared" si="31"/>
        <v>765</v>
      </c>
      <c r="O128" s="110">
        <v>1189</v>
      </c>
      <c r="P128" s="5">
        <f t="shared" si="19"/>
        <v>-424</v>
      </c>
      <c r="Q128" s="111">
        <f t="shared" si="17"/>
        <v>-0.3566021867115223</v>
      </c>
      <c r="R128">
        <v>8501</v>
      </c>
    </row>
    <row r="129" spans="1:17" ht="18" thickBot="1">
      <c r="A129" s="106" t="s">
        <v>207</v>
      </c>
      <c r="E129" s="140" t="s">
        <v>484</v>
      </c>
      <c r="F129" s="149">
        <f>SUM(F117:F128)</f>
        <v>10510.367</v>
      </c>
      <c r="G129" s="150"/>
      <c r="H129" s="151">
        <f aca="true" t="shared" si="32" ref="H129:O129">SUM(H117:H128)</f>
        <v>1435</v>
      </c>
      <c r="I129" s="151">
        <f t="shared" si="32"/>
        <v>3212</v>
      </c>
      <c r="J129" s="151">
        <f t="shared" si="32"/>
        <v>3525</v>
      </c>
      <c r="K129" s="151">
        <f t="shared" si="32"/>
        <v>3091</v>
      </c>
      <c r="L129" s="151">
        <f t="shared" si="32"/>
        <v>1246</v>
      </c>
      <c r="M129" s="152">
        <f t="shared" si="32"/>
        <v>12509</v>
      </c>
      <c r="N129" s="181">
        <f t="shared" si="32"/>
        <v>23019.367000000002</v>
      </c>
      <c r="O129" s="153">
        <f t="shared" si="32"/>
        <v>12704</v>
      </c>
      <c r="P129" s="5">
        <f t="shared" si="19"/>
        <v>10315.367000000002</v>
      </c>
      <c r="Q129" s="111">
        <f t="shared" si="17"/>
        <v>0.8119778809823679</v>
      </c>
    </row>
    <row r="130" spans="5:18" ht="18" thickTop="1">
      <c r="E130" s="154" t="s">
        <v>195</v>
      </c>
      <c r="F130" s="155">
        <f>SUM(F129,F115,F107,F100,F91,F84,F78,F72)</f>
        <v>67103.138</v>
      </c>
      <c r="G130" s="156"/>
      <c r="H130" s="155">
        <f aca="true" t="shared" si="33" ref="H130:O130">SUM(H129,H115,H107,H100,H91,H84,H78,H72)</f>
        <v>6120</v>
      </c>
      <c r="I130" s="155">
        <f t="shared" si="33"/>
        <v>14483</v>
      </c>
      <c r="J130" s="155">
        <f t="shared" si="33"/>
        <v>15068</v>
      </c>
      <c r="K130" s="155">
        <f t="shared" si="33"/>
        <v>12581</v>
      </c>
      <c r="L130" s="155">
        <f t="shared" si="33"/>
        <v>2602</v>
      </c>
      <c r="M130" s="155">
        <f t="shared" si="33"/>
        <v>50854</v>
      </c>
      <c r="N130" s="178">
        <f t="shared" si="33"/>
        <v>117957.13799999998</v>
      </c>
      <c r="O130" s="157">
        <f t="shared" si="33"/>
        <v>79592</v>
      </c>
      <c r="P130" s="5">
        <f t="shared" si="19"/>
        <v>38365.13799999998</v>
      </c>
      <c r="Q130" s="111">
        <f t="shared" si="17"/>
        <v>0.48202253995376393</v>
      </c>
      <c r="R130" s="155"/>
    </row>
    <row r="131" spans="5:18" ht="17.25">
      <c r="E131" s="158" t="s">
        <v>257</v>
      </c>
      <c r="F131" s="159">
        <v>75</v>
      </c>
      <c r="G131" s="160"/>
      <c r="H131" s="109"/>
      <c r="I131" s="109"/>
      <c r="J131" s="109"/>
      <c r="K131" s="109"/>
      <c r="L131" s="109"/>
      <c r="M131" s="109"/>
      <c r="N131" s="178">
        <f>SUM(F131)</f>
        <v>75</v>
      </c>
      <c r="R131" s="161"/>
    </row>
    <row r="132" spans="3:18" ht="17.25">
      <c r="C132" s="87" t="s">
        <v>141</v>
      </c>
      <c r="E132" s="154" t="s">
        <v>413</v>
      </c>
      <c r="F132" s="155"/>
      <c r="G132" s="156"/>
      <c r="H132" s="162">
        <v>144</v>
      </c>
      <c r="I132" s="162">
        <v>2205</v>
      </c>
      <c r="J132" s="162">
        <v>3492</v>
      </c>
      <c r="K132" s="162">
        <v>4450</v>
      </c>
      <c r="L132" s="162">
        <v>4089</v>
      </c>
      <c r="M132" s="162">
        <f>SUM(H132:L132)</f>
        <v>14380</v>
      </c>
      <c r="N132" s="178">
        <f>+M132</f>
        <v>14380</v>
      </c>
      <c r="O132" s="157">
        <v>12804</v>
      </c>
      <c r="R132" s="161"/>
    </row>
    <row r="133" spans="6:18" ht="17.25">
      <c r="F133" s="163"/>
      <c r="G133" s="160"/>
      <c r="H133" s="109"/>
      <c r="I133" s="109"/>
      <c r="J133" s="109"/>
      <c r="K133" s="109"/>
      <c r="L133" s="109"/>
      <c r="M133" s="109"/>
      <c r="N133" s="175"/>
      <c r="R133" s="161"/>
    </row>
    <row r="134" spans="5:18" ht="17.25">
      <c r="E134" s="154" t="s">
        <v>195</v>
      </c>
      <c r="F134" s="155">
        <f>SUM(F130:F132)</f>
        <v>67178.138</v>
      </c>
      <c r="G134" s="156"/>
      <c r="H134" s="164">
        <f aca="true" t="shared" si="34" ref="H134:N134">SUM(H130:H132)</f>
        <v>6264</v>
      </c>
      <c r="I134" s="162">
        <f t="shared" si="34"/>
        <v>16688</v>
      </c>
      <c r="J134" s="162">
        <f t="shared" si="34"/>
        <v>18560</v>
      </c>
      <c r="K134" s="162">
        <f t="shared" si="34"/>
        <v>17031</v>
      </c>
      <c r="L134" s="162">
        <f t="shared" si="34"/>
        <v>6691</v>
      </c>
      <c r="M134" s="162">
        <f t="shared" si="34"/>
        <v>65234</v>
      </c>
      <c r="N134" s="178">
        <f t="shared" si="34"/>
        <v>132412.13799999998</v>
      </c>
      <c r="O134" s="157">
        <f>SUM(O130:O132)+5</f>
        <v>92401</v>
      </c>
      <c r="R134" s="161"/>
    </row>
    <row r="135" spans="6:18" ht="17.25">
      <c r="F135" s="163"/>
      <c r="G135" s="160"/>
      <c r="H135" s="109"/>
      <c r="I135" s="109"/>
      <c r="J135" s="109"/>
      <c r="K135" s="109"/>
      <c r="L135" s="109"/>
      <c r="M135" s="109"/>
      <c r="N135" s="175"/>
      <c r="R135" s="161"/>
    </row>
    <row r="136" spans="5:18" ht="17.25">
      <c r="E136" s="165" t="s">
        <v>142</v>
      </c>
      <c r="F136" s="166"/>
      <c r="G136" s="166"/>
      <c r="H136" s="166"/>
      <c r="I136" s="109"/>
      <c r="J136" s="109"/>
      <c r="K136" s="109"/>
      <c r="L136" s="109"/>
      <c r="M136" s="109"/>
      <c r="N136" s="175"/>
      <c r="P136" s="161">
        <f>SUM(P117:P121,P112:P113,P106,P66:P68,P62,P51,P44,P40,P35,P23)</f>
        <v>30463.292999999998</v>
      </c>
      <c r="Q136" s="161"/>
      <c r="R136" s="167">
        <f>+P136/P130</f>
        <v>0.7940357988546793</v>
      </c>
    </row>
    <row r="137" spans="6:18" ht="17.25">
      <c r="F137" s="163"/>
      <c r="G137" s="160"/>
      <c r="H137" s="109"/>
      <c r="I137" s="109"/>
      <c r="J137" s="109"/>
      <c r="K137" s="109"/>
      <c r="L137" s="109"/>
      <c r="M137" s="109"/>
      <c r="N137" s="175"/>
      <c r="R137" s="161"/>
    </row>
    <row r="138" spans="6:18" ht="17.25">
      <c r="F138" s="163"/>
      <c r="G138" s="160"/>
      <c r="H138" s="109"/>
      <c r="I138" s="109"/>
      <c r="J138" s="109"/>
      <c r="K138" s="109"/>
      <c r="L138" s="109"/>
      <c r="M138" s="109"/>
      <c r="N138" s="175"/>
      <c r="R138" s="161"/>
    </row>
    <row r="139" spans="6:18" ht="17.25">
      <c r="F139" s="163"/>
      <c r="G139" s="160"/>
      <c r="H139" s="109"/>
      <c r="I139" s="109"/>
      <c r="J139" s="109"/>
      <c r="K139" s="109"/>
      <c r="L139" s="109"/>
      <c r="M139" s="109"/>
      <c r="N139" s="175"/>
      <c r="R139" s="161"/>
    </row>
    <row r="140" spans="4:18" ht="17.25">
      <c r="D140" s="87" t="s">
        <v>144</v>
      </c>
      <c r="F140" s="163">
        <f>SUMIF($D$5:$D$128,"Jim",F$5:F$128)</f>
        <v>5262.503999999999</v>
      </c>
      <c r="G140" s="160"/>
      <c r="H140" s="109">
        <f aca="true" t="shared" si="35" ref="H140:P140">SUMIF($D$5:$D$128,"Jim",H$5:H$128)</f>
        <v>482</v>
      </c>
      <c r="I140" s="109">
        <f t="shared" si="35"/>
        <v>1577</v>
      </c>
      <c r="J140" s="109">
        <f t="shared" si="35"/>
        <v>1723</v>
      </c>
      <c r="K140" s="109">
        <f t="shared" si="35"/>
        <v>1607</v>
      </c>
      <c r="L140" s="109">
        <f t="shared" si="35"/>
        <v>406</v>
      </c>
      <c r="M140" s="109">
        <f t="shared" si="35"/>
        <v>5795</v>
      </c>
      <c r="N140" s="175">
        <f t="shared" si="35"/>
        <v>11057.503999999999</v>
      </c>
      <c r="O140" s="92">
        <f t="shared" si="35"/>
        <v>6631</v>
      </c>
      <c r="P140" s="87">
        <f t="shared" si="35"/>
        <v>4426.503999999998</v>
      </c>
      <c r="R140" s="161"/>
    </row>
    <row r="141" spans="4:16" ht="17.25">
      <c r="D141" s="87" t="s">
        <v>110</v>
      </c>
      <c r="F141" s="163">
        <f>SUMIF($D$5:$D$128,"Larry",F$5:F$128)</f>
        <v>20428.331000000006</v>
      </c>
      <c r="G141" s="160"/>
      <c r="H141" s="109">
        <f aca="true" t="shared" si="36" ref="H141:P141">SUMIF($D$5:$D$128,"Larry",H$5:H$128)</f>
        <v>2748</v>
      </c>
      <c r="I141" s="109">
        <f t="shared" si="36"/>
        <v>6786</v>
      </c>
      <c r="J141" s="109">
        <f t="shared" si="36"/>
        <v>7718</v>
      </c>
      <c r="K141" s="109">
        <f t="shared" si="36"/>
        <v>5881</v>
      </c>
      <c r="L141" s="109">
        <f t="shared" si="36"/>
        <v>1133</v>
      </c>
      <c r="M141" s="109">
        <f t="shared" si="36"/>
        <v>24266</v>
      </c>
      <c r="N141" s="175">
        <f t="shared" si="36"/>
        <v>44694.33100000001</v>
      </c>
      <c r="O141" s="92">
        <f t="shared" si="36"/>
        <v>25685</v>
      </c>
      <c r="P141" s="87">
        <f t="shared" si="36"/>
        <v>19009.331</v>
      </c>
    </row>
    <row r="142" spans="4:16" ht="17.25">
      <c r="D142" s="87" t="s">
        <v>109</v>
      </c>
      <c r="F142" s="163">
        <f>SUMIF($D$5:$D$128,"Phil",F$5:F$128)</f>
        <v>40659.653000000006</v>
      </c>
      <c r="G142" s="160"/>
      <c r="H142" s="109">
        <f aca="true" t="shared" si="37" ref="H142:P142">SUMIF($D$5:$D$128,"Phil",H$5:H$128)</f>
        <v>2987</v>
      </c>
      <c r="I142" s="109">
        <f t="shared" si="37"/>
        <v>6085</v>
      </c>
      <c r="J142" s="109">
        <f t="shared" si="37"/>
        <v>4151</v>
      </c>
      <c r="K142" s="109">
        <f t="shared" si="37"/>
        <v>2653</v>
      </c>
      <c r="L142" s="109">
        <f t="shared" si="37"/>
        <v>591</v>
      </c>
      <c r="M142" s="109">
        <f t="shared" si="37"/>
        <v>16467</v>
      </c>
      <c r="N142" s="175">
        <f t="shared" si="37"/>
        <v>57126.653</v>
      </c>
      <c r="O142" s="92">
        <f t="shared" si="37"/>
        <v>40736</v>
      </c>
      <c r="P142" s="87">
        <f t="shared" si="37"/>
        <v>16390.653</v>
      </c>
    </row>
    <row r="143" spans="4:16" ht="17.25">
      <c r="D143" s="87" t="s">
        <v>145</v>
      </c>
      <c r="F143" s="163">
        <f>SUMIF($D$5:$D$128,"Al",F$5:F$128)</f>
        <v>752.65</v>
      </c>
      <c r="G143" s="160"/>
      <c r="H143" s="109">
        <f aca="true" t="shared" si="38" ref="H143:P143">SUMIF($D$5:$D$128,"Al",H$5:H$128)</f>
        <v>-97</v>
      </c>
      <c r="I143" s="109">
        <f t="shared" si="38"/>
        <v>35</v>
      </c>
      <c r="J143" s="109">
        <f t="shared" si="38"/>
        <v>1476</v>
      </c>
      <c r="K143" s="109">
        <f t="shared" si="38"/>
        <v>2440</v>
      </c>
      <c r="L143" s="109">
        <f t="shared" si="38"/>
        <v>472</v>
      </c>
      <c r="M143" s="109">
        <f t="shared" si="38"/>
        <v>4326</v>
      </c>
      <c r="N143" s="175">
        <f t="shared" si="38"/>
        <v>5078.650000000001</v>
      </c>
      <c r="O143" s="92">
        <f t="shared" si="38"/>
        <v>6540</v>
      </c>
      <c r="P143" s="87">
        <f t="shared" si="38"/>
        <v>-1461.3500000000001</v>
      </c>
    </row>
    <row r="144" spans="6:14" ht="17.25">
      <c r="F144" s="163"/>
      <c r="G144" s="160"/>
      <c r="H144" s="109"/>
      <c r="I144" s="109"/>
      <c r="J144" s="109"/>
      <c r="K144" s="109"/>
      <c r="L144" s="109"/>
      <c r="M144" s="109"/>
      <c r="N144" s="175"/>
    </row>
    <row r="145" spans="6:18" ht="17.25">
      <c r="F145" s="163">
        <f>SUM(F140:F144)</f>
        <v>67103.138</v>
      </c>
      <c r="G145" s="160"/>
      <c r="H145" s="109">
        <f aca="true" t="shared" si="39" ref="H145:P145">SUM(H140:H144)</f>
        <v>6120</v>
      </c>
      <c r="I145" s="109">
        <f t="shared" si="39"/>
        <v>14483</v>
      </c>
      <c r="J145" s="109">
        <f t="shared" si="39"/>
        <v>15068</v>
      </c>
      <c r="K145" s="109">
        <f t="shared" si="39"/>
        <v>12581</v>
      </c>
      <c r="L145" s="109">
        <f t="shared" si="39"/>
        <v>2602</v>
      </c>
      <c r="M145" s="109">
        <f t="shared" si="39"/>
        <v>50854</v>
      </c>
      <c r="N145" s="175">
        <f t="shared" si="39"/>
        <v>117957.138</v>
      </c>
      <c r="O145" s="92">
        <f t="shared" si="39"/>
        <v>79592</v>
      </c>
      <c r="P145" s="87">
        <f t="shared" si="39"/>
        <v>38365.138</v>
      </c>
      <c r="R145" s="16"/>
    </row>
    <row r="146" spans="6:18" ht="17.25">
      <c r="F146" s="163"/>
      <c r="G146" s="160"/>
      <c r="H146" s="109"/>
      <c r="I146" s="109"/>
      <c r="J146" s="109"/>
      <c r="K146" s="109"/>
      <c r="L146" s="109"/>
      <c r="M146" s="109"/>
      <c r="N146" s="175"/>
      <c r="R146" s="16"/>
    </row>
    <row r="147" spans="6:18" ht="17.25">
      <c r="F147" s="107"/>
      <c r="G147" s="108"/>
      <c r="H147" s="109"/>
      <c r="I147" s="109"/>
      <c r="J147" s="109"/>
      <c r="K147" s="109"/>
      <c r="L147" s="109"/>
      <c r="M147" s="109"/>
      <c r="N147" s="175"/>
      <c r="R147" s="161"/>
    </row>
    <row r="148" spans="6:18" ht="17.25">
      <c r="F148" s="163"/>
      <c r="G148" s="160"/>
      <c r="H148" s="109"/>
      <c r="I148" s="109"/>
      <c r="J148" s="109"/>
      <c r="K148" s="109"/>
      <c r="L148" s="109"/>
      <c r="M148" s="109"/>
      <c r="N148" s="175"/>
      <c r="R148" s="161"/>
    </row>
    <row r="149" spans="6:18" ht="17.25">
      <c r="F149" s="163"/>
      <c r="G149" s="160"/>
      <c r="H149" s="109"/>
      <c r="I149" s="109"/>
      <c r="J149" s="109"/>
      <c r="K149" s="109"/>
      <c r="L149" s="109"/>
      <c r="M149" s="109"/>
      <c r="N149" s="175"/>
      <c r="R149" s="161"/>
    </row>
    <row r="150" spans="6:18" ht="17.25">
      <c r="F150" s="163"/>
      <c r="G150" s="160"/>
      <c r="H150" s="109"/>
      <c r="I150" s="109"/>
      <c r="J150" s="109"/>
      <c r="K150" s="109"/>
      <c r="L150" s="109"/>
      <c r="M150" s="109"/>
      <c r="N150" s="175"/>
      <c r="R150" s="161"/>
    </row>
    <row r="151" spans="6:18" ht="17.25">
      <c r="F151" s="163"/>
      <c r="G151" s="160"/>
      <c r="H151" s="109"/>
      <c r="I151" s="109"/>
      <c r="J151" s="109"/>
      <c r="K151" s="109"/>
      <c r="L151" s="109"/>
      <c r="M151" s="109"/>
      <c r="N151" s="175"/>
      <c r="R151" s="161"/>
    </row>
    <row r="152" spans="6:18" ht="17.25">
      <c r="F152" s="163"/>
      <c r="G152" s="160"/>
      <c r="H152" s="109"/>
      <c r="I152" s="109"/>
      <c r="J152" s="109"/>
      <c r="K152" s="109"/>
      <c r="L152" s="109"/>
      <c r="M152" s="109"/>
      <c r="N152" s="175"/>
      <c r="R152" s="161"/>
    </row>
    <row r="153" spans="6:18" ht="17.25">
      <c r="F153" s="168"/>
      <c r="G153" s="169"/>
      <c r="R153" s="161"/>
    </row>
    <row r="154" spans="6:18" ht="17.25">
      <c r="F154" s="168"/>
      <c r="G154" s="169"/>
      <c r="R154" s="161"/>
    </row>
    <row r="155" spans="6:18" ht="17.25">
      <c r="F155" s="168"/>
      <c r="G155" s="169"/>
      <c r="R155" s="161"/>
    </row>
    <row r="156" spans="6:18" ht="17.25">
      <c r="F156" s="168"/>
      <c r="G156" s="169"/>
      <c r="R156" s="161"/>
    </row>
    <row r="157" spans="6:18" ht="17.25">
      <c r="F157" s="168"/>
      <c r="G157" s="169"/>
      <c r="R157" s="161"/>
    </row>
    <row r="158" spans="6:18" ht="17.25">
      <c r="F158" s="168"/>
      <c r="G158" s="169"/>
      <c r="R158" s="161"/>
    </row>
    <row r="159" spans="6:18" ht="17.25">
      <c r="F159" s="168"/>
      <c r="G159" s="169"/>
      <c r="R159" s="161"/>
    </row>
    <row r="160" spans="6:18" ht="17.25">
      <c r="F160" s="168"/>
      <c r="G160" s="169"/>
      <c r="R160" s="161"/>
    </row>
    <row r="161" spans="6:18" ht="17.25">
      <c r="F161" s="168"/>
      <c r="G161" s="169"/>
      <c r="R161" s="161"/>
    </row>
    <row r="162" spans="6:18" ht="17.25">
      <c r="F162" s="168"/>
      <c r="G162" s="169"/>
      <c r="R162" s="161"/>
    </row>
    <row r="163" spans="6:18" ht="17.25">
      <c r="F163" s="168"/>
      <c r="G163" s="169"/>
      <c r="R163" s="161"/>
    </row>
    <row r="164" spans="6:18" ht="17.25">
      <c r="F164" s="168"/>
      <c r="G164" s="169"/>
      <c r="R164" s="161"/>
    </row>
    <row r="165" spans="6:18" ht="17.25">
      <c r="F165" s="168"/>
      <c r="G165" s="169"/>
      <c r="R165" s="161"/>
    </row>
    <row r="166" spans="6:18" ht="17.25">
      <c r="F166" s="168"/>
      <c r="G166" s="169"/>
      <c r="R166" s="161"/>
    </row>
    <row r="167" spans="6:18" ht="17.25">
      <c r="F167" s="168"/>
      <c r="G167" s="169"/>
      <c r="R167" s="161"/>
    </row>
    <row r="168" spans="6:18" ht="17.25">
      <c r="F168" s="168"/>
      <c r="G168" s="169"/>
      <c r="R168" s="161"/>
    </row>
    <row r="169" spans="6:18" ht="17.25">
      <c r="F169" s="168"/>
      <c r="G169" s="169"/>
      <c r="R169" s="161"/>
    </row>
    <row r="170" spans="6:18" ht="17.25">
      <c r="F170" s="168"/>
      <c r="G170" s="169"/>
      <c r="R170" s="161"/>
    </row>
    <row r="171" spans="6:18" ht="17.25">
      <c r="F171" s="168"/>
      <c r="G171" s="169"/>
      <c r="R171" s="161"/>
    </row>
    <row r="172" spans="6:18" ht="17.25">
      <c r="F172" s="168"/>
      <c r="G172" s="169"/>
      <c r="R172" s="161"/>
    </row>
    <row r="173" spans="6:18" ht="17.25">
      <c r="F173" s="168"/>
      <c r="G173" s="169"/>
      <c r="R173" s="161"/>
    </row>
    <row r="174" spans="6:18" ht="17.25">
      <c r="F174" s="168"/>
      <c r="G174" s="169"/>
      <c r="R174" s="161"/>
    </row>
    <row r="175" spans="6:18" ht="17.25">
      <c r="F175" s="168"/>
      <c r="G175" s="169"/>
      <c r="R175" s="161"/>
    </row>
    <row r="176" spans="6:18" ht="17.25">
      <c r="F176" s="168"/>
      <c r="G176" s="169"/>
      <c r="R176" s="161"/>
    </row>
    <row r="177" spans="6:18" ht="17.25">
      <c r="F177" s="168"/>
      <c r="G177" s="169"/>
      <c r="R177" s="161"/>
    </row>
    <row r="178" spans="6:18" ht="17.25">
      <c r="F178" s="168"/>
      <c r="G178" s="169"/>
      <c r="R178" s="161"/>
    </row>
    <row r="179" spans="6:18" ht="17.25">
      <c r="F179" s="168"/>
      <c r="G179" s="169"/>
      <c r="R179" s="161"/>
    </row>
    <row r="180" spans="6:18" ht="17.25">
      <c r="F180" s="168"/>
      <c r="G180" s="169"/>
      <c r="R180" s="161"/>
    </row>
    <row r="181" spans="6:18" ht="17.25">
      <c r="F181" s="168"/>
      <c r="G181" s="169"/>
      <c r="R181" s="161"/>
    </row>
    <row r="182" spans="6:18" ht="17.25">
      <c r="F182" s="168"/>
      <c r="G182" s="169"/>
      <c r="R182" s="161"/>
    </row>
    <row r="183" spans="6:18" ht="17.25">
      <c r="F183" s="168"/>
      <c r="G183" s="169"/>
      <c r="R183" s="161"/>
    </row>
    <row r="184" spans="6:18" ht="17.25">
      <c r="F184" s="168"/>
      <c r="G184" s="169"/>
      <c r="R184" s="161"/>
    </row>
    <row r="185" spans="6:18" ht="17.25">
      <c r="F185" s="168"/>
      <c r="G185" s="169"/>
      <c r="R185" s="161"/>
    </row>
    <row r="186" spans="6:18" ht="17.25">
      <c r="F186" s="168"/>
      <c r="G186" s="169"/>
      <c r="R186" s="161"/>
    </row>
    <row r="187" ht="17.25">
      <c r="R187" s="161"/>
    </row>
    <row r="188" ht="17.25">
      <c r="R188" s="161"/>
    </row>
    <row r="189" ht="17.25">
      <c r="R189" s="161"/>
    </row>
    <row r="190" ht="17.25">
      <c r="R190" s="161"/>
    </row>
    <row r="191" ht="17.25">
      <c r="R191" s="161"/>
    </row>
  </sheetData>
  <printOptions/>
  <pageMargins left="0.36" right="0.22" top="0.53" bottom="0.48" header="0.5" footer="0.5"/>
  <pageSetup fitToHeight="1" fitToWidth="1" horizontalDpi="600" verticalDpi="600" orientation="portrait" paperSize="218" scale="3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4"/>
  <sheetViews>
    <sheetView workbookViewId="0" topLeftCell="B1">
      <selection activeCell="B44" sqref="A44:IV116"/>
    </sheetView>
  </sheetViews>
  <sheetFormatPr defaultColWidth="9.140625" defaultRowHeight="12.75"/>
  <cols>
    <col min="2" max="2" width="15.00390625" style="0" customWidth="1"/>
    <col min="3" max="3" width="13.140625" style="0" customWidth="1"/>
    <col min="5" max="5" width="11.00390625" style="0" customWidth="1"/>
  </cols>
  <sheetData>
    <row r="1" spans="6:52" ht="13.5" thickBot="1">
      <c r="F1" s="1171" t="s">
        <v>675</v>
      </c>
      <c r="G1" s="1172"/>
      <c r="H1" s="1172"/>
      <c r="I1" s="1172"/>
      <c r="J1" s="1173"/>
      <c r="K1" s="1174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6"/>
      <c r="W1" s="1174"/>
      <c r="X1" s="1175"/>
      <c r="Y1" s="1175"/>
      <c r="Z1" s="1175"/>
      <c r="AA1" s="1175"/>
      <c r="AB1" s="1175"/>
      <c r="AC1" s="1175"/>
      <c r="AD1" s="1175"/>
      <c r="AE1" s="1175"/>
      <c r="AF1" s="1175"/>
      <c r="AG1" s="1175"/>
      <c r="AH1" s="1176"/>
      <c r="AI1" s="1174"/>
      <c r="AJ1" s="1175"/>
      <c r="AK1" s="1175"/>
      <c r="AL1" s="1175"/>
      <c r="AM1" s="1175"/>
      <c r="AN1" s="1175"/>
      <c r="AO1" s="1175"/>
      <c r="AP1" s="1175"/>
      <c r="AQ1" s="1175"/>
      <c r="AR1" s="1175"/>
      <c r="AS1" s="1175"/>
      <c r="AT1" s="1176"/>
      <c r="AU1" s="1174"/>
      <c r="AV1" s="1175"/>
      <c r="AW1" s="1175"/>
      <c r="AX1" s="1175"/>
      <c r="AY1" s="1175"/>
      <c r="AZ1" s="1176"/>
    </row>
    <row r="2" spans="2:66" s="341" customFormat="1" ht="39" customHeight="1" thickBot="1">
      <c r="B2" s="479"/>
      <c r="C2" s="540" t="s">
        <v>189</v>
      </c>
      <c r="D2" s="541" t="s">
        <v>485</v>
      </c>
      <c r="E2" s="542" t="s">
        <v>665</v>
      </c>
      <c r="F2" s="507" t="s">
        <v>669</v>
      </c>
      <c r="G2" s="501" t="s">
        <v>673</v>
      </c>
      <c r="H2" s="501" t="s">
        <v>674</v>
      </c>
      <c r="I2" s="501" t="s">
        <v>676</v>
      </c>
      <c r="J2" s="516" t="s">
        <v>677</v>
      </c>
      <c r="K2" s="482" t="s">
        <v>678</v>
      </c>
      <c r="L2" s="483" t="s">
        <v>679</v>
      </c>
      <c r="M2" s="483" t="s">
        <v>680</v>
      </c>
      <c r="N2" s="483" t="s">
        <v>681</v>
      </c>
      <c r="O2" s="483" t="s">
        <v>682</v>
      </c>
      <c r="P2" s="483" t="s">
        <v>683</v>
      </c>
      <c r="Q2" s="483" t="s">
        <v>684</v>
      </c>
      <c r="R2" s="483" t="s">
        <v>670</v>
      </c>
      <c r="S2" s="483" t="s">
        <v>685</v>
      </c>
      <c r="T2" s="483" t="s">
        <v>686</v>
      </c>
      <c r="U2" s="483" t="s">
        <v>687</v>
      </c>
      <c r="V2" s="484" t="s">
        <v>688</v>
      </c>
      <c r="W2" s="482" t="s">
        <v>689</v>
      </c>
      <c r="X2" s="483" t="s">
        <v>690</v>
      </c>
      <c r="Y2" s="483" t="s">
        <v>691</v>
      </c>
      <c r="Z2" s="483" t="s">
        <v>692</v>
      </c>
      <c r="AA2" s="483" t="s">
        <v>693</v>
      </c>
      <c r="AB2" s="483" t="s">
        <v>694</v>
      </c>
      <c r="AC2" s="483" t="s">
        <v>695</v>
      </c>
      <c r="AD2" s="483" t="s">
        <v>671</v>
      </c>
      <c r="AE2" s="483" t="s">
        <v>696</v>
      </c>
      <c r="AF2" s="483" t="s">
        <v>697</v>
      </c>
      <c r="AG2" s="483" t="s">
        <v>698</v>
      </c>
      <c r="AH2" s="484" t="s">
        <v>699</v>
      </c>
      <c r="AI2" s="482" t="s">
        <v>700</v>
      </c>
      <c r="AJ2" s="483" t="s">
        <v>701</v>
      </c>
      <c r="AK2" s="483" t="s">
        <v>702</v>
      </c>
      <c r="AL2" s="483" t="s">
        <v>703</v>
      </c>
      <c r="AM2" s="483" t="s">
        <v>704</v>
      </c>
      <c r="AN2" s="483" t="s">
        <v>705</v>
      </c>
      <c r="AO2" s="483" t="s">
        <v>706</v>
      </c>
      <c r="AP2" s="483" t="s">
        <v>672</v>
      </c>
      <c r="AQ2" s="483" t="s">
        <v>707</v>
      </c>
      <c r="AR2" s="483" t="s">
        <v>708</v>
      </c>
      <c r="AS2" s="483" t="s">
        <v>709</v>
      </c>
      <c r="AT2" s="484" t="s">
        <v>710</v>
      </c>
      <c r="AU2" s="482" t="s">
        <v>711</v>
      </c>
      <c r="AV2" s="483" t="s">
        <v>712</v>
      </c>
      <c r="AW2" s="483" t="s">
        <v>713</v>
      </c>
      <c r="AX2" s="483" t="s">
        <v>714</v>
      </c>
      <c r="AY2" s="483" t="s">
        <v>715</v>
      </c>
      <c r="AZ2" s="484" t="s">
        <v>716</v>
      </c>
      <c r="BA2" s="340" t="s">
        <v>329</v>
      </c>
      <c r="BB2" s="340" t="s">
        <v>330</v>
      </c>
      <c r="BC2" s="340" t="s">
        <v>331</v>
      </c>
      <c r="BD2" s="340" t="s">
        <v>332</v>
      </c>
      <c r="BE2" s="340" t="s">
        <v>309</v>
      </c>
      <c r="BF2" s="340" t="s">
        <v>310</v>
      </c>
      <c r="BG2" s="340" t="s">
        <v>333</v>
      </c>
      <c r="BH2" s="340" t="s">
        <v>334</v>
      </c>
      <c r="BI2" s="340" t="s">
        <v>335</v>
      </c>
      <c r="BJ2" s="340" t="s">
        <v>336</v>
      </c>
      <c r="BK2" s="340" t="s">
        <v>337</v>
      </c>
      <c r="BL2" s="340" t="s">
        <v>338</v>
      </c>
      <c r="BM2" s="340" t="s">
        <v>339</v>
      </c>
      <c r="BN2" s="340" t="s">
        <v>340</v>
      </c>
    </row>
    <row r="3" spans="1:64" s="1" customFormat="1" ht="9.75">
      <c r="A3" s="469">
        <f>SUM(C3:D3)</f>
        <v>11056.503999999999</v>
      </c>
      <c r="B3" s="543" t="s">
        <v>487</v>
      </c>
      <c r="C3" s="514">
        <f>SUM('Baseline Reconciliation'!F140)</f>
        <v>5262.503999999999</v>
      </c>
      <c r="D3" s="537">
        <f>SUM('BCWS by JOB'!D6)</f>
        <v>5794</v>
      </c>
      <c r="E3" s="471">
        <f>SUM('BCWS by JOB'!E6)</f>
        <v>628</v>
      </c>
      <c r="F3" s="514">
        <f>SUM('BCWS by JOB'!F6)</f>
        <v>104</v>
      </c>
      <c r="G3" s="515">
        <f>SUM('BCWS by JOB'!G6)</f>
        <v>95</v>
      </c>
      <c r="H3" s="515">
        <f>SUM('BCWS by JOB'!H6)</f>
        <v>95</v>
      </c>
      <c r="I3" s="515">
        <f>SUM('BCWS by JOB'!I6)</f>
        <v>103</v>
      </c>
      <c r="J3" s="471">
        <f>SUM('BCWS by JOB'!J6)</f>
        <v>86</v>
      </c>
      <c r="K3" s="514">
        <f>SUM('BCWS by JOB'!K6)</f>
        <v>145</v>
      </c>
      <c r="L3" s="515">
        <f>SUM('BCWS by JOB'!L6)</f>
        <v>127</v>
      </c>
      <c r="M3" s="515">
        <f>SUM('BCWS by JOB'!M6)</f>
        <v>95</v>
      </c>
      <c r="N3" s="515">
        <f>SUM('BCWS by JOB'!N6)</f>
        <v>139</v>
      </c>
      <c r="O3" s="515">
        <f>SUM('BCWS by JOB'!O6)</f>
        <v>132</v>
      </c>
      <c r="P3" s="515">
        <f>SUM('BCWS by JOB'!P6)</f>
        <v>132</v>
      </c>
      <c r="Q3" s="515">
        <f>SUM('BCWS by JOB'!Q6)</f>
        <v>139</v>
      </c>
      <c r="R3" s="515">
        <f>SUM('BCWS by JOB'!R6)</f>
        <v>132</v>
      </c>
      <c r="S3" s="515">
        <f>SUM('BCWS by JOB'!S6)</f>
        <v>132</v>
      </c>
      <c r="T3" s="515">
        <f>SUM('BCWS by JOB'!T6)</f>
        <v>139</v>
      </c>
      <c r="U3" s="515">
        <f>SUM('BCWS by JOB'!U6)</f>
        <v>132</v>
      </c>
      <c r="V3" s="515">
        <f>SUM('BCWS by JOB'!V6)</f>
        <v>131</v>
      </c>
      <c r="W3" s="2">
        <f>SUM('BCWS by JOB'!W6)</f>
        <v>159</v>
      </c>
      <c r="X3" s="2">
        <f>SUM('BCWS by JOB'!X6)</f>
        <v>126</v>
      </c>
      <c r="Y3" s="2">
        <f>SUM('BCWS by JOB'!Y6)</f>
        <v>118</v>
      </c>
      <c r="Z3" s="2">
        <f>SUM('BCWS by JOB'!Z6)</f>
        <v>146</v>
      </c>
      <c r="AA3" s="2">
        <f>SUM('BCWS by JOB'!AA6)</f>
        <v>139</v>
      </c>
      <c r="AB3" s="2">
        <f>SUM('BCWS by JOB'!AB6)</f>
        <v>152</v>
      </c>
      <c r="AC3" s="2">
        <f>SUM('BCWS by JOB'!AC6)</f>
        <v>152</v>
      </c>
      <c r="AD3" s="2">
        <f>SUM('BCWS by JOB'!AD6)</f>
        <v>139</v>
      </c>
      <c r="AE3" s="2">
        <f>SUM('BCWS by JOB'!AE6)</f>
        <v>152</v>
      </c>
      <c r="AF3" s="2">
        <f>SUM('BCWS by JOB'!AF6)</f>
        <v>152</v>
      </c>
      <c r="AG3" s="2">
        <f>SUM('BCWS by JOB'!AG6)</f>
        <v>146</v>
      </c>
      <c r="AH3" s="2">
        <f>SUM('BCWS by JOB'!AH6)</f>
        <v>142</v>
      </c>
      <c r="AI3" s="2">
        <f>SUM('BCWS by JOB'!AI6)</f>
        <v>142</v>
      </c>
      <c r="AJ3" s="2">
        <f>SUM('BCWS by JOB'!AJ6)</f>
        <v>123</v>
      </c>
      <c r="AK3" s="2">
        <f>SUM('BCWS by JOB'!AK6)</f>
        <v>104</v>
      </c>
      <c r="AL3" s="2">
        <f>SUM('BCWS by JOB'!AL6)</f>
        <v>130</v>
      </c>
      <c r="AM3" s="2">
        <f>SUM('BCWS by JOB'!AM6)</f>
        <v>130</v>
      </c>
      <c r="AN3" s="2">
        <f>SUM('BCWS by JOB'!AN6)</f>
        <v>149</v>
      </c>
      <c r="AO3" s="2">
        <f>SUM('BCWS by JOB'!AO6)</f>
        <v>142</v>
      </c>
      <c r="AP3" s="2">
        <f>SUM('BCWS by JOB'!AP6)</f>
        <v>130</v>
      </c>
      <c r="AQ3" s="2">
        <f>SUM('BCWS by JOB'!AQ6)</f>
        <v>142</v>
      </c>
      <c r="AR3" s="2">
        <f>SUM('BCWS by JOB'!AR6)</f>
        <v>136</v>
      </c>
      <c r="AS3" s="2">
        <f>SUM('BCWS by JOB'!AS6)</f>
        <v>142</v>
      </c>
      <c r="AT3" s="2">
        <f>SUM('BCWS by JOB'!AT6)</f>
        <v>136</v>
      </c>
      <c r="AU3" s="2">
        <f>SUM('BCWS by JOB'!AU6)</f>
        <v>108</v>
      </c>
      <c r="AV3" s="2">
        <f>SUM('BCWS by JOB'!AV6)</f>
        <v>103</v>
      </c>
      <c r="AW3" s="2">
        <f>SUM('BCWS by JOB'!AW6)</f>
        <v>87</v>
      </c>
      <c r="AX3" s="2">
        <f>SUM('BCWS by JOB'!AX6)</f>
        <v>108</v>
      </c>
      <c r="AY3" s="2">
        <f>SUM('BCWS by JOB'!AY6)</f>
        <v>1</v>
      </c>
      <c r="AZ3" s="2">
        <f>SUM('BCWS by JOB'!AZ6)</f>
        <v>0</v>
      </c>
      <c r="BA3" s="2">
        <f>SUM('BCWS by JOB'!BA6)</f>
        <v>0</v>
      </c>
      <c r="BB3" s="2">
        <f>SUM('BCWS by JOB'!BB6)</f>
        <v>0</v>
      </c>
      <c r="BC3" s="2">
        <f>SUM('BCWS by JOB'!BC6)</f>
        <v>0</v>
      </c>
      <c r="BD3" s="2">
        <f>SUM('BCWS by JOB'!BD6)</f>
        <v>0</v>
      </c>
      <c r="BE3" s="2">
        <f>SUM('BCWS by JOB'!BE6)</f>
        <v>0</v>
      </c>
      <c r="BF3" s="2">
        <f>SUM('BCWS by JOB'!BF6)</f>
        <v>0</v>
      </c>
      <c r="BG3" s="2">
        <f>SUM('BCWS by JOB'!BG6)</f>
        <v>0</v>
      </c>
      <c r="BH3" s="2">
        <f>SUM('BCWS by JOB'!BH6)</f>
        <v>0</v>
      </c>
      <c r="BI3" s="2">
        <f>SUM('BCWS by JOB'!BI6)</f>
        <v>0</v>
      </c>
      <c r="BJ3" s="2">
        <f>SUM('BCWS by JOB'!BJ6)</f>
        <v>0</v>
      </c>
      <c r="BK3" s="2">
        <f>SUM('BCWS by JOB'!BK6)</f>
        <v>0</v>
      </c>
      <c r="BL3" s="2">
        <f>SUM('BCWS by JOB'!BL6)</f>
        <v>0</v>
      </c>
    </row>
    <row r="4" spans="1:64" s="1" customFormat="1" ht="9.75">
      <c r="A4" s="472">
        <f>SUM(C4:D4)</f>
        <v>45120.891</v>
      </c>
      <c r="B4" s="544" t="s">
        <v>488</v>
      </c>
      <c r="C4" s="510">
        <f>SUM('Baseline Reconciliation'!F141)</f>
        <v>20428.331000000006</v>
      </c>
      <c r="D4" s="536">
        <f>SUM('BCWS by JOB'!D33)</f>
        <v>24692.559999999998</v>
      </c>
      <c r="E4" s="473">
        <f>SUM('BCWS by JOB'!E33)</f>
        <v>4016.71</v>
      </c>
      <c r="F4" s="510">
        <f>SUM('BCWS by JOB'!F33)</f>
        <v>196.37</v>
      </c>
      <c r="G4" s="511">
        <f>SUM('BCWS by JOB'!G33)</f>
        <v>494.09000000000003</v>
      </c>
      <c r="H4" s="511">
        <f>SUM('BCWS by JOB'!H33)</f>
        <v>847.87</v>
      </c>
      <c r="I4" s="511">
        <f>SUM('BCWS by JOB'!I33)</f>
        <v>726.2</v>
      </c>
      <c r="J4" s="473">
        <f>SUM('BCWS by JOB'!J33)</f>
        <v>547.5699999999999</v>
      </c>
      <c r="K4" s="510">
        <f>SUM('BCWS by JOB'!K33)</f>
        <v>1204.6100000000001</v>
      </c>
      <c r="L4" s="511">
        <f>SUM('BCWS by JOB'!L33)</f>
        <v>641.5699999999999</v>
      </c>
      <c r="M4" s="511">
        <f>SUM('BCWS by JOB'!M33)</f>
        <v>490.99</v>
      </c>
      <c r="N4" s="511">
        <f>SUM('BCWS by JOB'!N33)</f>
        <v>733.1800000000001</v>
      </c>
      <c r="O4" s="511">
        <f>SUM('BCWS by JOB'!O33)</f>
        <v>615.01</v>
      </c>
      <c r="P4" s="511">
        <f>SUM('BCWS by JOB'!P33)</f>
        <v>599.26</v>
      </c>
      <c r="Q4" s="511">
        <f>SUM('BCWS by JOB'!Q33)</f>
        <v>565.74</v>
      </c>
      <c r="R4" s="511">
        <f>SUM('BCWS by JOB'!R33)</f>
        <v>520.27</v>
      </c>
      <c r="S4" s="511">
        <f>SUM('BCWS by JOB'!S33)</f>
        <v>441.47</v>
      </c>
      <c r="T4" s="511">
        <f>SUM('BCWS by JOB'!T33)</f>
        <v>567.25</v>
      </c>
      <c r="U4" s="511">
        <f>SUM('BCWS by JOB'!U33)</f>
        <v>382.9</v>
      </c>
      <c r="V4" s="511">
        <f>SUM('BCWS by JOB'!V33)</f>
        <v>368.82</v>
      </c>
      <c r="W4" s="2">
        <f>SUM('BCWS by JOB'!W33)</f>
        <v>467.28</v>
      </c>
      <c r="X4" s="2">
        <f>SUM('BCWS by JOB'!X33)</f>
        <v>499.05</v>
      </c>
      <c r="Y4" s="2">
        <f>SUM('BCWS by JOB'!Y33)</f>
        <v>700.13</v>
      </c>
      <c r="Z4" s="2">
        <f>SUM('BCWS by JOB'!Z33)</f>
        <v>870.14</v>
      </c>
      <c r="AA4" s="2">
        <f>SUM('BCWS by JOB'!AA33)</f>
        <v>709.69</v>
      </c>
      <c r="AB4" s="2">
        <f>SUM('BCWS by JOB'!AB33)</f>
        <v>742.23</v>
      </c>
      <c r="AC4" s="2">
        <f>SUM('BCWS by JOB'!AC33)</f>
        <v>653.24</v>
      </c>
      <c r="AD4" s="2">
        <f>SUM('BCWS by JOB'!AD33)</f>
        <v>657.74</v>
      </c>
      <c r="AE4" s="2">
        <f>SUM('BCWS by JOB'!AE33)</f>
        <v>669.4</v>
      </c>
      <c r="AF4" s="2">
        <f>SUM('BCWS by JOB'!AF33)</f>
        <v>589.3199999999999</v>
      </c>
      <c r="AG4" s="2">
        <f>SUM('BCWS by JOB'!AG33)</f>
        <v>545.1700000000001</v>
      </c>
      <c r="AH4" s="2">
        <f>SUM('BCWS by JOB'!AH33)</f>
        <v>610.1700000000001</v>
      </c>
      <c r="AI4" s="2">
        <f>SUM('BCWS by JOB'!AI33)</f>
        <v>830.3199999999999</v>
      </c>
      <c r="AJ4" s="2">
        <f>SUM('BCWS by JOB'!AJ33)</f>
        <v>573.51</v>
      </c>
      <c r="AK4" s="2">
        <f>SUM('BCWS by JOB'!AK33)</f>
        <v>417</v>
      </c>
      <c r="AL4" s="2">
        <f>SUM('BCWS by JOB'!AL33)</f>
        <v>544</v>
      </c>
      <c r="AM4" s="2">
        <f>SUM('BCWS by JOB'!AM33)</f>
        <v>389</v>
      </c>
      <c r="AN4" s="2">
        <f>SUM('BCWS by JOB'!AN33)</f>
        <v>562</v>
      </c>
      <c r="AO4" s="2">
        <f>SUM('BCWS by JOB'!AO33)</f>
        <v>619</v>
      </c>
      <c r="AP4" s="2">
        <f>SUM('BCWS by JOB'!AP33)</f>
        <v>482</v>
      </c>
      <c r="AQ4" s="2">
        <f>SUM('BCWS by JOB'!AQ33)</f>
        <v>428</v>
      </c>
      <c r="AR4" s="2">
        <f>SUM('BCWS by JOB'!AR33)</f>
        <v>358</v>
      </c>
      <c r="AS4" s="2">
        <f>SUM('BCWS by JOB'!AS33)</f>
        <v>375</v>
      </c>
      <c r="AT4" s="2">
        <f>SUM('BCWS by JOB'!AT33)</f>
        <v>324</v>
      </c>
      <c r="AU4" s="2">
        <f>SUM('BCWS by JOB'!AU33)</f>
        <v>410</v>
      </c>
      <c r="AV4" s="2">
        <f>SUM('BCWS by JOB'!AV33)</f>
        <v>375</v>
      </c>
      <c r="AW4" s="2">
        <f>SUM('BCWS by JOB'!AW33)</f>
        <v>318</v>
      </c>
      <c r="AX4" s="2">
        <f>SUM('BCWS by JOB'!AX33)</f>
        <v>31</v>
      </c>
      <c r="AY4" s="2">
        <f>SUM('BCWS by JOB'!AY33)</f>
        <v>0</v>
      </c>
      <c r="AZ4" s="2">
        <f>SUM('BCWS by JOB'!AZ33)</f>
        <v>0</v>
      </c>
      <c r="BA4" s="2">
        <f>SUM('BCWS by JOB'!BA33)</f>
        <v>0</v>
      </c>
      <c r="BB4" s="2">
        <f>SUM('BCWS by JOB'!BB33)</f>
        <v>0</v>
      </c>
      <c r="BC4" s="2">
        <f>SUM('BCWS by JOB'!BC33)</f>
        <v>0</v>
      </c>
      <c r="BD4" s="2">
        <f>SUM('BCWS by JOB'!BD33)</f>
        <v>0</v>
      </c>
      <c r="BE4" s="2">
        <f>SUM('BCWS by JOB'!BE33)</f>
        <v>0</v>
      </c>
      <c r="BF4" s="2">
        <f>SUM('BCWS by JOB'!BF33)</f>
        <v>0</v>
      </c>
      <c r="BG4" s="2">
        <f>SUM('BCWS by JOB'!BG33)</f>
        <v>0</v>
      </c>
      <c r="BH4" s="2">
        <f>SUM('BCWS by JOB'!BH33)</f>
        <v>0</v>
      </c>
      <c r="BI4" s="2">
        <f>SUM('BCWS by JOB'!BI33)</f>
        <v>0</v>
      </c>
      <c r="BJ4" s="2">
        <f>SUM('BCWS by JOB'!BJ33)</f>
        <v>0</v>
      </c>
      <c r="BK4" s="2">
        <f>SUM('BCWS by JOB'!BK33)</f>
        <v>0</v>
      </c>
      <c r="BL4" s="2">
        <f>SUM('BCWS by JOB'!BL33)</f>
        <v>0</v>
      </c>
    </row>
    <row r="5" spans="1:64" s="1" customFormat="1" ht="9.75">
      <c r="A5" s="472">
        <f>SUM(C5:D5)</f>
        <v>58190.353</v>
      </c>
      <c r="B5" s="544" t="s">
        <v>489</v>
      </c>
      <c r="C5" s="510">
        <f>SUM('Baseline Reconciliation'!F142)</f>
        <v>40659.653000000006</v>
      </c>
      <c r="D5" s="536">
        <f>SUM('BCWS by JOB'!D61)</f>
        <v>17530.7</v>
      </c>
      <c r="E5" s="473">
        <f>SUM('BCWS by JOB'!E61)</f>
        <v>3188</v>
      </c>
      <c r="F5" s="517">
        <f>SUM('BCWS by JOB'!F61)</f>
        <v>424</v>
      </c>
      <c r="G5" s="518">
        <f>SUM('BCWS by JOB'!G61)</f>
        <v>618</v>
      </c>
      <c r="H5" s="518">
        <f>SUM('BCWS by JOB'!H61)</f>
        <v>608</v>
      </c>
      <c r="I5" s="518">
        <f>SUM('BCWS by JOB'!I61)</f>
        <v>497</v>
      </c>
      <c r="J5" s="481">
        <f>SUM('BCWS by JOB'!J61)</f>
        <v>433</v>
      </c>
      <c r="K5" s="517">
        <f>SUM('BCWS by JOB'!K61)</f>
        <v>608</v>
      </c>
      <c r="L5" s="518">
        <f>SUM('BCWS by JOB'!L61)</f>
        <v>413.6</v>
      </c>
      <c r="M5" s="518">
        <f>SUM('BCWS by JOB'!M61)</f>
        <v>344.9</v>
      </c>
      <c r="N5" s="518">
        <f>SUM('BCWS by JOB'!N61)</f>
        <v>505.2</v>
      </c>
      <c r="O5" s="518">
        <f>SUM('BCWS by JOB'!O61)</f>
        <v>417.8</v>
      </c>
      <c r="P5" s="518">
        <f>SUM('BCWS by JOB'!P61)</f>
        <v>461.8</v>
      </c>
      <c r="Q5" s="518">
        <f>SUM('BCWS by JOB'!Q61)</f>
        <v>418.7</v>
      </c>
      <c r="R5" s="518">
        <f>SUM('BCWS by JOB'!R61)</f>
        <v>375.5</v>
      </c>
      <c r="S5" s="518">
        <f>SUM('BCWS by JOB'!S61)</f>
        <v>644.8</v>
      </c>
      <c r="T5" s="518">
        <f>SUM('BCWS by JOB'!T61)</f>
        <v>856.7</v>
      </c>
      <c r="U5" s="518">
        <f>SUM('BCWS by JOB'!U61)</f>
        <v>999.1</v>
      </c>
      <c r="V5" s="518">
        <f>SUM('BCWS by JOB'!V61)</f>
        <v>943.7</v>
      </c>
      <c r="W5" s="2">
        <f>SUM('BCWS by JOB'!W61)</f>
        <v>810.4</v>
      </c>
      <c r="X5" s="2">
        <f>SUM('BCWS by JOB'!X61)</f>
        <v>517</v>
      </c>
      <c r="Y5" s="2">
        <f>SUM('BCWS by JOB'!Y61)</f>
        <v>369.6</v>
      </c>
      <c r="Z5" s="2">
        <f>SUM('BCWS by JOB'!Z61)</f>
        <v>442.4</v>
      </c>
      <c r="AA5" s="2">
        <f>SUM('BCWS by JOB'!AA61)</f>
        <v>422.3</v>
      </c>
      <c r="AB5" s="2">
        <f>SUM('BCWS by JOB'!AB61)</f>
        <v>412.7</v>
      </c>
      <c r="AC5" s="2">
        <f>SUM('BCWS by JOB'!AC61)</f>
        <v>404.6</v>
      </c>
      <c r="AD5" s="2">
        <f>SUM('BCWS by JOB'!AD61)</f>
        <v>301.5</v>
      </c>
      <c r="AE5" s="2">
        <f>SUM('BCWS by JOB'!AE61)</f>
        <v>362.7</v>
      </c>
      <c r="AF5" s="2">
        <f>SUM('BCWS by JOB'!AF61)</f>
        <v>283.7</v>
      </c>
      <c r="AG5" s="2">
        <f>SUM('BCWS by JOB'!AG61)</f>
        <v>192</v>
      </c>
      <c r="AH5" s="2">
        <f>SUM('BCWS by JOB'!AH61)</f>
        <v>209</v>
      </c>
      <c r="AI5" s="2">
        <f>SUM('BCWS by JOB'!AI61)</f>
        <v>338</v>
      </c>
      <c r="AJ5" s="2">
        <f>SUM('BCWS by JOB'!AJ61)</f>
        <v>295</v>
      </c>
      <c r="AK5" s="2">
        <f>SUM('BCWS by JOB'!AK61)</f>
        <v>251</v>
      </c>
      <c r="AL5" s="2">
        <f>SUM('BCWS by JOB'!AL61)</f>
        <v>283</v>
      </c>
      <c r="AM5" s="2">
        <f>SUM('BCWS by JOB'!AM61)</f>
        <v>238</v>
      </c>
      <c r="AN5" s="2">
        <f>SUM('BCWS by JOB'!AN61)</f>
        <v>248</v>
      </c>
      <c r="AO5" s="2">
        <f>SUM('BCWS by JOB'!AO61)</f>
        <v>193</v>
      </c>
      <c r="AP5" s="2">
        <f>SUM('BCWS by JOB'!AP61)</f>
        <v>150</v>
      </c>
      <c r="AQ5" s="2">
        <f>SUM('BCWS by JOB'!AQ61)</f>
        <v>165</v>
      </c>
      <c r="AR5" s="2">
        <f>SUM('BCWS by JOB'!AR61)</f>
        <v>158</v>
      </c>
      <c r="AS5" s="2">
        <f>SUM('BCWS by JOB'!AS61)</f>
        <v>165</v>
      </c>
      <c r="AT5" s="2">
        <f>SUM('BCWS by JOB'!AT61)</f>
        <v>158</v>
      </c>
      <c r="AU5" s="2">
        <f>SUM('BCWS by JOB'!AU61)</f>
        <v>157</v>
      </c>
      <c r="AV5" s="2">
        <f>SUM('BCWS by JOB'!AV61)</f>
        <v>150</v>
      </c>
      <c r="AW5" s="2">
        <f>SUM('BCWS by JOB'!AW61)</f>
        <v>127</v>
      </c>
      <c r="AX5" s="2">
        <f>SUM('BCWS by JOB'!AX61)</f>
        <v>153</v>
      </c>
      <c r="AY5" s="2">
        <f>SUM('BCWS by JOB'!AY61)</f>
        <v>4</v>
      </c>
      <c r="AZ5" s="2">
        <f>SUM('BCWS by JOB'!AZ61)</f>
        <v>0</v>
      </c>
      <c r="BA5" s="2">
        <f>SUM('BCWS by JOB'!BA61)</f>
        <v>0</v>
      </c>
      <c r="BB5" s="2">
        <f>SUM('BCWS by JOB'!BB61)</f>
        <v>0</v>
      </c>
      <c r="BC5" s="2">
        <f>SUM('BCWS by JOB'!BC61)</f>
        <v>0</v>
      </c>
      <c r="BD5" s="2">
        <f>SUM('BCWS by JOB'!BD61)</f>
        <v>0</v>
      </c>
      <c r="BE5" s="2">
        <f>SUM('BCWS by JOB'!BE61)</f>
        <v>0</v>
      </c>
      <c r="BF5" s="2">
        <f>SUM('BCWS by JOB'!BF61)</f>
        <v>0</v>
      </c>
      <c r="BG5" s="2">
        <f>SUM('BCWS by JOB'!BG61)</f>
        <v>0</v>
      </c>
      <c r="BH5" s="2">
        <f>SUM('BCWS by JOB'!BH61)</f>
        <v>0</v>
      </c>
      <c r="BI5" s="2">
        <f>SUM('BCWS by JOB'!BI61)</f>
        <v>0</v>
      </c>
      <c r="BJ5" s="2">
        <f>SUM('BCWS by JOB'!BJ61)</f>
        <v>0</v>
      </c>
      <c r="BK5" s="2">
        <f>SUM('BCWS by JOB'!BK61)</f>
        <v>0</v>
      </c>
      <c r="BL5" s="2">
        <f>SUM('BCWS by JOB'!BL61)</f>
        <v>0</v>
      </c>
    </row>
    <row r="6" spans="1:64" s="1" customFormat="1" ht="10.5" thickBot="1">
      <c r="A6" s="474">
        <f>SUM(C6:D6)</f>
        <v>5081.65</v>
      </c>
      <c r="B6" s="545" t="s">
        <v>490</v>
      </c>
      <c r="C6" s="512">
        <f>SUM('Baseline Reconciliation'!F143)</f>
        <v>752.65</v>
      </c>
      <c r="D6" s="538">
        <f>SUM('BCWS by JOB'!D75)</f>
        <v>4329</v>
      </c>
      <c r="E6" s="475">
        <f>SUM('BCWS by JOB'!E75)</f>
        <v>-95</v>
      </c>
      <c r="F6" s="512">
        <f>SUM('BCWS by JOB'!F75)</f>
        <v>-103</v>
      </c>
      <c r="G6" s="513">
        <f>SUM('BCWS by JOB'!G75)</f>
        <v>1</v>
      </c>
      <c r="H6" s="513">
        <f>SUM('BCWS by JOB'!H75)</f>
        <v>1</v>
      </c>
      <c r="I6" s="513">
        <f>SUM('BCWS by JOB'!I75)</f>
        <v>2</v>
      </c>
      <c r="J6" s="475">
        <f>SUM('BCWS by JOB'!J75)</f>
        <v>1</v>
      </c>
      <c r="K6" s="512">
        <f>SUM('BCWS by JOB'!K75)</f>
        <v>3</v>
      </c>
      <c r="L6" s="513">
        <f>SUM('BCWS by JOB'!L75)</f>
        <v>3</v>
      </c>
      <c r="M6" s="513">
        <f>SUM('BCWS by JOB'!M75)</f>
        <v>2</v>
      </c>
      <c r="N6" s="513">
        <f>SUM('BCWS by JOB'!N75)</f>
        <v>3</v>
      </c>
      <c r="O6" s="513">
        <f>SUM('BCWS by JOB'!O75)</f>
        <v>3</v>
      </c>
      <c r="P6" s="513">
        <f>SUM('BCWS by JOB'!P75)</f>
        <v>3</v>
      </c>
      <c r="Q6" s="513">
        <f>SUM('BCWS by JOB'!Q75)</f>
        <v>3</v>
      </c>
      <c r="R6" s="513">
        <f>SUM('BCWS by JOB'!R75)</f>
        <v>3</v>
      </c>
      <c r="S6" s="513">
        <f>SUM('BCWS by JOB'!S75)</f>
        <v>3</v>
      </c>
      <c r="T6" s="513">
        <f>SUM('BCWS by JOB'!T75)</f>
        <v>3</v>
      </c>
      <c r="U6" s="513">
        <f>SUM('BCWS by JOB'!U75)</f>
        <v>3</v>
      </c>
      <c r="V6" s="475">
        <f>SUM('BCWS by JOB'!V75)</f>
        <v>3</v>
      </c>
      <c r="W6" s="539">
        <f>SUM('BCWS by JOB'!W75)</f>
        <v>61</v>
      </c>
      <c r="X6" s="539">
        <f>SUM('BCWS by JOB'!X75)</f>
        <v>77</v>
      </c>
      <c r="Y6" s="539">
        <f>SUM('BCWS by JOB'!Y75)</f>
        <v>94</v>
      </c>
      <c r="Z6" s="539">
        <f>SUM('BCWS by JOB'!Z75)</f>
        <v>114</v>
      </c>
      <c r="AA6" s="539">
        <f>SUM('BCWS by JOB'!AA75)</f>
        <v>82</v>
      </c>
      <c r="AB6" s="539">
        <f>SUM('BCWS by JOB'!AB75)</f>
        <v>106</v>
      </c>
      <c r="AC6" s="539">
        <f>SUM('BCWS by JOB'!AC75)</f>
        <v>104</v>
      </c>
      <c r="AD6" s="539">
        <f>SUM('BCWS by JOB'!AD75)</f>
        <v>96</v>
      </c>
      <c r="AE6" s="539">
        <f>SUM('BCWS by JOB'!AE75)</f>
        <v>120</v>
      </c>
      <c r="AF6" s="539">
        <f>SUM('BCWS by JOB'!AF75)</f>
        <v>173</v>
      </c>
      <c r="AG6" s="539">
        <f>SUM('BCWS by JOB'!AG75)</f>
        <v>263</v>
      </c>
      <c r="AH6" s="539">
        <f>SUM('BCWS by JOB'!AH75)</f>
        <v>187</v>
      </c>
      <c r="AI6" s="539">
        <f>SUM('BCWS by JOB'!AI75)</f>
        <v>242</v>
      </c>
      <c r="AJ6" s="539">
        <f>SUM('BCWS by JOB'!AJ75)</f>
        <v>261</v>
      </c>
      <c r="AK6" s="539">
        <f>SUM('BCWS by JOB'!AK75)</f>
        <v>226</v>
      </c>
      <c r="AL6" s="539">
        <f>SUM('BCWS by JOB'!AL75)</f>
        <v>250</v>
      </c>
      <c r="AM6" s="539">
        <f>SUM('BCWS by JOB'!AM75)</f>
        <v>272</v>
      </c>
      <c r="AN6" s="539">
        <f>SUM('BCWS by JOB'!AN75)</f>
        <v>348</v>
      </c>
      <c r="AO6" s="539">
        <f>SUM('BCWS by JOB'!AO75)</f>
        <v>253</v>
      </c>
      <c r="AP6" s="539">
        <f>SUM('BCWS by JOB'!AP75)</f>
        <v>197</v>
      </c>
      <c r="AQ6" s="539">
        <f>SUM('BCWS by JOB'!AQ75)</f>
        <v>168</v>
      </c>
      <c r="AR6" s="539">
        <f>SUM('BCWS by JOB'!AR75)</f>
        <v>112</v>
      </c>
      <c r="AS6" s="539">
        <f>SUM('BCWS by JOB'!AS75)</f>
        <v>55</v>
      </c>
      <c r="AT6" s="539">
        <f>SUM('BCWS by JOB'!AT75)</f>
        <v>59</v>
      </c>
      <c r="AU6" s="539">
        <f>SUM('BCWS by JOB'!AU75)</f>
        <v>169</v>
      </c>
      <c r="AV6" s="539">
        <f>SUM('BCWS by JOB'!AV75)</f>
        <v>110</v>
      </c>
      <c r="AW6" s="539">
        <f>SUM('BCWS by JOB'!AW75)</f>
        <v>94</v>
      </c>
      <c r="AX6" s="539">
        <f>SUM('BCWS by JOB'!AX75)</f>
        <v>99</v>
      </c>
      <c r="AY6" s="539">
        <f>SUM('BCWS by JOB'!AY75)</f>
        <v>0</v>
      </c>
      <c r="AZ6" s="539">
        <f>SUM('BCWS by JOB'!AZ75)</f>
        <v>0</v>
      </c>
      <c r="BA6" s="2">
        <f>SUM('BCWS by JOB'!BA75)</f>
        <v>0</v>
      </c>
      <c r="BB6" s="2">
        <f>SUM('BCWS by JOB'!BB75)</f>
        <v>0</v>
      </c>
      <c r="BC6" s="2">
        <f>SUM('BCWS by JOB'!BC75)</f>
        <v>0</v>
      </c>
      <c r="BD6" s="2">
        <f>SUM('BCWS by JOB'!BD75)</f>
        <v>0</v>
      </c>
      <c r="BE6" s="2">
        <f>SUM('BCWS by JOB'!BE75)</f>
        <v>0</v>
      </c>
      <c r="BF6" s="2">
        <f>SUM('BCWS by JOB'!BF75)</f>
        <v>0</v>
      </c>
      <c r="BG6" s="2">
        <f>SUM('BCWS by JOB'!BG75)</f>
        <v>0</v>
      </c>
      <c r="BH6" s="2">
        <f>SUM('BCWS by JOB'!BH75)</f>
        <v>0</v>
      </c>
      <c r="BI6" s="2">
        <f>SUM('BCWS by JOB'!BI75)</f>
        <v>0</v>
      </c>
      <c r="BJ6" s="2">
        <f>SUM('BCWS by JOB'!BJ75)</f>
        <v>0</v>
      </c>
      <c r="BK6" s="2">
        <f>SUM('BCWS by JOB'!BK75)</f>
        <v>0</v>
      </c>
      <c r="BL6" s="2">
        <f>SUM('BCWS by JOB'!BL75)</f>
        <v>0</v>
      </c>
    </row>
    <row r="7" spans="2:56" s="1" customFormat="1" ht="13.5" thickBot="1">
      <c r="B7" s="424" t="s">
        <v>668</v>
      </c>
      <c r="C7" s="546">
        <f aca="true" t="shared" si="0" ref="C7:K7">SUM(C3:C6)</f>
        <v>67103.138</v>
      </c>
      <c r="D7" s="548">
        <f t="shared" si="0"/>
        <v>52346.259999999995</v>
      </c>
      <c r="E7" s="549">
        <f t="shared" si="0"/>
        <v>7737.71</v>
      </c>
      <c r="F7" s="546">
        <f t="shared" si="0"/>
        <v>621.37</v>
      </c>
      <c r="G7" s="547">
        <f t="shared" si="0"/>
        <v>1208.0900000000001</v>
      </c>
      <c r="H7" s="547">
        <f t="shared" si="0"/>
        <v>1551.87</v>
      </c>
      <c r="I7" s="547">
        <f t="shared" si="0"/>
        <v>1328.2</v>
      </c>
      <c r="J7" s="550">
        <f t="shared" si="0"/>
        <v>1067.57</v>
      </c>
      <c r="K7" s="796">
        <f t="shared" si="0"/>
        <v>1960.6100000000001</v>
      </c>
      <c r="L7" s="24"/>
      <c r="M7" s="2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56" s="1" customFormat="1" ht="12.75">
      <c r="B8" s="479"/>
      <c r="D8" s="346">
        <f>SUM(C7:D7)</f>
        <v>119449.398</v>
      </c>
      <c r="E8" s="14">
        <f>SUM(F7:Q7)</f>
        <v>7737.709999999999</v>
      </c>
      <c r="G8" s="2"/>
      <c r="H8" s="2"/>
      <c r="I8" s="3"/>
      <c r="J8" s="3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2:56" s="1" customFormat="1" ht="6" customHeight="1" thickBot="1">
      <c r="B9" s="479"/>
      <c r="D9" s="346"/>
      <c r="G9" s="2"/>
      <c r="H9" s="2"/>
      <c r="I9" s="3"/>
      <c r="J9" s="3"/>
      <c r="K9" s="24"/>
      <c r="L9" s="24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3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2:56" s="1" customFormat="1" ht="13.5" thickBot="1">
      <c r="B10" s="479"/>
      <c r="C10" s="1177" t="s">
        <v>487</v>
      </c>
      <c r="D10" s="1173"/>
      <c r="E10" s="531" t="s">
        <v>187</v>
      </c>
      <c r="F10" s="476">
        <f>SUM('BCWS by JOB'!F6)</f>
        <v>104</v>
      </c>
      <c r="G10" s="470">
        <f>SUM('BCWS by JOB'!G6)+F10</f>
        <v>199</v>
      </c>
      <c r="H10" s="470">
        <f>SUM('BCWS by JOB'!H6)+G10</f>
        <v>294</v>
      </c>
      <c r="I10" s="470">
        <f>SUM('BCWS by JOB'!I6)+H10</f>
        <v>397</v>
      </c>
      <c r="J10" s="519">
        <f>SUM('BCWS by JOB'!J6)+I10</f>
        <v>483</v>
      </c>
      <c r="K10" s="953">
        <f>SUM('BCWS by JOB'!K6)+J10</f>
        <v>628</v>
      </c>
      <c r="L10" s="14">
        <f>SUM('BCWS by JOB'!L6)+K10</f>
        <v>755</v>
      </c>
      <c r="M10" s="14">
        <f>SUM('BCWS by JOB'!M6)+L10</f>
        <v>850</v>
      </c>
      <c r="N10" s="14">
        <f>SUM('BCWS by JOB'!N6)+M10</f>
        <v>989</v>
      </c>
      <c r="O10" s="14">
        <f>SUM('BCWS by JOB'!O6)+N10</f>
        <v>1121</v>
      </c>
      <c r="P10" s="14">
        <f>SUM('BCWS by JOB'!P6)+O10</f>
        <v>1253</v>
      </c>
      <c r="Q10" s="14">
        <f>SUM('BCWS by JOB'!Q6)+P10</f>
        <v>1392</v>
      </c>
      <c r="R10" s="14">
        <f>SUM('BCWS by JOB'!R6)+Q10</f>
        <v>1524</v>
      </c>
      <c r="S10" s="14">
        <f>SUM('BCWS by JOB'!S6)+R10</f>
        <v>1656</v>
      </c>
      <c r="T10" s="14">
        <f>SUM('BCWS by JOB'!T6)+S10</f>
        <v>1795</v>
      </c>
      <c r="U10" s="14">
        <f>SUM('BCWS by JOB'!U6)+T10</f>
        <v>1927</v>
      </c>
      <c r="V10" s="14">
        <f>SUM('BCWS by JOB'!V6)+U10</f>
        <v>2058</v>
      </c>
      <c r="W10" s="14">
        <f>SUM('BCWS by JOB'!W6)+V10</f>
        <v>2217</v>
      </c>
      <c r="X10" s="14">
        <f>SUM('BCWS by JOB'!X6)+W10</f>
        <v>2343</v>
      </c>
      <c r="Y10" s="14">
        <f>SUM('BCWS by JOB'!Y6)+X10</f>
        <v>2461</v>
      </c>
      <c r="Z10" s="14">
        <f>SUM('BCWS by JOB'!Z6)+Y10</f>
        <v>2607</v>
      </c>
      <c r="AA10" s="14">
        <f>SUM('BCWS by JOB'!AA6)+Z10</f>
        <v>2746</v>
      </c>
      <c r="AB10" s="14">
        <f>SUM('BCWS by JOB'!AB6)+AA10</f>
        <v>2898</v>
      </c>
      <c r="AC10" s="14">
        <f>SUM('BCWS by JOB'!AC6)+AB10</f>
        <v>3050</v>
      </c>
      <c r="AD10" s="14">
        <f>SUM('BCWS by JOB'!AD6)+AC10</f>
        <v>3189</v>
      </c>
      <c r="AE10" s="14">
        <f>SUM('BCWS by JOB'!AE6)+AD10</f>
        <v>3341</v>
      </c>
      <c r="AF10" s="14">
        <f>SUM('BCWS by JOB'!AF6)+AE10</f>
        <v>3493</v>
      </c>
      <c r="AG10" s="14">
        <f>SUM('BCWS by JOB'!AG6)+AF10</f>
        <v>3639</v>
      </c>
      <c r="AH10" s="14">
        <f>SUM('BCWS by JOB'!AH6)+AG10</f>
        <v>3781</v>
      </c>
      <c r="AI10" s="14">
        <f>SUM('BCWS by JOB'!AI6)+AH10</f>
        <v>3923</v>
      </c>
      <c r="AJ10" s="14">
        <f>SUM('BCWS by JOB'!AJ6)+AI10</f>
        <v>4046</v>
      </c>
      <c r="AK10" s="14">
        <f>SUM('BCWS by JOB'!AK6)+AJ10</f>
        <v>4150</v>
      </c>
      <c r="AL10" s="14">
        <f>SUM('BCWS by JOB'!AL6)+AK10</f>
        <v>4280</v>
      </c>
      <c r="AM10" s="14">
        <f>SUM('BCWS by JOB'!AM6)+AL10</f>
        <v>4410</v>
      </c>
      <c r="AN10" s="14">
        <f>SUM('BCWS by JOB'!AN6)+AM10</f>
        <v>4559</v>
      </c>
      <c r="AO10" s="14">
        <f>SUM('BCWS by JOB'!AO6)+AN10</f>
        <v>4701</v>
      </c>
      <c r="AP10" s="14">
        <f>SUM('BCWS by JOB'!AP6)+AO10</f>
        <v>4831</v>
      </c>
      <c r="AQ10" s="14">
        <f>SUM('BCWS by JOB'!AQ6)+AP10</f>
        <v>4973</v>
      </c>
      <c r="AR10" s="14">
        <f>SUM('BCWS by JOB'!AR6)+AQ10</f>
        <v>5109</v>
      </c>
      <c r="AS10" s="14">
        <f>SUM('BCWS by JOB'!AS6)+AR10</f>
        <v>5251</v>
      </c>
      <c r="AT10" s="14">
        <f>SUM('BCWS by JOB'!AT6)+AS10</f>
        <v>5387</v>
      </c>
      <c r="AU10" s="14">
        <f>SUM('BCWS by JOB'!AU6)+AT10</f>
        <v>5495</v>
      </c>
      <c r="AV10" s="14">
        <f>SUM('BCWS by JOB'!AV6)+AU10</f>
        <v>5598</v>
      </c>
      <c r="AW10" s="14">
        <f>SUM('BCWS by JOB'!AW6)+AV10</f>
        <v>5685</v>
      </c>
      <c r="AX10" s="14">
        <f>SUM('BCWS by JOB'!AX6)+AW10</f>
        <v>5793</v>
      </c>
      <c r="AY10" s="14">
        <f>SUM('BCWS by JOB'!AY6)+AX10</f>
        <v>5794</v>
      </c>
      <c r="AZ10" s="14"/>
      <c r="BA10" s="2" t="s">
        <v>186</v>
      </c>
      <c r="BB10" s="2"/>
      <c r="BC10" s="2"/>
      <c r="BD10" s="2"/>
    </row>
    <row r="11" spans="2:56" s="1" customFormat="1" ht="12.75">
      <c r="B11" s="479"/>
      <c r="D11" s="11"/>
      <c r="E11" s="532" t="s">
        <v>188</v>
      </c>
      <c r="F11" s="527">
        <f>SUM('BCWP by JOB'!D6)</f>
        <v>102</v>
      </c>
      <c r="G11" s="520">
        <f>SUM('BCWP by JOB'!E6)+F11</f>
        <v>199</v>
      </c>
      <c r="H11" s="520">
        <f>SUM('BCWP by JOB'!F6)+G11</f>
        <v>294</v>
      </c>
      <c r="I11" s="520">
        <f>SUM('BCWP by JOB'!G6)+H11</f>
        <v>396.97890671</v>
      </c>
      <c r="J11" s="427">
        <f>SUM('BCWP by JOB'!H6)+I11</f>
        <v>482.56000000000006</v>
      </c>
      <c r="K11" s="950">
        <f>SUM('BCWP by JOB'!I6)+J11</f>
        <v>627.6980000000001</v>
      </c>
      <c r="L11" s="24"/>
      <c r="M11" s="2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2:56" s="1" customFormat="1" ht="12.75">
      <c r="B12" s="479"/>
      <c r="D12" s="11"/>
      <c r="E12" s="532" t="s">
        <v>189</v>
      </c>
      <c r="F12" s="528">
        <f>SUM('ACWP by JOB'!E6)</f>
        <v>111.7184</v>
      </c>
      <c r="G12" s="521">
        <f>SUM('ACWP by JOB'!F6)+F12</f>
        <v>218.64453</v>
      </c>
      <c r="H12" s="521">
        <f>SUM('ACWP by JOB'!G6)+G12</f>
        <v>309.59758886854763</v>
      </c>
      <c r="I12" s="521">
        <f>SUM('ACWP by JOB'!H6)+H12</f>
        <v>416.8915888685476</v>
      </c>
      <c r="J12" s="522">
        <f>SUM('ACWP by JOB'!I6)+I12</f>
        <v>597.4835888685476</v>
      </c>
      <c r="K12" s="950">
        <f>SUM('ACWP by JOB'!J6)+J12</f>
        <v>693.7455888685477</v>
      </c>
      <c r="L12" s="24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2:56" s="1" customFormat="1" ht="12.75">
      <c r="B13" s="479"/>
      <c r="D13" s="11"/>
      <c r="E13" s="532" t="s">
        <v>191</v>
      </c>
      <c r="F13" s="529">
        <f aca="true" t="shared" si="1" ref="F13:K13">+F11/F12</f>
        <v>0.9130098533455545</v>
      </c>
      <c r="G13" s="523">
        <f t="shared" si="1"/>
        <v>0.910153114738338</v>
      </c>
      <c r="H13" s="523">
        <f t="shared" si="1"/>
        <v>0.9496197986374816</v>
      </c>
      <c r="I13" s="523">
        <f t="shared" si="1"/>
        <v>0.9522353468138058</v>
      </c>
      <c r="J13" s="524">
        <f t="shared" si="1"/>
        <v>0.8076539824530111</v>
      </c>
      <c r="K13" s="951">
        <f t="shared" si="1"/>
        <v>0.9047956629515054</v>
      </c>
      <c r="L13" s="24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2:56" s="1" customFormat="1" ht="13.5" thickBot="1">
      <c r="B14" s="479"/>
      <c r="D14" s="11"/>
      <c r="E14" s="533" t="s">
        <v>190</v>
      </c>
      <c r="F14" s="530">
        <f aca="true" t="shared" si="2" ref="F14:K14">+F11/F10</f>
        <v>0.9807692307692307</v>
      </c>
      <c r="G14" s="525">
        <f t="shared" si="2"/>
        <v>1</v>
      </c>
      <c r="H14" s="525">
        <f t="shared" si="2"/>
        <v>1</v>
      </c>
      <c r="I14" s="525">
        <f t="shared" si="2"/>
        <v>0.9999468682871536</v>
      </c>
      <c r="J14" s="526">
        <f t="shared" si="2"/>
        <v>0.999089026915114</v>
      </c>
      <c r="K14" s="952">
        <f t="shared" si="2"/>
        <v>0.9995191082802549</v>
      </c>
      <c r="L14" s="24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2:56" s="1" customFormat="1" ht="4.5" customHeight="1" thickBot="1">
      <c r="B15" s="479"/>
      <c r="D15" s="1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"/>
      <c r="BB15" s="2"/>
      <c r="BC15" s="2"/>
      <c r="BD15" s="2"/>
    </row>
    <row r="16" spans="2:56" s="1" customFormat="1" ht="13.5" thickBot="1">
      <c r="B16" s="479"/>
      <c r="C16" s="1177" t="s">
        <v>488</v>
      </c>
      <c r="D16" s="1172"/>
      <c r="E16" s="531" t="s">
        <v>187</v>
      </c>
      <c r="F16" s="476">
        <f>SUM('BCWS by JOB'!F33)</f>
        <v>196.37</v>
      </c>
      <c r="G16" s="470">
        <f>SUM('BCWS by JOB'!G33)+F16</f>
        <v>690.46</v>
      </c>
      <c r="H16" s="470">
        <f>SUM('BCWS by JOB'!H33)+G16</f>
        <v>1538.33</v>
      </c>
      <c r="I16" s="470">
        <f>SUM('BCWS by JOB'!I33)+H16</f>
        <v>2264.5299999999997</v>
      </c>
      <c r="J16" s="519">
        <f>SUM('BCWS by JOB'!J33)+I16</f>
        <v>2812.0999999999995</v>
      </c>
      <c r="K16" s="953">
        <f>SUM('BCWS by JOB'!K33)+J16</f>
        <v>4016.7099999999996</v>
      </c>
      <c r="L16" s="14">
        <f>SUM('BCWS by JOB'!L33)+K16</f>
        <v>4658.28</v>
      </c>
      <c r="M16" s="14">
        <f>SUM('BCWS by JOB'!M33)+L16</f>
        <v>5149.2699999999995</v>
      </c>
      <c r="N16" s="14">
        <f>SUM('BCWS by JOB'!N33)+M16</f>
        <v>5882.45</v>
      </c>
      <c r="O16" s="14">
        <f>SUM('BCWS by JOB'!O33)+N16</f>
        <v>6497.46</v>
      </c>
      <c r="P16" s="14">
        <f>SUM('BCWS by JOB'!P33)+O16</f>
        <v>7096.72</v>
      </c>
      <c r="Q16" s="14">
        <f>SUM('BCWS by JOB'!Q33)+P16</f>
        <v>7662.46</v>
      </c>
      <c r="R16" s="14">
        <f>SUM('BCWS by JOB'!R33)+Q16</f>
        <v>8182.73</v>
      </c>
      <c r="S16" s="14">
        <f>SUM('BCWS by JOB'!S33)+R16</f>
        <v>8624.199999999999</v>
      </c>
      <c r="T16" s="14">
        <f>SUM('BCWS by JOB'!T33)+S16</f>
        <v>9191.449999999999</v>
      </c>
      <c r="U16" s="14">
        <f>SUM('BCWS by JOB'!U33)+T16</f>
        <v>9574.349999999999</v>
      </c>
      <c r="V16" s="14">
        <f>SUM('BCWS by JOB'!V33)+U16</f>
        <v>9943.169999999998</v>
      </c>
      <c r="W16" s="14">
        <f>SUM('BCWS by JOB'!W33)+V16</f>
        <v>10410.449999999999</v>
      </c>
      <c r="X16" s="14">
        <f>SUM('BCWS by JOB'!X33)+W16</f>
        <v>10909.499999999998</v>
      </c>
      <c r="Y16" s="14">
        <f>SUM('BCWS by JOB'!Y33)+X16</f>
        <v>11609.629999999997</v>
      </c>
      <c r="Z16" s="14">
        <f>SUM('BCWS by JOB'!Z33)+Y16</f>
        <v>12479.769999999997</v>
      </c>
      <c r="AA16" s="14">
        <f>SUM('BCWS by JOB'!AA33)+Z16</f>
        <v>13189.459999999997</v>
      </c>
      <c r="AB16" s="14">
        <f>SUM('BCWS by JOB'!AB33)+AA16</f>
        <v>13931.689999999997</v>
      </c>
      <c r="AC16" s="14">
        <f>SUM('BCWS by JOB'!AC33)+AB16</f>
        <v>14584.929999999997</v>
      </c>
      <c r="AD16" s="14">
        <f>SUM('BCWS by JOB'!AD33)+AC16</f>
        <v>15242.669999999996</v>
      </c>
      <c r="AE16" s="14">
        <f>SUM('BCWS by JOB'!AE33)+AD16</f>
        <v>15912.069999999996</v>
      </c>
      <c r="AF16" s="14">
        <f>SUM('BCWS by JOB'!AF33)+AE16</f>
        <v>16501.389999999996</v>
      </c>
      <c r="AG16" s="14">
        <f>SUM('BCWS by JOB'!AG33)+AF16</f>
        <v>17046.559999999998</v>
      </c>
      <c r="AH16" s="14">
        <f>SUM('BCWS by JOB'!AH33)+AG16</f>
        <v>17656.729999999996</v>
      </c>
      <c r="AI16" s="14">
        <f>SUM('BCWS by JOB'!AI33)+AH16</f>
        <v>18487.049999999996</v>
      </c>
      <c r="AJ16" s="14">
        <f>SUM('BCWS by JOB'!AJ33)+AI16</f>
        <v>19060.559999999994</v>
      </c>
      <c r="AK16" s="14">
        <f>SUM('BCWS by JOB'!AK33)+AJ16</f>
        <v>19477.559999999994</v>
      </c>
      <c r="AL16" s="14">
        <f>SUM('BCWS by JOB'!AL33)+AK16</f>
        <v>20021.559999999994</v>
      </c>
      <c r="AM16" s="14">
        <f>SUM('BCWS by JOB'!AM33)+AL16</f>
        <v>20410.559999999994</v>
      </c>
      <c r="AN16" s="14">
        <f>SUM('BCWS by JOB'!AN33)+AM16</f>
        <v>20972.559999999994</v>
      </c>
      <c r="AO16" s="14">
        <f>SUM('BCWS by JOB'!AO33)+AN16</f>
        <v>21591.559999999994</v>
      </c>
      <c r="AP16" s="14">
        <f>SUM('BCWS by JOB'!AP33)+AO16</f>
        <v>22073.559999999994</v>
      </c>
      <c r="AQ16" s="14">
        <f>SUM('BCWS by JOB'!AQ33)+AP16</f>
        <v>22501.559999999994</v>
      </c>
      <c r="AR16" s="14">
        <f>SUM('BCWS by JOB'!AR33)+AQ16</f>
        <v>22859.559999999994</v>
      </c>
      <c r="AS16" s="14">
        <f>SUM('BCWS by JOB'!AS33)+AR16</f>
        <v>23234.559999999994</v>
      </c>
      <c r="AT16" s="14">
        <f>SUM('BCWS by JOB'!AT33)+AS16</f>
        <v>23558.559999999994</v>
      </c>
      <c r="AU16" s="14">
        <f>SUM('BCWS by JOB'!AU33)+AT16</f>
        <v>23968.559999999994</v>
      </c>
      <c r="AV16" s="14">
        <f>SUM('BCWS by JOB'!AV33)+AU16</f>
        <v>24343.559999999994</v>
      </c>
      <c r="AW16" s="14">
        <f>SUM('BCWS by JOB'!AW33)+AV16</f>
        <v>24661.559999999994</v>
      </c>
      <c r="AX16" s="14">
        <f>SUM('BCWS by JOB'!AX33)+AW16</f>
        <v>24692.559999999994</v>
      </c>
      <c r="AY16" s="14"/>
      <c r="AZ16" s="14"/>
      <c r="BA16" s="2" t="s">
        <v>186</v>
      </c>
      <c r="BB16" s="2"/>
      <c r="BC16" s="2"/>
      <c r="BD16" s="2"/>
    </row>
    <row r="17" spans="2:56" s="1" customFormat="1" ht="12.75">
      <c r="B17" s="479"/>
      <c r="D17" s="11"/>
      <c r="E17" s="532" t="s">
        <v>188</v>
      </c>
      <c r="F17" s="527">
        <f>SUM('BCWP by JOB'!D33)</f>
        <v>122</v>
      </c>
      <c r="G17" s="520">
        <f>SUM('BCWP by JOB'!E33)+F17</f>
        <v>778</v>
      </c>
      <c r="H17" s="520">
        <f>SUM('BCWP by JOB'!F33)+G17</f>
        <v>1447</v>
      </c>
      <c r="I17" s="520">
        <f>SUM('BCWP by JOB'!G33)+H17</f>
        <v>2191.76516807</v>
      </c>
      <c r="J17" s="427">
        <f>SUM('BCWP by JOB'!H33)+I17</f>
        <v>2900.12051166</v>
      </c>
      <c r="K17" s="950">
        <f>SUM('BCWP by JOB'!I33)+J17</f>
        <v>3794.506</v>
      </c>
      <c r="L17" s="24"/>
      <c r="M17" s="2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s="1" customFormat="1" ht="12.75">
      <c r="B18" s="479"/>
      <c r="D18" s="11"/>
      <c r="E18" s="532" t="s">
        <v>189</v>
      </c>
      <c r="F18" s="528">
        <f>SUM('ACWP by JOB'!E33)</f>
        <v>305.79298</v>
      </c>
      <c r="G18" s="521">
        <f>SUM('ACWP by JOB'!F33)+F18</f>
        <v>823.5042599999999</v>
      </c>
      <c r="H18" s="521">
        <f>SUM('ACWP by JOB'!G33)+G18</f>
        <v>1302.9008192343415</v>
      </c>
      <c r="I18" s="521">
        <f>SUM('ACWP by JOB'!H33)+H18</f>
        <v>2004.9938192343416</v>
      </c>
      <c r="J18" s="522">
        <f>SUM('ACWP by JOB'!I33)+I18</f>
        <v>2727.8868192343416</v>
      </c>
      <c r="K18" s="950">
        <f>SUM('ACWP by JOB'!J33)+J18</f>
        <v>3154.771819234342</v>
      </c>
      <c r="L18" s="24"/>
      <c r="M18" s="2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s="1" customFormat="1" ht="12.75">
      <c r="B19" s="479"/>
      <c r="D19" s="11"/>
      <c r="E19" s="532" t="s">
        <v>191</v>
      </c>
      <c r="F19" s="529">
        <f aca="true" t="shared" si="3" ref="F19:K19">+F17/F18</f>
        <v>0.3989627230814782</v>
      </c>
      <c r="G19" s="523">
        <f t="shared" si="3"/>
        <v>0.9447431395193998</v>
      </c>
      <c r="H19" s="523">
        <f t="shared" si="3"/>
        <v>1.110598733716615</v>
      </c>
      <c r="I19" s="523">
        <f t="shared" si="3"/>
        <v>1.093153079597513</v>
      </c>
      <c r="J19" s="524">
        <f t="shared" si="3"/>
        <v>1.0631381372611348</v>
      </c>
      <c r="K19" s="951">
        <f t="shared" si="3"/>
        <v>1.2027830275601106</v>
      </c>
      <c r="L19" s="24"/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s="1" customFormat="1" ht="13.5" thickBot="1">
      <c r="B20" s="479"/>
      <c r="D20" s="11"/>
      <c r="E20" s="533" t="s">
        <v>190</v>
      </c>
      <c r="F20" s="530">
        <f aca="true" t="shared" si="4" ref="F20:K20">+F17/F16</f>
        <v>0.6212761623465906</v>
      </c>
      <c r="G20" s="525">
        <f t="shared" si="4"/>
        <v>1.1267850418561538</v>
      </c>
      <c r="H20" s="525">
        <f t="shared" si="4"/>
        <v>0.9406304239012436</v>
      </c>
      <c r="I20" s="525">
        <f t="shared" si="4"/>
        <v>0.9678675787337772</v>
      </c>
      <c r="J20" s="526">
        <f t="shared" si="4"/>
        <v>1.031300633569219</v>
      </c>
      <c r="K20" s="952">
        <f t="shared" si="4"/>
        <v>0.9446800988869001</v>
      </c>
      <c r="L20" s="24" t="s">
        <v>186</v>
      </c>
      <c r="M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s="1" customFormat="1" ht="6" customHeight="1" thickBot="1">
      <c r="B21" s="479"/>
      <c r="D21" s="1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"/>
      <c r="BB21" s="2"/>
      <c r="BC21" s="2"/>
      <c r="BD21" s="2"/>
    </row>
    <row r="22" spans="2:56" s="1" customFormat="1" ht="13.5" thickBot="1">
      <c r="B22" s="479"/>
      <c r="C22" s="1177" t="s">
        <v>489</v>
      </c>
      <c r="D22" s="1173"/>
      <c r="E22" s="531" t="s">
        <v>187</v>
      </c>
      <c r="F22" s="476">
        <f>SUM('BCWS by JOB'!F61)</f>
        <v>424</v>
      </c>
      <c r="G22" s="470">
        <f>SUM('BCWS by JOB'!G61)+F22</f>
        <v>1042</v>
      </c>
      <c r="H22" s="470">
        <f>SUM('BCWS by JOB'!H61)+G22</f>
        <v>1650</v>
      </c>
      <c r="I22" s="470">
        <f>SUM('BCWS by JOB'!I61)+H22</f>
        <v>2147</v>
      </c>
      <c r="J22" s="519">
        <f>SUM('BCWS by JOB'!J61)+I22</f>
        <v>2580</v>
      </c>
      <c r="K22" s="953">
        <f>SUM('BCWS by JOB'!K61)+J22</f>
        <v>3188</v>
      </c>
      <c r="L22" s="14">
        <f>SUM('BCWS by JOB'!L61)+K22</f>
        <v>3601.6</v>
      </c>
      <c r="M22" s="14">
        <f>SUM('BCWS by JOB'!M61)+L22</f>
        <v>3946.5</v>
      </c>
      <c r="N22" s="14">
        <f>SUM('BCWS by JOB'!N61)+M22</f>
        <v>4451.7</v>
      </c>
      <c r="O22" s="14">
        <f>SUM('BCWS by JOB'!O61)+N22</f>
        <v>4869.5</v>
      </c>
      <c r="P22" s="14">
        <f>SUM('BCWS by JOB'!P61)+O22</f>
        <v>5331.3</v>
      </c>
      <c r="Q22" s="14">
        <f>SUM('BCWS by JOB'!Q61)+P22</f>
        <v>5750</v>
      </c>
      <c r="R22" s="14">
        <f>SUM('BCWS by JOB'!R61)+Q22</f>
        <v>6125.5</v>
      </c>
      <c r="S22" s="14">
        <f>SUM('BCWS by JOB'!S61)+R22</f>
        <v>6770.3</v>
      </c>
      <c r="T22" s="14">
        <f>SUM('BCWS by JOB'!T61)+S22</f>
        <v>7627</v>
      </c>
      <c r="U22" s="14">
        <f>SUM('BCWS by JOB'!U61)+T22</f>
        <v>8626.1</v>
      </c>
      <c r="V22" s="14">
        <f>SUM('BCWS by JOB'!V61)+U22</f>
        <v>9569.800000000001</v>
      </c>
      <c r="W22" s="14">
        <f>SUM('BCWS by JOB'!W61)+V22</f>
        <v>10380.2</v>
      </c>
      <c r="X22" s="14">
        <f>SUM('BCWS by JOB'!X61)+W22</f>
        <v>10897.2</v>
      </c>
      <c r="Y22" s="14">
        <f>SUM('BCWS by JOB'!Y61)+X22</f>
        <v>11266.800000000001</v>
      </c>
      <c r="Z22" s="14">
        <f>SUM('BCWS by JOB'!Z61)+Y22</f>
        <v>11709.2</v>
      </c>
      <c r="AA22" s="14">
        <f>SUM('BCWS by JOB'!AA61)+Z22</f>
        <v>12131.5</v>
      </c>
      <c r="AB22" s="14">
        <f>SUM('BCWS by JOB'!AB61)+AA22</f>
        <v>12544.2</v>
      </c>
      <c r="AC22" s="14">
        <f>SUM('BCWS by JOB'!AC61)+AB22</f>
        <v>12948.800000000001</v>
      </c>
      <c r="AD22" s="14">
        <f>SUM('BCWS by JOB'!AD61)+AC22</f>
        <v>13250.300000000001</v>
      </c>
      <c r="AE22" s="14">
        <f>SUM('BCWS by JOB'!AE61)+AD22</f>
        <v>13613.000000000002</v>
      </c>
      <c r="AF22" s="14">
        <f>SUM('BCWS by JOB'!AF61)+AE22</f>
        <v>13896.700000000003</v>
      </c>
      <c r="AG22" s="14">
        <f>SUM('BCWS by JOB'!AG61)+AF22</f>
        <v>14088.700000000003</v>
      </c>
      <c r="AH22" s="14">
        <f>SUM('BCWS by JOB'!AH61)+AG22</f>
        <v>14297.700000000003</v>
      </c>
      <c r="AI22" s="14">
        <f>SUM('BCWS by JOB'!AI61)+AH22</f>
        <v>14635.700000000003</v>
      </c>
      <c r="AJ22" s="14">
        <f>SUM('BCWS by JOB'!AJ61)+AI22</f>
        <v>14930.700000000003</v>
      </c>
      <c r="AK22" s="14">
        <f>SUM('BCWS by JOB'!AK61)+AJ22</f>
        <v>15181.700000000003</v>
      </c>
      <c r="AL22" s="14">
        <f>SUM('BCWS by JOB'!AL61)+AK22</f>
        <v>15464.700000000003</v>
      </c>
      <c r="AM22" s="14">
        <f>SUM('BCWS by JOB'!AM61)+AL22</f>
        <v>15702.700000000003</v>
      </c>
      <c r="AN22" s="14">
        <f>SUM('BCWS by JOB'!AN61)+AM22</f>
        <v>15950.700000000003</v>
      </c>
      <c r="AO22" s="14">
        <f>SUM('BCWS by JOB'!AO61)+AN22</f>
        <v>16143.700000000003</v>
      </c>
      <c r="AP22" s="14">
        <f>SUM('BCWS by JOB'!AP61)+AO22</f>
        <v>16293.700000000003</v>
      </c>
      <c r="AQ22" s="14">
        <f>SUM('BCWS by JOB'!AQ61)+AP22</f>
        <v>16458.700000000004</v>
      </c>
      <c r="AR22" s="14">
        <f>SUM('BCWS by JOB'!AR61)+AQ22</f>
        <v>16616.700000000004</v>
      </c>
      <c r="AS22" s="14">
        <f>SUM('BCWS by JOB'!AS61)+AR22</f>
        <v>16781.700000000004</v>
      </c>
      <c r="AT22" s="14">
        <f>SUM('BCWS by JOB'!AT61)+AS22</f>
        <v>16939.700000000004</v>
      </c>
      <c r="AU22" s="14">
        <f>SUM('BCWS by JOB'!AU61)+AT22</f>
        <v>17096.700000000004</v>
      </c>
      <c r="AV22" s="14">
        <f>SUM('BCWS by JOB'!AV61)+AU22</f>
        <v>17246.700000000004</v>
      </c>
      <c r="AW22" s="14">
        <f>SUM('BCWS by JOB'!AW61)+AV22</f>
        <v>17373.700000000004</v>
      </c>
      <c r="AX22" s="14">
        <f>SUM('BCWS by JOB'!AX61)+AW22</f>
        <v>17526.700000000004</v>
      </c>
      <c r="AY22" s="14">
        <f>SUM('BCWS by JOB'!AY61)+AX22</f>
        <v>17530.700000000004</v>
      </c>
      <c r="AZ22" s="2" t="s">
        <v>186</v>
      </c>
      <c r="BA22" s="2"/>
      <c r="BB22" s="2"/>
      <c r="BC22" s="2"/>
      <c r="BD22" s="2"/>
    </row>
    <row r="23" spans="2:56" s="1" customFormat="1" ht="12.75">
      <c r="B23" s="479"/>
      <c r="D23" s="11"/>
      <c r="E23" s="532" t="s">
        <v>188</v>
      </c>
      <c r="F23" s="527">
        <f>SUM('BCWP by JOB'!D61)</f>
        <v>300</v>
      </c>
      <c r="G23" s="520">
        <f>SUM('BCWP by JOB'!E61)+F23</f>
        <v>817</v>
      </c>
      <c r="H23" s="520">
        <f>SUM('BCWP by JOB'!F61)+G23</f>
        <v>1546</v>
      </c>
      <c r="I23" s="520">
        <f>SUM('BCWP by JOB'!G61)+H23</f>
        <v>1938.6460918399998</v>
      </c>
      <c r="J23" s="427">
        <f>SUM('BCWP by JOB'!H61)+I23</f>
        <v>2268.7</v>
      </c>
      <c r="K23" s="950">
        <f>SUM('BCWP by JOB'!I61)+J23</f>
        <v>2722.1431</v>
      </c>
      <c r="L23" s="24"/>
      <c r="M23" s="2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2:56" s="1" customFormat="1" ht="12.75">
      <c r="B24" s="479"/>
      <c r="D24" s="11"/>
      <c r="E24" s="532" t="s">
        <v>189</v>
      </c>
      <c r="F24" s="528">
        <f>SUM('ACWP by JOB'!E61)</f>
        <v>317.20299</v>
      </c>
      <c r="G24" s="521">
        <f>SUM('ACWP by JOB'!F61)+F24</f>
        <v>705.0554099999999</v>
      </c>
      <c r="H24" s="521">
        <f>SUM('ACWP by JOB'!G61)+G24</f>
        <v>1005.8606533122736</v>
      </c>
      <c r="I24" s="521">
        <f>SUM('ACWP by JOB'!H61)+H24</f>
        <v>1659.2606533122737</v>
      </c>
      <c r="J24" s="522">
        <f>SUM('ACWP by JOB'!I61)+I24</f>
        <v>2055.8406533122734</v>
      </c>
      <c r="K24" s="950">
        <f>SUM('ACWP by JOB'!J61)+J24</f>
        <v>2404.7426533122734</v>
      </c>
      <c r="L24" s="24"/>
      <c r="M24" s="2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s="1" customFormat="1" ht="12.75">
      <c r="B25" s="479"/>
      <c r="D25" s="11"/>
      <c r="E25" s="532" t="s">
        <v>191</v>
      </c>
      <c r="F25" s="529">
        <f aca="true" t="shared" si="5" ref="F25:K25">+F23/F24</f>
        <v>0.9457666209262403</v>
      </c>
      <c r="G25" s="523">
        <f t="shared" si="5"/>
        <v>1.1587741735078667</v>
      </c>
      <c r="H25" s="523">
        <f t="shared" si="5"/>
        <v>1.536992221446441</v>
      </c>
      <c r="I25" s="523">
        <f t="shared" si="5"/>
        <v>1.168379475503145</v>
      </c>
      <c r="J25" s="524">
        <f t="shared" si="5"/>
        <v>1.1035388352423021</v>
      </c>
      <c r="K25" s="951">
        <f t="shared" si="5"/>
        <v>1.1319893612110807</v>
      </c>
      <c r="L25" s="24"/>
      <c r="M25" s="2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s="1" customFormat="1" ht="13.5" thickBot="1">
      <c r="B26" s="479"/>
      <c r="D26" s="11"/>
      <c r="E26" s="533" t="s">
        <v>190</v>
      </c>
      <c r="F26" s="530">
        <f aca="true" t="shared" si="6" ref="F26:K26">+F23/F22</f>
        <v>0.7075471698113207</v>
      </c>
      <c r="G26" s="525">
        <f t="shared" si="6"/>
        <v>0.7840690978886756</v>
      </c>
      <c r="H26" s="525">
        <f t="shared" si="6"/>
        <v>0.936969696969697</v>
      </c>
      <c r="I26" s="525">
        <f t="shared" si="6"/>
        <v>0.9029557949883558</v>
      </c>
      <c r="J26" s="526">
        <f t="shared" si="6"/>
        <v>0.8793410852713177</v>
      </c>
      <c r="K26" s="952">
        <f t="shared" si="6"/>
        <v>0.8538717377666247</v>
      </c>
      <c r="L26" s="24"/>
      <c r="M26" s="2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s="1" customFormat="1" ht="5.25" customHeight="1" thickBot="1">
      <c r="B27" s="479"/>
      <c r="D27" s="1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"/>
      <c r="BB27" s="2"/>
      <c r="BC27" s="2"/>
      <c r="BD27" s="2"/>
    </row>
    <row r="28" spans="2:56" s="1" customFormat="1" ht="13.5" thickBot="1">
      <c r="B28" s="479"/>
      <c r="C28" s="1177" t="s">
        <v>490</v>
      </c>
      <c r="D28" s="1173"/>
      <c r="E28" s="531" t="s">
        <v>187</v>
      </c>
      <c r="F28" s="476">
        <f>SUM('BCWS by JOB'!F75)</f>
        <v>-103</v>
      </c>
      <c r="G28" s="470">
        <f>SUM('BCWS by JOB'!G75)+F28</f>
        <v>-102</v>
      </c>
      <c r="H28" s="470">
        <f>SUM('BCWS by JOB'!H75)+G28</f>
        <v>-101</v>
      </c>
      <c r="I28" s="470">
        <f>SUM('BCWS by JOB'!I75)+H28</f>
        <v>-99</v>
      </c>
      <c r="J28" s="519">
        <f>SUM('BCWS by JOB'!J75)+I28</f>
        <v>-98</v>
      </c>
      <c r="K28" s="953">
        <f>SUM('BCWS by JOB'!K75)+J28</f>
        <v>-95</v>
      </c>
      <c r="L28" s="14">
        <f>SUM('BCWS by JOB'!L75)+K28</f>
        <v>-92</v>
      </c>
      <c r="M28" s="14">
        <f>SUM('BCWS by JOB'!M75)+L28</f>
        <v>-90</v>
      </c>
      <c r="N28" s="14">
        <f>SUM('BCWS by JOB'!N75)+M28</f>
        <v>-87</v>
      </c>
      <c r="O28" s="14">
        <f>SUM('BCWS by JOB'!O75)+N28</f>
        <v>-84</v>
      </c>
      <c r="P28" s="14">
        <f>SUM('BCWS by JOB'!P75)+O28</f>
        <v>-81</v>
      </c>
      <c r="Q28" s="14">
        <f>SUM('BCWS by JOB'!Q75)+P28</f>
        <v>-78</v>
      </c>
      <c r="R28" s="14">
        <f>SUM('BCWS by JOB'!R75)+Q28</f>
        <v>-75</v>
      </c>
      <c r="S28" s="14">
        <f>SUM('BCWS by JOB'!S75)+R28</f>
        <v>-72</v>
      </c>
      <c r="T28" s="14">
        <f>SUM('BCWS by JOB'!T75)+S28</f>
        <v>-69</v>
      </c>
      <c r="U28" s="14">
        <f>SUM('BCWS by JOB'!U75)+T28</f>
        <v>-66</v>
      </c>
      <c r="V28" s="14">
        <f>SUM('BCWS by JOB'!V75)+U28</f>
        <v>-63</v>
      </c>
      <c r="W28" s="14">
        <f>SUM('BCWS by JOB'!W75)+V28</f>
        <v>-2</v>
      </c>
      <c r="X28" s="14">
        <f>SUM('BCWS by JOB'!X75)+W28</f>
        <v>75</v>
      </c>
      <c r="Y28" s="14">
        <f>SUM('BCWS by JOB'!Y75)+X28</f>
        <v>169</v>
      </c>
      <c r="Z28" s="14">
        <f>SUM('BCWS by JOB'!Z75)+Y28</f>
        <v>283</v>
      </c>
      <c r="AA28" s="14">
        <f>SUM('BCWS by JOB'!AA75)+Z28</f>
        <v>365</v>
      </c>
      <c r="AB28" s="14">
        <f>SUM('BCWS by JOB'!AB75)+AA28</f>
        <v>471</v>
      </c>
      <c r="AC28" s="14">
        <f>SUM('BCWS by JOB'!AC75)+AB28</f>
        <v>575</v>
      </c>
      <c r="AD28" s="14">
        <f>SUM('BCWS by JOB'!AD75)+AC28</f>
        <v>671</v>
      </c>
      <c r="AE28" s="14">
        <f>SUM('BCWS by JOB'!AE75)+AD28</f>
        <v>791</v>
      </c>
      <c r="AF28" s="14">
        <f>SUM('BCWS by JOB'!AF75)+AE28</f>
        <v>964</v>
      </c>
      <c r="AG28" s="14">
        <f>SUM('BCWS by JOB'!AG75)+AF28</f>
        <v>1227</v>
      </c>
      <c r="AH28" s="14">
        <f>SUM('BCWS by JOB'!AH75)+AG28</f>
        <v>1414</v>
      </c>
      <c r="AI28" s="14">
        <f>SUM('BCWS by JOB'!AI75)+AH28</f>
        <v>1656</v>
      </c>
      <c r="AJ28" s="14">
        <f>SUM('BCWS by JOB'!AJ75)+AI28</f>
        <v>1917</v>
      </c>
      <c r="AK28" s="14">
        <f>SUM('BCWS by JOB'!AK75)+AJ28</f>
        <v>2143</v>
      </c>
      <c r="AL28" s="14">
        <f>SUM('BCWS by JOB'!AL75)+AK28</f>
        <v>2393</v>
      </c>
      <c r="AM28" s="14">
        <f>SUM('BCWS by JOB'!AM75)+AL28</f>
        <v>2665</v>
      </c>
      <c r="AN28" s="14">
        <f>SUM('BCWS by JOB'!AN75)+AM28</f>
        <v>3013</v>
      </c>
      <c r="AO28" s="14">
        <f>SUM('BCWS by JOB'!AO75)+AN28</f>
        <v>3266</v>
      </c>
      <c r="AP28" s="14">
        <f>SUM('BCWS by JOB'!AP75)+AO28</f>
        <v>3463</v>
      </c>
      <c r="AQ28" s="14">
        <f>SUM('BCWS by JOB'!AQ75)+AP28</f>
        <v>3631</v>
      </c>
      <c r="AR28" s="14">
        <f>SUM('BCWS by JOB'!AR75)+AQ28</f>
        <v>3743</v>
      </c>
      <c r="AS28" s="14">
        <f>SUM('BCWS by JOB'!AS75)+AR28</f>
        <v>3798</v>
      </c>
      <c r="AT28" s="14">
        <f>SUM('BCWS by JOB'!AT75)+AS28</f>
        <v>3857</v>
      </c>
      <c r="AU28" s="14">
        <f>SUM('BCWS by JOB'!AU75)+AT28</f>
        <v>4026</v>
      </c>
      <c r="AV28" s="14">
        <f>SUM('BCWS by JOB'!AV75)+AU28</f>
        <v>4136</v>
      </c>
      <c r="AW28" s="14">
        <f>SUM('BCWS by JOB'!AW75)+AV28</f>
        <v>4230</v>
      </c>
      <c r="AX28" s="14">
        <f>SUM('BCWS by JOB'!AX75)+AW28</f>
        <v>4329</v>
      </c>
      <c r="AY28" s="14"/>
      <c r="AZ28" s="14"/>
      <c r="BA28" s="2" t="s">
        <v>186</v>
      </c>
      <c r="BB28" s="2"/>
      <c r="BC28" s="2"/>
      <c r="BD28" s="2"/>
    </row>
    <row r="29" spans="2:56" s="1" customFormat="1" ht="12.75">
      <c r="B29" s="480"/>
      <c r="D29" s="11"/>
      <c r="E29" s="532" t="s">
        <v>188</v>
      </c>
      <c r="F29" s="527">
        <f>SUM('BCWP by JOB'!D75)</f>
        <v>-103</v>
      </c>
      <c r="G29" s="520">
        <f>SUM('BCWP by JOB'!E75)+F29</f>
        <v>-102</v>
      </c>
      <c r="H29" s="520">
        <f>SUM('BCWP by JOB'!F75)+G29</f>
        <v>-101</v>
      </c>
      <c r="I29" s="520">
        <f>SUM('BCWP by JOB'!G75)+H29</f>
        <v>-98.37675641999999</v>
      </c>
      <c r="J29" s="427">
        <f>SUM('BCWP by JOB'!H75)+I29</f>
        <v>-97.11999999999999</v>
      </c>
      <c r="K29" s="950">
        <f>SUM('BCWP by JOB'!I75)+J29</f>
        <v>-94.79999999999998</v>
      </c>
      <c r="L29" s="24"/>
      <c r="M29" s="2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56" s="1" customFormat="1" ht="12.75">
      <c r="B30" s="479"/>
      <c r="D30" s="11"/>
      <c r="E30" s="532" t="s">
        <v>189</v>
      </c>
      <c r="F30" s="528">
        <f>SUM('ACWP by JOB'!E75)</f>
        <v>-104.25965</v>
      </c>
      <c r="G30" s="521">
        <f>SUM('ACWP by JOB'!F75)+F30</f>
        <v>-104.25965</v>
      </c>
      <c r="H30" s="521">
        <f>SUM('ACWP by JOB'!G75)+G30</f>
        <v>-104.3014988800466</v>
      </c>
      <c r="I30" s="521">
        <f>SUM('ACWP by JOB'!H75)+H30</f>
        <v>-104.3014988800466</v>
      </c>
      <c r="J30" s="522">
        <f>SUM('ACWP by JOB'!I75)+I30</f>
        <v>-104.6584988800466</v>
      </c>
      <c r="K30" s="950">
        <f>SUM('ACWP by JOB'!J75)+J30</f>
        <v>-104.6584988800466</v>
      </c>
      <c r="L30" s="24"/>
      <c r="M30" s="2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s="1" customFormat="1" ht="12.75">
      <c r="B31" s="479"/>
      <c r="D31" s="11"/>
      <c r="E31" s="532" t="s">
        <v>191</v>
      </c>
      <c r="F31" s="529">
        <f aca="true" t="shared" si="7" ref="F31:K31">+F29/F30</f>
        <v>0.9879181447472729</v>
      </c>
      <c r="G31" s="523">
        <f t="shared" si="7"/>
        <v>0.9783267064487556</v>
      </c>
      <c r="H31" s="523">
        <f t="shared" si="7"/>
        <v>0.9683465825947187</v>
      </c>
      <c r="I31" s="523">
        <f t="shared" si="7"/>
        <v>0.9431959988718817</v>
      </c>
      <c r="J31" s="524">
        <f t="shared" si="7"/>
        <v>0.927970504443344</v>
      </c>
      <c r="K31" s="951">
        <f t="shared" si="7"/>
        <v>0.9058031694937089</v>
      </c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56" s="1" customFormat="1" ht="13.5" thickBot="1">
      <c r="B32" s="479"/>
      <c r="D32" s="11"/>
      <c r="E32" s="533" t="s">
        <v>190</v>
      </c>
      <c r="F32" s="530">
        <f aca="true" t="shared" si="8" ref="F32:K32">+F29/F28</f>
        <v>1</v>
      </c>
      <c r="G32" s="525">
        <f t="shared" si="8"/>
        <v>1</v>
      </c>
      <c r="H32" s="525">
        <f t="shared" si="8"/>
        <v>1</v>
      </c>
      <c r="I32" s="525">
        <f t="shared" si="8"/>
        <v>0.9937046103030303</v>
      </c>
      <c r="J32" s="526">
        <f t="shared" si="8"/>
        <v>0.9910204081632652</v>
      </c>
      <c r="K32" s="952">
        <f t="shared" si="8"/>
        <v>0.9978947368421051</v>
      </c>
      <c r="L32" s="24"/>
      <c r="M32" s="2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s="1" customFormat="1" ht="6" customHeight="1" thickBot="1">
      <c r="B33" s="479"/>
      <c r="D33" s="11"/>
      <c r="F33" s="12"/>
      <c r="G33" s="2"/>
      <c r="H33" s="2"/>
      <c r="I33" s="3"/>
      <c r="J33" s="3"/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s="1" customFormat="1" ht="13.5" thickBot="1">
      <c r="B34" s="479"/>
      <c r="C34" s="1177" t="s">
        <v>536</v>
      </c>
      <c r="D34" s="1172"/>
      <c r="E34" s="531" t="s">
        <v>187</v>
      </c>
      <c r="F34" s="535">
        <f aca="true" t="shared" si="9" ref="F34:AZ34">SUM(F28,F22,F16,F10)</f>
        <v>621.37</v>
      </c>
      <c r="G34" s="534">
        <f t="shared" si="9"/>
        <v>1829.46</v>
      </c>
      <c r="H34" s="534">
        <f t="shared" si="9"/>
        <v>3381.33</v>
      </c>
      <c r="I34" s="534">
        <f t="shared" si="9"/>
        <v>4709.53</v>
      </c>
      <c r="J34" s="457">
        <f t="shared" si="9"/>
        <v>5777.099999999999</v>
      </c>
      <c r="K34" s="949">
        <f t="shared" si="9"/>
        <v>7737.709999999999</v>
      </c>
      <c r="L34" s="12">
        <f t="shared" si="9"/>
        <v>8922.88</v>
      </c>
      <c r="M34" s="12">
        <f t="shared" si="9"/>
        <v>9855.77</v>
      </c>
      <c r="N34" s="12">
        <f t="shared" si="9"/>
        <v>11236.15</v>
      </c>
      <c r="O34" s="12">
        <f t="shared" si="9"/>
        <v>12403.96</v>
      </c>
      <c r="P34" s="12">
        <f t="shared" si="9"/>
        <v>13600.02</v>
      </c>
      <c r="Q34" s="12">
        <f t="shared" si="9"/>
        <v>14726.46</v>
      </c>
      <c r="R34" s="12">
        <f t="shared" si="9"/>
        <v>15757.23</v>
      </c>
      <c r="S34" s="12">
        <f t="shared" si="9"/>
        <v>16978.5</v>
      </c>
      <c r="T34" s="12">
        <f t="shared" si="9"/>
        <v>18544.449999999997</v>
      </c>
      <c r="U34" s="12">
        <f t="shared" si="9"/>
        <v>20061.449999999997</v>
      </c>
      <c r="V34" s="12">
        <f t="shared" si="9"/>
        <v>21507.97</v>
      </c>
      <c r="W34" s="12">
        <f t="shared" si="9"/>
        <v>23005.65</v>
      </c>
      <c r="X34" s="12">
        <f t="shared" si="9"/>
        <v>24224.699999999997</v>
      </c>
      <c r="Y34" s="240">
        <f t="shared" si="9"/>
        <v>25506.43</v>
      </c>
      <c r="Z34" s="240">
        <f t="shared" si="9"/>
        <v>27078.969999999998</v>
      </c>
      <c r="AA34" s="240">
        <f t="shared" si="9"/>
        <v>28431.96</v>
      </c>
      <c r="AB34" s="240">
        <f t="shared" si="9"/>
        <v>29844.89</v>
      </c>
      <c r="AC34" s="240">
        <f t="shared" si="9"/>
        <v>31158.729999999996</v>
      </c>
      <c r="AD34" s="240">
        <f t="shared" si="9"/>
        <v>32352.969999999998</v>
      </c>
      <c r="AE34" s="240">
        <f t="shared" si="9"/>
        <v>33657.07</v>
      </c>
      <c r="AF34" s="240">
        <f t="shared" si="9"/>
        <v>34855.09</v>
      </c>
      <c r="AG34" s="240">
        <f t="shared" si="9"/>
        <v>36001.26</v>
      </c>
      <c r="AH34" s="240">
        <f t="shared" si="9"/>
        <v>37149.43</v>
      </c>
      <c r="AI34" s="240">
        <f t="shared" si="9"/>
        <v>38701.75</v>
      </c>
      <c r="AJ34" s="240">
        <f t="shared" si="9"/>
        <v>39954.259999999995</v>
      </c>
      <c r="AK34" s="240">
        <f t="shared" si="9"/>
        <v>40952.259999999995</v>
      </c>
      <c r="AL34" s="240">
        <f t="shared" si="9"/>
        <v>42159.259999999995</v>
      </c>
      <c r="AM34" s="240">
        <f t="shared" si="9"/>
        <v>43188.259999999995</v>
      </c>
      <c r="AN34" s="240">
        <f t="shared" si="9"/>
        <v>44495.259999999995</v>
      </c>
      <c r="AO34" s="240">
        <f t="shared" si="9"/>
        <v>45702.259999999995</v>
      </c>
      <c r="AP34" s="240">
        <f t="shared" si="9"/>
        <v>46661.259999999995</v>
      </c>
      <c r="AQ34" s="240">
        <f t="shared" si="9"/>
        <v>47564.259999999995</v>
      </c>
      <c r="AR34" s="240">
        <f t="shared" si="9"/>
        <v>48328.259999999995</v>
      </c>
      <c r="AS34" s="240">
        <f t="shared" si="9"/>
        <v>49065.259999999995</v>
      </c>
      <c r="AT34" s="240">
        <f t="shared" si="9"/>
        <v>49742.259999999995</v>
      </c>
      <c r="AU34" s="240">
        <f t="shared" si="9"/>
        <v>50586.259999999995</v>
      </c>
      <c r="AV34" s="240">
        <f t="shared" si="9"/>
        <v>51324.259999999995</v>
      </c>
      <c r="AW34" s="240">
        <f t="shared" si="9"/>
        <v>51950.259999999995</v>
      </c>
      <c r="AX34" s="240">
        <f t="shared" si="9"/>
        <v>52341.259999999995</v>
      </c>
      <c r="AY34" s="240">
        <f t="shared" si="9"/>
        <v>23324.700000000004</v>
      </c>
      <c r="AZ34" s="240">
        <f t="shared" si="9"/>
        <v>0</v>
      </c>
      <c r="BA34" s="2"/>
      <c r="BB34" s="2"/>
      <c r="BC34" s="2"/>
      <c r="BD34" s="2"/>
    </row>
    <row r="35" spans="2:56" s="1" customFormat="1" ht="12.75">
      <c r="B35" s="480"/>
      <c r="D35" s="11"/>
      <c r="E35" s="532" t="s">
        <v>188</v>
      </c>
      <c r="F35" s="527">
        <f aca="true" t="shared" si="10" ref="F35:J36">SUM(F29,F23,F17,F11)</f>
        <v>421</v>
      </c>
      <c r="G35" s="520">
        <f t="shared" si="10"/>
        <v>1692</v>
      </c>
      <c r="H35" s="520">
        <f t="shared" si="10"/>
        <v>3186</v>
      </c>
      <c r="I35" s="520">
        <f t="shared" si="10"/>
        <v>4429.0134102</v>
      </c>
      <c r="J35" s="427">
        <f t="shared" si="10"/>
        <v>5554.26051166</v>
      </c>
      <c r="K35" s="950">
        <f>SUM(K29,K23,K17,K11)</f>
        <v>7049.5471</v>
      </c>
      <c r="L35" s="24"/>
      <c r="M35" s="2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s="1" customFormat="1" ht="12.75">
      <c r="B36" s="479"/>
      <c r="D36" s="11"/>
      <c r="E36" s="532" t="s">
        <v>189</v>
      </c>
      <c r="F36" s="527">
        <f t="shared" si="10"/>
        <v>630.45472</v>
      </c>
      <c r="G36" s="520">
        <f t="shared" si="10"/>
        <v>1642.94455</v>
      </c>
      <c r="H36" s="520">
        <f t="shared" si="10"/>
        <v>2514.057562535116</v>
      </c>
      <c r="I36" s="520">
        <f t="shared" si="10"/>
        <v>3976.844562535116</v>
      </c>
      <c r="J36" s="427">
        <f t="shared" si="10"/>
        <v>5276.552562535116</v>
      </c>
      <c r="K36" s="950">
        <f>SUM(K30,K24,K18,K12)</f>
        <v>6148.601562535116</v>
      </c>
      <c r="L36" s="24"/>
      <c r="M36" s="2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s="1" customFormat="1" ht="12.75">
      <c r="B37" s="479"/>
      <c r="D37" s="11"/>
      <c r="E37" s="532" t="s">
        <v>191</v>
      </c>
      <c r="F37" s="529">
        <f aca="true" t="shared" si="11" ref="F37:K37">+F35/F36</f>
        <v>0.6677719852743748</v>
      </c>
      <c r="G37" s="523">
        <f t="shared" si="11"/>
        <v>1.0298582505416876</v>
      </c>
      <c r="H37" s="523">
        <f t="shared" si="11"/>
        <v>1.2672740861141274</v>
      </c>
      <c r="I37" s="523">
        <f t="shared" si="11"/>
        <v>1.1137004075856163</v>
      </c>
      <c r="J37" s="524">
        <f t="shared" si="11"/>
        <v>1.0526305662330897</v>
      </c>
      <c r="K37" s="951">
        <f t="shared" si="11"/>
        <v>1.1465285282029916</v>
      </c>
      <c r="L37" s="24"/>
      <c r="M37" s="2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s="1" customFormat="1" ht="13.5" thickBot="1">
      <c r="B38" s="479"/>
      <c r="D38" s="11"/>
      <c r="E38" s="533" t="s">
        <v>190</v>
      </c>
      <c r="F38" s="530">
        <f aca="true" t="shared" si="12" ref="F38:K38">+F35/F34</f>
        <v>0.6775351240001931</v>
      </c>
      <c r="G38" s="525">
        <f t="shared" si="12"/>
        <v>0.9248630743498081</v>
      </c>
      <c r="H38" s="525">
        <f t="shared" si="12"/>
        <v>0.9422327900559839</v>
      </c>
      <c r="I38" s="525">
        <f t="shared" si="12"/>
        <v>0.9404363939076724</v>
      </c>
      <c r="J38" s="526">
        <f t="shared" si="12"/>
        <v>0.9614271021204411</v>
      </c>
      <c r="K38" s="952">
        <f t="shared" si="12"/>
        <v>0.9110637514199939</v>
      </c>
      <c r="L38" s="24"/>
      <c r="M38" s="2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s="1" customFormat="1" ht="6" customHeight="1" thickBot="1">
      <c r="B39" s="479"/>
      <c r="D39" s="11"/>
      <c r="F39" s="2"/>
      <c r="G39" s="2"/>
      <c r="H39" s="2"/>
      <c r="I39" s="2"/>
      <c r="J39" s="3"/>
      <c r="K39" s="24"/>
      <c r="L39" s="24"/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s="1" customFormat="1" ht="12.75">
      <c r="B40" s="479"/>
      <c r="C40" s="1169" t="s">
        <v>579</v>
      </c>
      <c r="D40" s="1170"/>
      <c r="E40" s="531" t="s">
        <v>187</v>
      </c>
      <c r="F40" s="476">
        <f>SUM('BCWS by JOB'!F43:F45)</f>
        <v>219</v>
      </c>
      <c r="G40" s="470">
        <f>SUM('BCWS by JOB'!G43:G45)+F40</f>
        <v>518</v>
      </c>
      <c r="H40" s="470">
        <f>SUM('BCWS by JOB'!H43:H45)+G40</f>
        <v>827</v>
      </c>
      <c r="I40" s="470">
        <f>SUM('BCWS by JOB'!I43:I45)+H40</f>
        <v>1070</v>
      </c>
      <c r="J40" s="519">
        <f>SUM('BCWS by JOB'!J43:J45)+I40</f>
        <v>1184</v>
      </c>
      <c r="K40" s="953">
        <f>SUM('BCWS by JOB'!K43:K45)+J40</f>
        <v>1418</v>
      </c>
      <c r="L40" s="14">
        <f>SUM('BCWS by JOB'!L43:L45)+K40</f>
        <v>1500</v>
      </c>
      <c r="M40" s="14">
        <f>SUM('BCWS by JOB'!M43:M45)+L40</f>
        <v>1538</v>
      </c>
      <c r="N40" s="14">
        <f>SUM('BCWS by JOB'!N43:N45)+M40</f>
        <v>1580</v>
      </c>
      <c r="O40" s="14">
        <f>SUM('BCWS by JOB'!O43:O45)+N40</f>
        <v>1606</v>
      </c>
      <c r="P40" s="14">
        <f>SUM('BCWS by JOB'!P43:P45)+O40</f>
        <v>1606</v>
      </c>
      <c r="Q40" s="14">
        <f>SUM('BCWS by JOB'!Q43:Q45)+P40</f>
        <v>1606</v>
      </c>
      <c r="R40" s="14">
        <f>SUM('BCWS by JOB'!R43:R45)+Q40</f>
        <v>1606</v>
      </c>
      <c r="S40" s="14">
        <f>SUM('BCWS by JOB'!S43:S45)+R40</f>
        <v>1606</v>
      </c>
      <c r="T40" s="14">
        <f>SUM('BCWS by JOB'!T43:T45)+S40</f>
        <v>1606</v>
      </c>
      <c r="U40" s="14">
        <f>SUM('BCWS by JOB'!U43:U45)+T40</f>
        <v>1606</v>
      </c>
      <c r="V40" s="14">
        <f>SUM('BCWS by JOB'!V43:V45)+U40</f>
        <v>1606</v>
      </c>
      <c r="W40" s="14">
        <f>SUM('BCWS by JOB'!W43:W45)+V40</f>
        <v>1606</v>
      </c>
      <c r="X40" s="14">
        <f>SUM('BCWS by JOB'!X43:X45)+W40</f>
        <v>1606</v>
      </c>
      <c r="Y40" s="14">
        <f>SUM('BCWS by JOB'!Y43:Y45)+X40</f>
        <v>1606</v>
      </c>
      <c r="Z40" s="14">
        <f>SUM('BCWS by JOB'!Z43:Z45)+Y40</f>
        <v>1606</v>
      </c>
      <c r="AA40" s="14">
        <f>SUM('BCWS by JOB'!AA43:AA45)+Z40</f>
        <v>1606</v>
      </c>
      <c r="AB40" s="14">
        <f>SUM('BCWS by JOB'!AB43:AB45)+AA40</f>
        <v>1606</v>
      </c>
      <c r="AC40" s="14">
        <f>SUM('BCWS by JOB'!AC43:AC45)+AB40</f>
        <v>1606</v>
      </c>
      <c r="AD40" s="14">
        <f>SUM('BCWS by JOB'!AD43:AD45)+AC40</f>
        <v>1606</v>
      </c>
      <c r="AE40" s="14">
        <f>SUM('BCWS by JOB'!AE43:AE45)+AD40</f>
        <v>1606</v>
      </c>
      <c r="AF40" s="14">
        <f>SUM('BCWS by JOB'!AF43:AF45)+AE40</f>
        <v>1606</v>
      </c>
      <c r="AG40" s="14">
        <f>SUM('BCWS by JOB'!AG43:AG45)+AF40</f>
        <v>1606</v>
      </c>
      <c r="AH40" s="14">
        <f>SUM('BCWS by JOB'!AH43:AH45)+AG40</f>
        <v>1606</v>
      </c>
      <c r="AI40" s="14">
        <f>SUM('BCWS by JOB'!AI43:AI45)+AH40</f>
        <v>1606</v>
      </c>
      <c r="AJ40" s="14">
        <f>SUM('BCWS by JOB'!AJ43:AJ45)+AI40</f>
        <v>1606</v>
      </c>
      <c r="AK40" s="14">
        <f>SUM('BCWS by JOB'!AK43:AK45)+AJ40</f>
        <v>1606</v>
      </c>
      <c r="AL40" s="14">
        <f>SUM('BCWS by JOB'!AL43:AL45)+AK40</f>
        <v>1606</v>
      </c>
      <c r="AM40" s="14">
        <f>SUM('BCWS by JOB'!AM43:AM45)+AL40</f>
        <v>1606</v>
      </c>
      <c r="AN40" s="14">
        <f>SUM('BCWS by JOB'!AN43:AN45)+AM40</f>
        <v>1606</v>
      </c>
      <c r="AO40" s="14">
        <f>SUM('BCWS by JOB'!AO43:AO45)+AN40</f>
        <v>1606</v>
      </c>
      <c r="AP40" s="14">
        <f>SUM('BCWS by JOB'!AP43:AP45)+AO40</f>
        <v>1606</v>
      </c>
      <c r="AQ40" s="14">
        <f>SUM('BCWS by JOB'!AQ43:AQ45)+AP40</f>
        <v>1606</v>
      </c>
      <c r="AR40" s="14">
        <f>SUM('BCWS by JOB'!AR43:AR45)+AQ40</f>
        <v>1606</v>
      </c>
      <c r="AS40" s="14">
        <f>SUM('BCWS by JOB'!AS43:AS45)+AR40</f>
        <v>1606</v>
      </c>
      <c r="AT40" s="14">
        <f>SUM('BCWS by JOB'!AT43:AT45)+AS40</f>
        <v>1606</v>
      </c>
      <c r="AU40" s="14">
        <f>SUM('BCWS by JOB'!AU43:AU45)+AT40</f>
        <v>1606</v>
      </c>
      <c r="AV40" s="14">
        <f>SUM('BCWS by JOB'!AV43:AV45)+AU40</f>
        <v>1606</v>
      </c>
      <c r="AW40" s="14">
        <f>SUM('BCWS by JOB'!AW43:AW45)+AV40</f>
        <v>1606</v>
      </c>
      <c r="AX40" s="14">
        <f>SUM('BCWS by JOB'!AX43:AX45)+AW40</f>
        <v>1606</v>
      </c>
      <c r="AY40" s="14">
        <f>SUM('BCWS by JOB'!AY43:AY45)+AX40</f>
        <v>1606</v>
      </c>
      <c r="AZ40" s="14">
        <f>SUM('BCWS by JOB'!AZ43:AZ45)+AY40</f>
        <v>1606</v>
      </c>
      <c r="BA40" s="2"/>
      <c r="BB40" s="2"/>
      <c r="BC40" s="2"/>
      <c r="BD40" s="2"/>
    </row>
    <row r="41" spans="2:56" s="1" customFormat="1" ht="13.5" thickBot="1">
      <c r="B41" s="479"/>
      <c r="C41" s="1167" t="s">
        <v>580</v>
      </c>
      <c r="D41" s="1168"/>
      <c r="E41" s="532" t="s">
        <v>188</v>
      </c>
      <c r="F41" s="554">
        <f>SUM('BCWP by JOB'!D43:D45)</f>
        <v>96</v>
      </c>
      <c r="G41" s="511">
        <f>SUM('BCWP by JOB'!E43:E45)+F41</f>
        <v>292</v>
      </c>
      <c r="H41" s="511">
        <f>SUM('BCWP by JOB'!F43:F45)+G41</f>
        <v>797</v>
      </c>
      <c r="I41" s="511">
        <f>SUM('BCWP by JOB'!G43:G45)+H41</f>
        <v>897.5716322099998</v>
      </c>
      <c r="J41" s="473">
        <f>SUM('BCWP by JOB'!H43:H45)+I41</f>
        <v>918.4999999999999</v>
      </c>
      <c r="K41" s="954">
        <f>SUM('BCWP by JOB'!I43:I45)+J41</f>
        <v>1122.391</v>
      </c>
      <c r="L41" s="24"/>
      <c r="M41" s="2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s="1" customFormat="1" ht="12.75">
      <c r="B42" s="479"/>
      <c r="D42" s="11"/>
      <c r="E42" s="532" t="s">
        <v>189</v>
      </c>
      <c r="F42" s="528">
        <f>SUM('ACWP by JOB'!E43:E45)</f>
        <v>123.94133000000001</v>
      </c>
      <c r="G42" s="552">
        <f>SUM('ACWP by JOB'!F43:F45)+F42</f>
        <v>257.93505</v>
      </c>
      <c r="H42" s="552">
        <f>SUM('ACWP by JOB'!G43:G45)+G42</f>
        <v>406.7498033851951</v>
      </c>
      <c r="I42" s="552">
        <f>SUM('ACWP by JOB'!H43:H45)+H42</f>
        <v>700.8288033851951</v>
      </c>
      <c r="J42" s="553">
        <f>SUM('ACWP by JOB'!I43:I45)+I42</f>
        <v>828.5818033851951</v>
      </c>
      <c r="K42" s="954">
        <f>SUM('ACWP by JOB'!J43:J45)+J42</f>
        <v>943.1298033851951</v>
      </c>
      <c r="L42" s="24"/>
      <c r="M42" s="2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s="1" customFormat="1" ht="12.75">
      <c r="B43" s="479"/>
      <c r="D43" s="11"/>
      <c r="E43" s="532" t="s">
        <v>191</v>
      </c>
      <c r="F43" s="529">
        <f aca="true" t="shared" si="13" ref="F43:K43">+F41/F42</f>
        <v>0.7745600277163396</v>
      </c>
      <c r="G43" s="523">
        <f t="shared" si="13"/>
        <v>1.1320679372578484</v>
      </c>
      <c r="H43" s="523">
        <f t="shared" si="13"/>
        <v>1.9594354892539065</v>
      </c>
      <c r="I43" s="523">
        <f t="shared" si="13"/>
        <v>1.2807287997788945</v>
      </c>
      <c r="J43" s="524">
        <f t="shared" si="13"/>
        <v>1.1085206026097139</v>
      </c>
      <c r="K43" s="951">
        <f t="shared" si="13"/>
        <v>1.1900705459326797</v>
      </c>
      <c r="L43" s="24"/>
      <c r="M43" s="2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s="1" customFormat="1" ht="13.5" thickBot="1">
      <c r="B44" s="479"/>
      <c r="D44" s="11"/>
      <c r="E44" s="533" t="s">
        <v>190</v>
      </c>
      <c r="F44" s="530">
        <f aca="true" t="shared" si="14" ref="F44:K44">+F41/F40</f>
        <v>0.4383561643835616</v>
      </c>
      <c r="G44" s="525">
        <f t="shared" si="14"/>
        <v>0.5637065637065637</v>
      </c>
      <c r="H44" s="525">
        <f t="shared" si="14"/>
        <v>0.9637243047158404</v>
      </c>
      <c r="I44" s="525">
        <f t="shared" si="14"/>
        <v>0.8388519927196261</v>
      </c>
      <c r="J44" s="526">
        <f t="shared" si="14"/>
        <v>0.7757601351351351</v>
      </c>
      <c r="K44" s="952">
        <f t="shared" si="14"/>
        <v>0.791531029619182</v>
      </c>
      <c r="L44" s="24"/>
      <c r="M44" s="2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2:56" s="1" customFormat="1" ht="5.25" customHeight="1" thickBot="1">
      <c r="B45" s="479"/>
      <c r="D45" s="11"/>
      <c r="F45" s="2"/>
      <c r="G45" s="2"/>
      <c r="H45" s="2"/>
      <c r="I45" s="2"/>
      <c r="J45" s="3"/>
      <c r="K45" s="24"/>
      <c r="L45" s="24"/>
      <c r="M45" s="2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:56" s="1" customFormat="1" ht="12.75">
      <c r="B46" s="479"/>
      <c r="C46" s="1169" t="s">
        <v>581</v>
      </c>
      <c r="D46" s="1170"/>
      <c r="E46" s="531" t="s">
        <v>187</v>
      </c>
      <c r="F46" s="476">
        <f>SUM('BCWS by JOB'!F14,'BCWS by JOB'!F16:F17)</f>
        <v>254.37</v>
      </c>
      <c r="G46" s="470">
        <f>SUM('BCWS by JOB'!G14,'BCWS by JOB'!G16:G17)+F46</f>
        <v>497.46000000000004</v>
      </c>
      <c r="H46" s="470">
        <f>SUM('BCWS by JOB'!H14,'BCWS by JOB'!H16:H17)+G46</f>
        <v>838.33</v>
      </c>
      <c r="I46" s="470">
        <f>SUM('BCWS by JOB'!I14,'BCWS by JOB'!I16:I17)+H46</f>
        <v>1170.53</v>
      </c>
      <c r="J46" s="519">
        <f>SUM('BCWS by JOB'!J14,'BCWS by JOB'!J16:J17)+I46</f>
        <v>1417.1</v>
      </c>
      <c r="K46" s="953">
        <f>SUM('BCWS by JOB'!K14,'BCWS by JOB'!K16:K17)+J46</f>
        <v>1754.71</v>
      </c>
      <c r="L46" s="14">
        <f>SUM('BCWS by JOB'!L14,'BCWS by JOB'!L16:L17)+K46</f>
        <v>1998.28</v>
      </c>
      <c r="M46" s="14">
        <f>SUM('BCWS by JOB'!M14,'BCWS by JOB'!M16:M17)+L46</f>
        <v>2223.27</v>
      </c>
      <c r="N46" s="14">
        <f>SUM('BCWS by JOB'!N14,'BCWS by JOB'!N16:N17)+M46</f>
        <v>2531.45</v>
      </c>
      <c r="O46" s="14">
        <f>SUM('BCWS by JOB'!O14,'BCWS by JOB'!O16:O17)+N46</f>
        <v>2783.46</v>
      </c>
      <c r="P46" s="14">
        <f>SUM('BCWS by JOB'!P14,'BCWS by JOB'!P16:P17)+O46</f>
        <v>3079.7200000000003</v>
      </c>
      <c r="Q46" s="14">
        <f>SUM('BCWS by JOB'!Q14,'BCWS by JOB'!Q16:Q17)+P46</f>
        <v>3346.46</v>
      </c>
      <c r="R46" s="14">
        <f>SUM('BCWS by JOB'!R14,'BCWS by JOB'!R16:R17)+Q46</f>
        <v>3596.73</v>
      </c>
      <c r="S46" s="14">
        <f>SUM('BCWS by JOB'!S14,'BCWS by JOB'!S16:S17)+R46</f>
        <v>3831.2</v>
      </c>
      <c r="T46" s="14">
        <f>SUM('BCWS by JOB'!T14,'BCWS by JOB'!T16:T17)+S46</f>
        <v>4258.45</v>
      </c>
      <c r="U46" s="14">
        <f>SUM('BCWS by JOB'!U14,'BCWS by JOB'!U16:U17)+T46</f>
        <v>4570.349999999999</v>
      </c>
      <c r="V46" s="14">
        <f>SUM('BCWS by JOB'!V14,'BCWS by JOB'!V16:V17)+U46</f>
        <v>4851.169999999999</v>
      </c>
      <c r="W46" s="14">
        <f>SUM('BCWS by JOB'!W14,'BCWS by JOB'!W16:W17)+V46</f>
        <v>5164.449999999999</v>
      </c>
      <c r="X46" s="14">
        <f>SUM('BCWS by JOB'!X14,'BCWS by JOB'!X16:X17)+W46</f>
        <v>5448.499999999999</v>
      </c>
      <c r="Y46" s="14">
        <f>SUM('BCWS by JOB'!Y14,'BCWS by JOB'!Y16:Y17)+X46</f>
        <v>5663.629999999999</v>
      </c>
      <c r="Z46" s="14">
        <f>SUM('BCWS by JOB'!Z14,'BCWS by JOB'!Z16:Z17)+Y46</f>
        <v>5966.7699999999995</v>
      </c>
      <c r="AA46" s="14">
        <f>SUM('BCWS by JOB'!AA14,'BCWS by JOB'!AA16:AA17)+Z46</f>
        <v>6353.459999999999</v>
      </c>
      <c r="AB46" s="14">
        <f>SUM('BCWS by JOB'!AB14,'BCWS by JOB'!AB16:AB17)+AA46</f>
        <v>6781.689999999999</v>
      </c>
      <c r="AC46" s="14">
        <f>SUM('BCWS by JOB'!AC14,'BCWS by JOB'!AC16:AC17)+AB46</f>
        <v>7133.9299999999985</v>
      </c>
      <c r="AD46" s="14">
        <f>SUM('BCWS by JOB'!AD14,'BCWS by JOB'!AD16:AD17)+AC46</f>
        <v>7480.669999999998</v>
      </c>
      <c r="AE46" s="14">
        <f>SUM('BCWS by JOB'!AE14,'BCWS by JOB'!AE16:AE17)+AD46</f>
        <v>7795.069999999998</v>
      </c>
      <c r="AF46" s="14">
        <f>SUM('BCWS by JOB'!AF14,'BCWS by JOB'!AF16:AF17)+AE46</f>
        <v>8142.389999999998</v>
      </c>
      <c r="AG46" s="14">
        <f>SUM('BCWS by JOB'!AG14,'BCWS by JOB'!AG16:AG17)+AF46</f>
        <v>8432.559999999998</v>
      </c>
      <c r="AH46" s="14">
        <f>SUM('BCWS by JOB'!AH14,'BCWS by JOB'!AH16:AH17)+AG46</f>
        <v>8725.729999999998</v>
      </c>
      <c r="AI46" s="14">
        <f>SUM('BCWS by JOB'!AI14,'BCWS by JOB'!AI16:AI17)+AH46</f>
        <v>8964.049999999997</v>
      </c>
      <c r="AJ46" s="14">
        <f>SUM('BCWS by JOB'!AJ14,'BCWS by JOB'!AJ16:AJ17)+AI46</f>
        <v>9073.559999999998</v>
      </c>
      <c r="AK46" s="14">
        <f>SUM('BCWS by JOB'!AK14,'BCWS by JOB'!AK16:AK17)+AJ46</f>
        <v>9073.559999999998</v>
      </c>
      <c r="AL46" s="14">
        <f>SUM('BCWS by JOB'!AL14,'BCWS by JOB'!AL16:AL17)+AK46</f>
        <v>9073.559999999998</v>
      </c>
      <c r="AM46" s="14">
        <f>SUM('BCWS by JOB'!AM14,'BCWS by JOB'!AM16:AM17)+AL46</f>
        <v>9073.559999999998</v>
      </c>
      <c r="AN46" s="14">
        <f>SUM('BCWS by JOB'!AN14,'BCWS by JOB'!AN16:AN17)+AM46</f>
        <v>9073.559999999998</v>
      </c>
      <c r="AO46" s="14">
        <f>SUM('BCWS by JOB'!AO14,'BCWS by JOB'!AO16:AO17)+AN46</f>
        <v>9073.559999999998</v>
      </c>
      <c r="AP46" s="14">
        <f>SUM('BCWS by JOB'!AP14,'BCWS by JOB'!AP16:AP17)+AO46</f>
        <v>9073.559999999998</v>
      </c>
      <c r="AQ46" s="14">
        <f>SUM('BCWS by JOB'!AQ14,'BCWS by JOB'!AQ16:AQ17)+AP46</f>
        <v>9073.559999999998</v>
      </c>
      <c r="AR46" s="14">
        <f>SUM('BCWS by JOB'!AR14,'BCWS by JOB'!AR16:AR17)+AQ46</f>
        <v>9073.559999999998</v>
      </c>
      <c r="AS46" s="14">
        <f>SUM('BCWS by JOB'!AS14,'BCWS by JOB'!AS16:AS17)+AR46</f>
        <v>9073.559999999998</v>
      </c>
      <c r="AT46" s="14">
        <f>SUM('BCWS by JOB'!AT14,'BCWS by JOB'!AT16:AT17)+AS46</f>
        <v>9073.559999999998</v>
      </c>
      <c r="AU46" s="14">
        <f>SUM('BCWS by JOB'!AU14,'BCWS by JOB'!AU16:AU17)+AT46</f>
        <v>9073.559999999998</v>
      </c>
      <c r="AV46" s="14">
        <f>SUM('BCWS by JOB'!AV14,'BCWS by JOB'!AV16:AV17)+AU46</f>
        <v>9073.559999999998</v>
      </c>
      <c r="AW46" s="14">
        <f>SUM('BCWS by JOB'!AW14,'BCWS by JOB'!AW16:AW17)+AV46</f>
        <v>9073.559999999998</v>
      </c>
      <c r="AX46" s="14">
        <f>SUM('BCWS by JOB'!AX14,'BCWS by JOB'!AX16:AX17)+AW46</f>
        <v>9073.559999999998</v>
      </c>
      <c r="AY46" s="14">
        <f>SUM('BCWS by JOB'!AY14,'BCWS by JOB'!AY16:AY17)+AX46</f>
        <v>9073.559999999998</v>
      </c>
      <c r="AZ46" s="14">
        <f>SUM('BCWS by JOB'!AZ14,'BCWS by JOB'!AZ16:AZ17)+AY46</f>
        <v>9073.559999999998</v>
      </c>
      <c r="BA46" s="2"/>
      <c r="BB46" s="2"/>
      <c r="BC46" s="2"/>
      <c r="BD46" s="2"/>
    </row>
    <row r="47" spans="2:56" s="1" customFormat="1" ht="13.5" thickBot="1">
      <c r="B47" s="479"/>
      <c r="C47" s="1167" t="s">
        <v>582</v>
      </c>
      <c r="D47" s="1168"/>
      <c r="E47" s="532" t="s">
        <v>188</v>
      </c>
      <c r="F47" s="554">
        <f>SUM('BCWP by JOB'!D14,'BCWP by JOB'!D16:D17)</f>
        <v>254</v>
      </c>
      <c r="G47" s="551">
        <f>SUM('BCWP by JOB'!E14,'BCWP by JOB'!E16:E17)+F47</f>
        <v>494</v>
      </c>
      <c r="H47" s="551">
        <f>SUM('BCWP by JOB'!F14,'BCWP by JOB'!F16:F17)+G47</f>
        <v>808</v>
      </c>
      <c r="I47" s="551">
        <f>SUM('BCWP by JOB'!G14,'BCWP by JOB'!G16:G17)+H47</f>
        <v>1064.65386914</v>
      </c>
      <c r="J47" s="555">
        <f>SUM('BCWP by JOB'!H14,'BCWP by JOB'!H16:H17)+I47</f>
        <v>1359.15</v>
      </c>
      <c r="K47" s="963">
        <f>SUM('BCWP by JOB'!I14,'BCWP by JOB'!I16:I17)+J47</f>
        <v>1600.257</v>
      </c>
      <c r="L47" s="24"/>
      <c r="M47" s="2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:56" s="1" customFormat="1" ht="12.75">
      <c r="B48" s="479"/>
      <c r="D48" s="11"/>
      <c r="E48" s="532" t="s">
        <v>189</v>
      </c>
      <c r="F48" s="528">
        <f>SUM('ACWP by JOB'!E14,'ACWP by JOB'!E16:E17)</f>
        <v>191.28094</v>
      </c>
      <c r="G48" s="521">
        <f>SUM('ACWP by JOB'!F14,'ACWP by JOB'!F16:F17)+F48</f>
        <v>363.58007999999995</v>
      </c>
      <c r="H48" s="521">
        <f>SUM('ACWP by JOB'!G14,'ACWP by JOB'!G16:G17)+G48</f>
        <v>571.3967854790535</v>
      </c>
      <c r="I48" s="521">
        <f>SUM('ACWP by JOB'!H14,'ACWP by JOB'!H16:H17)+H48</f>
        <v>851.3267854790536</v>
      </c>
      <c r="J48" s="522">
        <f>SUM('ACWP by JOB'!I14,'ACWP by JOB'!I16:I17)+I48</f>
        <v>1075.1187854790535</v>
      </c>
      <c r="K48" s="950">
        <f>SUM('ACWP by JOB'!J14,'ACWP by JOB'!J16:J17)+J48</f>
        <v>1226.7267854790534</v>
      </c>
      <c r="L48" s="24"/>
      <c r="M48" s="2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s="1" customFormat="1" ht="12.75">
      <c r="B49" s="479"/>
      <c r="D49" s="11"/>
      <c r="E49" s="532" t="s">
        <v>191</v>
      </c>
      <c r="F49" s="529">
        <f aca="true" t="shared" si="15" ref="F49:K49">+F47/F48</f>
        <v>1.3278897521101685</v>
      </c>
      <c r="G49" s="523">
        <f t="shared" si="15"/>
        <v>1.358710301180417</v>
      </c>
      <c r="H49" s="523">
        <f t="shared" si="15"/>
        <v>1.4140786587075052</v>
      </c>
      <c r="I49" s="523">
        <f t="shared" si="15"/>
        <v>1.2505819002757024</v>
      </c>
      <c r="J49" s="524">
        <f t="shared" si="15"/>
        <v>1.2641858912309745</v>
      </c>
      <c r="K49" s="951">
        <f t="shared" si="15"/>
        <v>1.3044934038634186</v>
      </c>
      <c r="L49" s="24"/>
      <c r="M49" s="2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s="1" customFormat="1" ht="13.5" thickBot="1">
      <c r="B50" s="479"/>
      <c r="D50" s="11"/>
      <c r="E50" s="533" t="s">
        <v>190</v>
      </c>
      <c r="F50" s="530">
        <f aca="true" t="shared" si="16" ref="F50:K50">+F47/F46</f>
        <v>0.9985454259543185</v>
      </c>
      <c r="G50" s="525">
        <f t="shared" si="16"/>
        <v>0.9930446669078921</v>
      </c>
      <c r="H50" s="525">
        <f t="shared" si="16"/>
        <v>0.9638209297054858</v>
      </c>
      <c r="I50" s="525">
        <f t="shared" si="16"/>
        <v>0.9095485541933996</v>
      </c>
      <c r="J50" s="526">
        <f t="shared" si="16"/>
        <v>0.959106626208454</v>
      </c>
      <c r="K50" s="952">
        <f t="shared" si="16"/>
        <v>0.9119780476545982</v>
      </c>
      <c r="L50" s="24"/>
      <c r="M50" s="2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s="1" customFormat="1" ht="6" customHeight="1" thickBot="1">
      <c r="B51" s="479"/>
      <c r="D51" s="11"/>
      <c r="F51" s="2"/>
      <c r="G51" s="2"/>
      <c r="H51" s="2"/>
      <c r="I51" s="2"/>
      <c r="J51" s="3"/>
      <c r="K51" s="24"/>
      <c r="L51" s="24"/>
      <c r="M51" s="2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s="1" customFormat="1" ht="12.75">
      <c r="B52" s="479"/>
      <c r="C52" s="1165" t="s">
        <v>583</v>
      </c>
      <c r="D52" s="1166"/>
      <c r="E52" s="531" t="s">
        <v>187</v>
      </c>
      <c r="F52" s="476">
        <f>SUM('BCWS by JOB'!F12)</f>
        <v>237</v>
      </c>
      <c r="G52" s="470">
        <f>SUM('BCWS by JOB'!G12)+F52</f>
        <v>408</v>
      </c>
      <c r="H52" s="470">
        <f>SUM('BCWS by JOB'!H12)+G52</f>
        <v>639</v>
      </c>
      <c r="I52" s="470">
        <f>SUM('BCWS by JOB'!I12)+H52</f>
        <v>821</v>
      </c>
      <c r="J52" s="519">
        <f>SUM('BCWS by JOB'!J12)+I52</f>
        <v>957</v>
      </c>
      <c r="K52" s="953">
        <f>SUM('BCWS by JOB'!K12)+J52</f>
        <v>1170</v>
      </c>
      <c r="L52" s="14">
        <f>SUM('BCWS by JOB'!L12)+K52</f>
        <v>1358</v>
      </c>
      <c r="M52" s="14">
        <f>SUM('BCWS by JOB'!M12)+L52</f>
        <v>1491</v>
      </c>
      <c r="N52" s="14">
        <f>SUM('BCWS by JOB'!N12)+M52</f>
        <v>1713</v>
      </c>
      <c r="O52" s="14">
        <f>SUM('BCWS by JOB'!O12)+N52</f>
        <v>1924</v>
      </c>
      <c r="P52" s="14">
        <f>SUM('BCWS by JOB'!P12)+O52</f>
        <v>2107</v>
      </c>
      <c r="Q52" s="14">
        <f>SUM('BCWS by JOB'!Q12)+P52</f>
        <v>2316</v>
      </c>
      <c r="R52" s="14">
        <f>SUM('BCWS by JOB'!R12)+Q52</f>
        <v>2509</v>
      </c>
      <c r="S52" s="14">
        <f>SUM('BCWS by JOB'!S12)+R52</f>
        <v>2665</v>
      </c>
      <c r="T52" s="14">
        <f>SUM('BCWS by JOB'!T12)+S52</f>
        <v>2752</v>
      </c>
      <c r="U52" s="14">
        <f>SUM('BCWS by JOB'!U12)+T52</f>
        <v>2768</v>
      </c>
      <c r="V52" s="14">
        <f>SUM('BCWS by JOB'!V12)+U52</f>
        <v>2769</v>
      </c>
      <c r="W52" s="14">
        <f>SUM('BCWS by JOB'!W12)+V52</f>
        <v>2769</v>
      </c>
      <c r="X52" s="14">
        <f>SUM('BCWS by JOB'!X12)+W52</f>
        <v>2769</v>
      </c>
      <c r="Y52" s="14">
        <f>SUM('BCWS by JOB'!Y12)+X52</f>
        <v>2769</v>
      </c>
      <c r="Z52" s="14">
        <f>SUM('BCWS by JOB'!Z12)+Y52</f>
        <v>2769</v>
      </c>
      <c r="AA52" s="14">
        <f>SUM('BCWS by JOB'!AA12)+Z52</f>
        <v>2769</v>
      </c>
      <c r="AB52" s="14">
        <f>SUM('BCWS by JOB'!AB12)+AA52</f>
        <v>2769</v>
      </c>
      <c r="AC52" s="14">
        <f>SUM('BCWS by JOB'!AC12)+AB52</f>
        <v>2769</v>
      </c>
      <c r="AD52" s="14">
        <f>SUM('BCWS by JOB'!AD12)+AC52</f>
        <v>2769</v>
      </c>
      <c r="AE52" s="14">
        <f>SUM('BCWS by JOB'!AE12)+AD52</f>
        <v>2769</v>
      </c>
      <c r="AF52" s="14">
        <f>SUM('BCWS by JOB'!AF12)+AE52</f>
        <v>2769</v>
      </c>
      <c r="AG52" s="14">
        <f>SUM('BCWS by JOB'!AG12)+AF52</f>
        <v>2769</v>
      </c>
      <c r="AH52" s="14">
        <f>SUM('BCWS by JOB'!AH12)+AG52</f>
        <v>2769</v>
      </c>
      <c r="AI52" s="14">
        <f>SUM('BCWS by JOB'!AI12)+AH52</f>
        <v>2769</v>
      </c>
      <c r="AJ52" s="14">
        <f>SUM('BCWS by JOB'!AJ12)+AI52</f>
        <v>2769</v>
      </c>
      <c r="AK52" s="14">
        <f>SUM('BCWS by JOB'!AK12)+AJ52</f>
        <v>2769</v>
      </c>
      <c r="AL52" s="14">
        <f>SUM('BCWS by JOB'!AL12)+AK52</f>
        <v>2769</v>
      </c>
      <c r="AM52" s="14">
        <f>SUM('BCWS by JOB'!AM12)+AL52</f>
        <v>2769</v>
      </c>
      <c r="AN52" s="14">
        <f>SUM('BCWS by JOB'!AN12)+AM52</f>
        <v>2769</v>
      </c>
      <c r="AO52" s="14">
        <f>SUM('BCWS by JOB'!AO12)+AN52</f>
        <v>2769</v>
      </c>
      <c r="AP52" s="14">
        <f>SUM('BCWS by JOB'!AP12)+AO52</f>
        <v>2769</v>
      </c>
      <c r="AQ52" s="14">
        <f>SUM('BCWS by JOB'!AQ12)+AP52</f>
        <v>2769</v>
      </c>
      <c r="AR52" s="14">
        <f>SUM('BCWS by JOB'!AR12)+AQ52</f>
        <v>2769</v>
      </c>
      <c r="AS52" s="14">
        <f>SUM('BCWS by JOB'!AS12)+AR52</f>
        <v>2769</v>
      </c>
      <c r="AT52" s="14">
        <f>SUM('BCWS by JOB'!AT12)+AS52</f>
        <v>2769</v>
      </c>
      <c r="AU52" s="14">
        <f>SUM('BCWS by JOB'!AU12)+AT52</f>
        <v>2769</v>
      </c>
      <c r="AV52" s="14">
        <f>SUM('BCWS by JOB'!AV12)+AU52</f>
        <v>2769</v>
      </c>
      <c r="AW52" s="14">
        <f>SUM('BCWS by JOB'!AW12)+AV52</f>
        <v>2769</v>
      </c>
      <c r="AX52" s="14">
        <f>SUM('BCWS by JOB'!AX12)+AW52</f>
        <v>2769</v>
      </c>
      <c r="AY52" s="14">
        <f>SUM('BCWS by JOB'!AY12)+AX52</f>
        <v>2769</v>
      </c>
      <c r="AZ52" s="14">
        <f>SUM('BCWS by JOB'!AZ12)+AY52</f>
        <v>2769</v>
      </c>
      <c r="BA52" s="2"/>
      <c r="BB52" s="2"/>
      <c r="BC52" s="2"/>
      <c r="BD52" s="2"/>
    </row>
    <row r="53" spans="2:56" s="1" customFormat="1" ht="13.5" thickBot="1">
      <c r="B53" s="479"/>
      <c r="C53" s="1167">
        <v>1451</v>
      </c>
      <c r="D53" s="1168"/>
      <c r="E53" s="532" t="s">
        <v>188</v>
      </c>
      <c r="F53" s="554">
        <f>SUM('BCWP by JOB'!D12)</f>
        <v>236</v>
      </c>
      <c r="G53" s="551">
        <f>SUM('BCWP by JOB'!E12)+F53</f>
        <v>412</v>
      </c>
      <c r="H53" s="551">
        <f>SUM('BCWP by JOB'!F12)+G53</f>
        <v>711</v>
      </c>
      <c r="I53" s="551">
        <f>SUM('BCWP by JOB'!G12)+H53</f>
        <v>946.2219701200002</v>
      </c>
      <c r="J53" s="555">
        <f>SUM('BCWP by JOB'!H12)+I53</f>
        <v>1184</v>
      </c>
      <c r="K53" s="963">
        <f>SUM('BCWP by JOB'!I12)+J53</f>
        <v>1439.27</v>
      </c>
      <c r="L53" s="24"/>
      <c r="M53" s="2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s="1" customFormat="1" ht="12.75">
      <c r="B54" s="479"/>
      <c r="D54" s="11"/>
      <c r="E54" s="532" t="s">
        <v>189</v>
      </c>
      <c r="F54" s="528">
        <f>SUM('ACWP by JOB'!E12)</f>
        <v>283.70750000000004</v>
      </c>
      <c r="G54" s="521">
        <f>SUM('ACWP by JOB'!F12)+F54</f>
        <v>502.50305000000003</v>
      </c>
      <c r="H54" s="521">
        <f>SUM('ACWP by JOB'!G12)+G54</f>
        <v>659.790693632146</v>
      </c>
      <c r="I54" s="521">
        <f>SUM('ACWP by JOB'!H12)+H54</f>
        <v>900.0866936321461</v>
      </c>
      <c r="J54" s="522">
        <f>SUM('ACWP by JOB'!I12)+I54</f>
        <v>1090.423693632146</v>
      </c>
      <c r="K54" s="950">
        <f>SUM('ACWP by JOB'!J12)+J54</f>
        <v>1245.018693632146</v>
      </c>
      <c r="L54" s="24"/>
      <c r="M54" s="2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s="1" customFormat="1" ht="12.75">
      <c r="B55" s="479"/>
      <c r="D55" s="11"/>
      <c r="E55" s="532" t="s">
        <v>191</v>
      </c>
      <c r="F55" s="529">
        <f aca="true" t="shared" si="17" ref="F55:K55">+F53/F54</f>
        <v>0.8318426548469814</v>
      </c>
      <c r="G55" s="523">
        <f t="shared" si="17"/>
        <v>0.8198955210321609</v>
      </c>
      <c r="H55" s="523">
        <f t="shared" si="17"/>
        <v>1.0776144720774203</v>
      </c>
      <c r="I55" s="523">
        <f t="shared" si="17"/>
        <v>1.0512564809748304</v>
      </c>
      <c r="J55" s="524">
        <f t="shared" si="17"/>
        <v>1.08581646465894</v>
      </c>
      <c r="K55" s="951">
        <f t="shared" si="17"/>
        <v>1.1560228029999744</v>
      </c>
      <c r="L55" s="24"/>
      <c r="M55" s="2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s="1" customFormat="1" ht="13.5" thickBot="1">
      <c r="B56" s="479"/>
      <c r="D56" s="11"/>
      <c r="E56" s="533" t="s">
        <v>190</v>
      </c>
      <c r="F56" s="530">
        <f aca="true" t="shared" si="18" ref="F56:K56">+F53/F52</f>
        <v>0.9957805907172996</v>
      </c>
      <c r="G56" s="525">
        <f t="shared" si="18"/>
        <v>1.0098039215686274</v>
      </c>
      <c r="H56" s="525">
        <f t="shared" si="18"/>
        <v>1.1126760563380282</v>
      </c>
      <c r="I56" s="525">
        <f t="shared" si="18"/>
        <v>1.152523715127893</v>
      </c>
      <c r="J56" s="526">
        <f t="shared" si="18"/>
        <v>1.2371995820271682</v>
      </c>
      <c r="K56" s="952">
        <f t="shared" si="18"/>
        <v>1.230145299145299</v>
      </c>
      <c r="L56" s="24"/>
      <c r="M56" s="2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s="1" customFormat="1" ht="4.5" customHeight="1">
      <c r="B57" s="479"/>
      <c r="D57" s="11"/>
      <c r="F57" s="2"/>
      <c r="G57" s="2"/>
      <c r="H57" s="2"/>
      <c r="I57" s="2"/>
      <c r="J57" s="3"/>
      <c r="K57" s="24"/>
      <c r="L57" s="24"/>
      <c r="M57" s="2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3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s="1" customFormat="1" ht="12.75">
      <c r="B58" s="479"/>
      <c r="C58" s="1163" t="s">
        <v>819</v>
      </c>
      <c r="D58" s="1164"/>
      <c r="E58" s="1" t="s">
        <v>187</v>
      </c>
      <c r="F58" s="14">
        <f>SUM('BCWS by JOB'!F13)</f>
        <v>0</v>
      </c>
      <c r="G58" s="14">
        <f>SUM('BCWS by JOB'!G13)+F58</f>
        <v>4</v>
      </c>
      <c r="H58" s="14">
        <f>SUM('BCWS by JOB'!H13)+G58</f>
        <v>23</v>
      </c>
      <c r="I58" s="14">
        <f>SUM('BCWS by JOB'!I13)+H58</f>
        <v>43</v>
      </c>
      <c r="J58" s="14">
        <f>SUM('BCWS by JOB'!J13)+I58</f>
        <v>90</v>
      </c>
      <c r="K58" s="964">
        <f>SUM('BCWS by JOB'!K13)+J58</f>
        <v>147</v>
      </c>
      <c r="L58" s="14">
        <f>SUM('BCWS by JOB'!L13)+K58</f>
        <v>190</v>
      </c>
      <c r="M58" s="14">
        <f>SUM('BCWS by JOB'!M13)+L58</f>
        <v>216</v>
      </c>
      <c r="N58" s="14">
        <f>SUM('BCWS by JOB'!N13)+M58</f>
        <v>258</v>
      </c>
      <c r="O58" s="14">
        <f>SUM('BCWS by JOB'!O13)+N58</f>
        <v>301</v>
      </c>
      <c r="P58" s="14">
        <f>SUM('BCWS by JOB'!P13)+O58</f>
        <v>343</v>
      </c>
      <c r="Q58" s="14">
        <f>SUM('BCWS by JOB'!Q13)+P58</f>
        <v>369</v>
      </c>
      <c r="R58" s="14">
        <f>SUM('BCWS by JOB'!R13)+Q58</f>
        <v>393</v>
      </c>
      <c r="S58" s="14">
        <f>SUM('BCWS by JOB'!S13)+R58</f>
        <v>418</v>
      </c>
      <c r="T58" s="14">
        <f>SUM('BCWS by JOB'!T13)+S58</f>
        <v>444</v>
      </c>
      <c r="U58" s="14">
        <f>SUM('BCWS by JOB'!U13)+T58</f>
        <v>477</v>
      </c>
      <c r="V58" s="14">
        <f>SUM('BCWS by JOB'!V13)+U58</f>
        <v>501</v>
      </c>
      <c r="W58" s="14">
        <f>SUM('BCWS by JOB'!W13)+V58</f>
        <v>501</v>
      </c>
      <c r="X58" s="14">
        <f>SUM('BCWS by JOB'!X13)+W58</f>
        <v>501</v>
      </c>
      <c r="Y58" s="14">
        <f>SUM('BCWS by JOB'!Y13)+X58</f>
        <v>501</v>
      </c>
      <c r="Z58" s="14">
        <f>SUM('BCWS by JOB'!Z13)+Y58</f>
        <v>501</v>
      </c>
      <c r="AA58" s="14">
        <f>SUM('BCWS by JOB'!AA13)+Z58</f>
        <v>501</v>
      </c>
      <c r="AB58" s="14">
        <f>SUM('BCWS by JOB'!AB13)+AA58</f>
        <v>501</v>
      </c>
      <c r="AC58" s="14">
        <f>SUM('BCWS by JOB'!AC13)+AB58</f>
        <v>501</v>
      </c>
      <c r="AD58" s="14">
        <f>SUM('BCWS by JOB'!AD13)+AC58</f>
        <v>501</v>
      </c>
      <c r="AE58" s="14">
        <f>SUM('BCWS by JOB'!AE13)+AD58</f>
        <v>501</v>
      </c>
      <c r="AF58" s="14">
        <f>SUM('BCWS by JOB'!AF13)+AE58</f>
        <v>501</v>
      </c>
      <c r="AG58" s="14">
        <f>SUM('BCWS by JOB'!AG13)+AF58</f>
        <v>501</v>
      </c>
      <c r="AH58" s="14">
        <f>SUM('BCWS by JOB'!AH13)+AG58</f>
        <v>501</v>
      </c>
      <c r="AI58" s="14">
        <f>SUM('BCWS by JOB'!AI13)+AH58</f>
        <v>501</v>
      </c>
      <c r="AJ58" s="14">
        <f>SUM('BCWS by JOB'!AJ13)+AI58</f>
        <v>501</v>
      </c>
      <c r="AK58" s="14">
        <f>SUM('BCWS by JOB'!AK13)+AJ58</f>
        <v>501</v>
      </c>
      <c r="AL58" s="14">
        <f>SUM('BCWS by JOB'!AL13)+AK58</f>
        <v>501</v>
      </c>
      <c r="AM58" s="14">
        <f>SUM('BCWS by JOB'!AM13)+AL58</f>
        <v>501</v>
      </c>
      <c r="AN58" s="14">
        <f>SUM('BCWS by JOB'!AN13)+AM58</f>
        <v>501</v>
      </c>
      <c r="AO58" s="14">
        <f>SUM('BCWS by JOB'!AO13)+AN58</f>
        <v>501</v>
      </c>
      <c r="AP58" s="14">
        <f>SUM('BCWS by JOB'!AP13)+AO58</f>
        <v>501</v>
      </c>
      <c r="AQ58" s="14">
        <f>SUM('BCWS by JOB'!AQ13)+AP58</f>
        <v>501</v>
      </c>
      <c r="AR58" s="14">
        <f>SUM('BCWS by JOB'!AR13)+AQ58</f>
        <v>501</v>
      </c>
      <c r="AS58" s="14">
        <f>SUM('BCWS by JOB'!AS13)+AR58</f>
        <v>501</v>
      </c>
      <c r="AT58" s="14">
        <f>SUM('BCWS by JOB'!AT13)+AS58</f>
        <v>501</v>
      </c>
      <c r="AU58" s="14">
        <f>SUM('BCWS by JOB'!AU13)+AT58</f>
        <v>501</v>
      </c>
      <c r="AV58" s="14">
        <f>SUM('BCWS by JOB'!AV13)+AU58</f>
        <v>501</v>
      </c>
      <c r="AW58" s="14">
        <f>SUM('BCWS by JOB'!AW13)+AV58</f>
        <v>501</v>
      </c>
      <c r="AX58" s="14">
        <f>SUM('BCWS by JOB'!AX13)+AW58</f>
        <v>501</v>
      </c>
      <c r="AY58" s="14">
        <f>SUM('BCWS by JOB'!AY13)+AX58</f>
        <v>501</v>
      </c>
      <c r="AZ58" s="14">
        <f>SUM('BCWS by JOB'!AZ13)+AY58</f>
        <v>501</v>
      </c>
      <c r="BA58" s="2"/>
      <c r="BB58" s="2"/>
      <c r="BC58" s="2"/>
      <c r="BD58" s="2"/>
    </row>
    <row r="59" spans="2:56" s="1" customFormat="1" ht="12.75">
      <c r="B59" s="479"/>
      <c r="C59" s="1163">
        <v>1459</v>
      </c>
      <c r="D59" s="1164"/>
      <c r="E59" s="1" t="s">
        <v>188</v>
      </c>
      <c r="F59" s="1">
        <f>SUM('BCWP by JOB'!D13)</f>
        <v>0</v>
      </c>
      <c r="G59" s="1">
        <f>SUM('BCWP by JOB'!E13)+F59</f>
        <v>18</v>
      </c>
      <c r="H59" s="1">
        <f>SUM('BCWP by JOB'!F13)+G59</f>
        <v>32</v>
      </c>
      <c r="I59" s="1">
        <f>SUM('BCWP by JOB'!G13)+H59</f>
        <v>44.163189</v>
      </c>
      <c r="J59" s="1">
        <f>SUM('BCWP by JOB'!H13)+I59</f>
        <v>135.3</v>
      </c>
      <c r="K59" s="965">
        <f>SUM('BCWP by JOB'!I13)+J59</f>
        <v>168.318</v>
      </c>
      <c r="L59" s="24"/>
      <c r="M59" s="2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3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s="1" customFormat="1" ht="12.75">
      <c r="B60" s="479"/>
      <c r="D60" s="11"/>
      <c r="E60" s="1" t="s">
        <v>189</v>
      </c>
      <c r="F60" s="240">
        <f>SUM('ACWP by JOB'!E13)</f>
        <v>42.20441</v>
      </c>
      <c r="G60" s="240">
        <f>SUM('ACWP by JOB'!F13)+F60</f>
        <v>97.48289</v>
      </c>
      <c r="H60" s="240">
        <f>SUM('ACWP by JOB'!G13)+G60</f>
        <v>149.1849940026223</v>
      </c>
      <c r="I60" s="240">
        <f>SUM('ACWP by JOB'!H13)+H60</f>
        <v>213.9909940026223</v>
      </c>
      <c r="J60" s="240">
        <f>SUM('ACWP by JOB'!I13)+I60</f>
        <v>289.4529940026223</v>
      </c>
      <c r="K60" s="966">
        <f>SUM('ACWP by JOB'!J13)+J60</f>
        <v>339.2299940026223</v>
      </c>
      <c r="L60" s="24"/>
      <c r="M60" s="2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s="1" customFormat="1" ht="12.75">
      <c r="B61" s="479"/>
      <c r="D61" s="11"/>
      <c r="E61" s="1" t="s">
        <v>191</v>
      </c>
      <c r="F61" s="339">
        <f aca="true" t="shared" si="19" ref="F61:K61">+F59/F60</f>
        <v>0</v>
      </c>
      <c r="G61" s="339">
        <f t="shared" si="19"/>
        <v>0.18464778793488787</v>
      </c>
      <c r="H61" s="339">
        <f t="shared" si="19"/>
        <v>0.2144987853097177</v>
      </c>
      <c r="I61" s="339">
        <f t="shared" si="19"/>
        <v>0.20637872731905163</v>
      </c>
      <c r="J61" s="339">
        <f t="shared" si="19"/>
        <v>0.46743340992622195</v>
      </c>
      <c r="K61" s="967">
        <f t="shared" si="19"/>
        <v>0.4961766440932664</v>
      </c>
      <c r="L61" s="24"/>
      <c r="M61" s="2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3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s="1" customFormat="1" ht="12.75">
      <c r="B62" s="479"/>
      <c r="D62" s="11"/>
      <c r="E62" s="1" t="s">
        <v>190</v>
      </c>
      <c r="F62" s="339"/>
      <c r="G62" s="339">
        <f>+G59/G58</f>
        <v>4.5</v>
      </c>
      <c r="H62" s="339">
        <f>+H59/H58</f>
        <v>1.391304347826087</v>
      </c>
      <c r="I62" s="339">
        <f>+I59/I58</f>
        <v>1.0270509069767442</v>
      </c>
      <c r="J62" s="339">
        <f>+J59/J58</f>
        <v>1.5033333333333334</v>
      </c>
      <c r="K62" s="967">
        <f>+K59/K58</f>
        <v>1.1450204081632653</v>
      </c>
      <c r="L62" s="24"/>
      <c r="M62" s="2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3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s="1" customFormat="1" ht="5.25" customHeight="1">
      <c r="B63" s="479"/>
      <c r="D63" s="11"/>
      <c r="F63" s="2"/>
      <c r="G63" s="2"/>
      <c r="H63" s="2"/>
      <c r="I63" s="2"/>
      <c r="J63" s="3"/>
      <c r="K63" s="24"/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3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3" s="1" customFormat="1" ht="12.75">
      <c r="B64" s="479"/>
      <c r="C64" s="1163" t="s">
        <v>719</v>
      </c>
      <c r="D64" s="1164"/>
      <c r="E64" s="1" t="s">
        <v>187</v>
      </c>
      <c r="F64" s="14">
        <f>SUM('BCWS by JOB'!F55)</f>
        <v>82</v>
      </c>
      <c r="G64" s="14">
        <f>SUM('BCWS by JOB'!G55)+F64</f>
        <v>158</v>
      </c>
      <c r="H64" s="14">
        <f>SUM('BCWS by JOB'!H55)+G64</f>
        <v>221</v>
      </c>
      <c r="I64" s="14">
        <f>SUM('BCWS by JOB'!I55)+H64</f>
        <v>290</v>
      </c>
      <c r="J64" s="14">
        <f>SUM('BCWS by JOB'!J55)+I64</f>
        <v>343</v>
      </c>
      <c r="K64" s="964">
        <f>SUM('BCWS by JOB'!K55)+J64</f>
        <v>404</v>
      </c>
      <c r="L64" s="14">
        <f>SUM('BCWS by JOB'!L55)+K64</f>
        <v>457</v>
      </c>
      <c r="M64" s="14">
        <f>SUM('BCWS by JOB'!M55)+L64</f>
        <v>497</v>
      </c>
      <c r="N64" s="14">
        <f>SUM('BCWS by JOB'!N55)+M64</f>
        <v>556</v>
      </c>
      <c r="O64" s="14">
        <f>SUM('BCWS by JOB'!O55)+N64</f>
        <v>612</v>
      </c>
      <c r="P64" s="14">
        <f>SUM('BCWS by JOB'!P55)+O64</f>
        <v>668</v>
      </c>
      <c r="Q64" s="14">
        <f>SUM('BCWS by JOB'!Q55)+P64</f>
        <v>727</v>
      </c>
      <c r="R64" s="14">
        <f>SUM('BCWS by JOB'!R55)+Q64</f>
        <v>783</v>
      </c>
      <c r="S64" s="14">
        <f>SUM('BCWS by JOB'!S55)+R64</f>
        <v>839</v>
      </c>
      <c r="T64" s="14">
        <f>SUM('BCWS by JOB'!T55)+S64</f>
        <v>898</v>
      </c>
      <c r="U64" s="14">
        <f>SUM('BCWS by JOB'!U55)+T64</f>
        <v>954</v>
      </c>
      <c r="V64" s="14">
        <f>SUM('BCWS by JOB'!V55)+U64</f>
        <v>1010</v>
      </c>
      <c r="W64" s="14">
        <f>SUM('BCWS by JOB'!W55)+V64</f>
        <v>1071</v>
      </c>
      <c r="X64" s="14">
        <f>SUM('BCWS by JOB'!X55)+W64</f>
        <v>1119</v>
      </c>
      <c r="Y64" s="14">
        <f>SUM('BCWS by JOB'!Y55)+X64</f>
        <v>1164</v>
      </c>
      <c r="Z64" s="14">
        <f>SUM('BCWS by JOB'!Z55)+Y64</f>
        <v>1220</v>
      </c>
      <c r="AA64" s="14">
        <f>SUM('BCWS by JOB'!AA55)+Z64</f>
        <v>1273</v>
      </c>
      <c r="AB64" s="14">
        <f>SUM('BCWS by JOB'!AB55)+AA64</f>
        <v>1332</v>
      </c>
      <c r="AC64" s="14">
        <f>SUM('BCWS by JOB'!AC55)+AB64</f>
        <v>1391</v>
      </c>
      <c r="AD64" s="14">
        <f>SUM('BCWS by JOB'!AD55)+AC64</f>
        <v>1444</v>
      </c>
      <c r="AE64" s="14">
        <f>SUM('BCWS by JOB'!AE55)+AD64</f>
        <v>1503</v>
      </c>
      <c r="AF64" s="14">
        <f>SUM('BCWS by JOB'!AF55)+AE64</f>
        <v>1562</v>
      </c>
      <c r="AG64" s="14">
        <f>SUM('BCWS by JOB'!AG55)+AF64</f>
        <v>1618</v>
      </c>
      <c r="AH64" s="14">
        <f>SUM('BCWS by JOB'!AH55)+AG64</f>
        <v>1674</v>
      </c>
      <c r="AI64" s="14">
        <f>SUM('BCWS by JOB'!AI55)+AH64</f>
        <v>1733</v>
      </c>
      <c r="AJ64" s="14">
        <f>SUM('BCWS by JOB'!AJ55)+AI64</f>
        <v>1784</v>
      </c>
      <c r="AK64" s="14">
        <f>SUM('BCWS by JOB'!AK55)+AJ64</f>
        <v>1827</v>
      </c>
      <c r="AL64" s="14">
        <f>SUM('BCWS by JOB'!AL55)+AK64</f>
        <v>1880</v>
      </c>
      <c r="AM64" s="14">
        <f>SUM('BCWS by JOB'!AM55)+AL64</f>
        <v>1933</v>
      </c>
      <c r="AN64" s="14">
        <f>SUM('BCWS by JOB'!AN55)+AM64</f>
        <v>1994</v>
      </c>
      <c r="AO64" s="14">
        <f>SUM('BCWS by JOB'!AO55)+AN64</f>
        <v>2053</v>
      </c>
      <c r="AP64" s="14">
        <f>SUM('BCWS by JOB'!AP55)+AO64</f>
        <v>2106</v>
      </c>
      <c r="AQ64" s="14">
        <f>SUM('BCWS by JOB'!AQ55)+AP64</f>
        <v>2165</v>
      </c>
      <c r="AR64" s="14">
        <f>SUM('BCWS by JOB'!AR55)+AQ64</f>
        <v>2221</v>
      </c>
      <c r="AS64" s="14">
        <f>SUM('BCWS by JOB'!AS55)+AR64</f>
        <v>2280</v>
      </c>
      <c r="AT64" s="14">
        <f>SUM('BCWS by JOB'!AT55)+AS64</f>
        <v>2336</v>
      </c>
      <c r="AU64" s="14">
        <f>SUM('BCWS by JOB'!AU55)+AT64</f>
        <v>2384</v>
      </c>
      <c r="AV64" s="14">
        <f>SUM('BCWS by JOB'!AV55)+AU64</f>
        <v>2430</v>
      </c>
      <c r="AW64" s="14">
        <f>SUM('BCWS by JOB'!AW55)+AV64</f>
        <v>2469</v>
      </c>
      <c r="AX64" s="14">
        <f>SUM('BCWS by JOB'!AX55)+AW64</f>
        <v>2517</v>
      </c>
      <c r="AY64" s="14">
        <f>SUM('BCWS by JOB'!AY55)+AX64</f>
        <v>2519</v>
      </c>
      <c r="AZ64" s="14"/>
      <c r="BA64" s="1" t="s">
        <v>186</v>
      </c>
    </row>
    <row r="65" spans="2:11" s="1" customFormat="1" ht="12.75">
      <c r="B65" s="479"/>
      <c r="C65" s="1163">
        <v>8202</v>
      </c>
      <c r="D65" s="1164"/>
      <c r="E65" s="1" t="s">
        <v>188</v>
      </c>
      <c r="F65" s="1">
        <f>SUM('BCWP by JOB'!D55)</f>
        <v>108</v>
      </c>
      <c r="G65" s="1">
        <f>SUM('BCWP by JOB'!E55)+F65</f>
        <v>208</v>
      </c>
      <c r="H65" s="1">
        <f>SUM('BCWP by JOB'!F55)+G65</f>
        <v>295</v>
      </c>
      <c r="I65" s="1">
        <f>SUM('BCWP by JOB'!G55)+H65</f>
        <v>289.20299167</v>
      </c>
      <c r="J65" s="1">
        <f>SUM('BCWP by JOB'!H55)+I65</f>
        <v>342.46</v>
      </c>
      <c r="K65" s="965">
        <f>SUM('BCWP by JOB'!I55)+J65</f>
        <v>403.1</v>
      </c>
    </row>
    <row r="66" spans="2:11" s="1" customFormat="1" ht="12.75">
      <c r="B66" s="479"/>
      <c r="D66" s="11"/>
      <c r="E66" s="1" t="s">
        <v>189</v>
      </c>
      <c r="F66" s="240">
        <f>SUM('ACWP by JOB'!E55)</f>
        <v>59.59645</v>
      </c>
      <c r="G66" s="240">
        <f>SUM('ACWP by JOB'!F55)+F66</f>
        <v>118.22819999999999</v>
      </c>
      <c r="H66" s="240">
        <f>SUM('ACWP by JOB'!G55)+G66</f>
        <v>176.83109090857948</v>
      </c>
      <c r="I66" s="240">
        <f>SUM('ACWP by JOB'!H55)+H66</f>
        <v>264.20509090857945</v>
      </c>
      <c r="J66" s="240">
        <f>SUM('ACWP by JOB'!I55)+I66</f>
        <v>318.42909090857944</v>
      </c>
      <c r="K66" s="966">
        <f>SUM('ACWP by JOB'!J55)+J66</f>
        <v>373.13109090857944</v>
      </c>
    </row>
    <row r="67" spans="2:11" s="1" customFormat="1" ht="12.75">
      <c r="B67" s="479"/>
      <c r="D67" s="11"/>
      <c r="E67" s="1" t="s">
        <v>191</v>
      </c>
      <c r="F67" s="339">
        <f aca="true" t="shared" si="20" ref="F67:K67">+F65/F66</f>
        <v>1.8121884776693915</v>
      </c>
      <c r="G67" s="339">
        <f t="shared" si="20"/>
        <v>1.759309538671823</v>
      </c>
      <c r="H67" s="339">
        <f t="shared" si="20"/>
        <v>1.6682586669813233</v>
      </c>
      <c r="I67" s="339">
        <f t="shared" si="20"/>
        <v>1.0946155150737438</v>
      </c>
      <c r="J67" s="339">
        <f t="shared" si="20"/>
        <v>1.075467065596465</v>
      </c>
      <c r="K67" s="967">
        <f t="shared" si="20"/>
        <v>1.0803173732278537</v>
      </c>
    </row>
    <row r="68" spans="2:11" s="1" customFormat="1" ht="12.75">
      <c r="B68" s="479"/>
      <c r="D68" s="11"/>
      <c r="E68" s="1" t="s">
        <v>190</v>
      </c>
      <c r="F68" s="339">
        <f aca="true" t="shared" si="21" ref="F68:K68">+F65/F64</f>
        <v>1.3170731707317074</v>
      </c>
      <c r="G68" s="339">
        <f t="shared" si="21"/>
        <v>1.3164556962025316</v>
      </c>
      <c r="H68" s="339">
        <f t="shared" si="21"/>
        <v>1.334841628959276</v>
      </c>
      <c r="I68" s="339">
        <f t="shared" si="21"/>
        <v>0.9972516954137932</v>
      </c>
      <c r="J68" s="339">
        <f t="shared" si="21"/>
        <v>0.9984256559766763</v>
      </c>
      <c r="K68" s="967">
        <f t="shared" si="21"/>
        <v>0.9977722772277229</v>
      </c>
    </row>
    <row r="69" spans="2:56" s="1" customFormat="1" ht="5.25" customHeight="1">
      <c r="B69" s="479"/>
      <c r="D69" s="11"/>
      <c r="F69" s="2"/>
      <c r="G69" s="2"/>
      <c r="H69" s="2"/>
      <c r="I69" s="2"/>
      <c r="J69" s="3"/>
      <c r="K69" s="24"/>
      <c r="L69" s="24"/>
      <c r="M69" s="2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3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2" s="1" customFormat="1" ht="12.75">
      <c r="B70" s="479"/>
      <c r="C70" s="1163" t="s">
        <v>584</v>
      </c>
      <c r="D70" s="1164"/>
      <c r="E70" s="1" t="s">
        <v>187</v>
      </c>
      <c r="F70" s="14">
        <f>SUM('BCWS by JOB'!F56)</f>
        <v>33</v>
      </c>
      <c r="G70" s="14">
        <f>SUM('BCWS by JOB'!G56)+F70</f>
        <v>65</v>
      </c>
      <c r="H70" s="14">
        <f>SUM('BCWS by JOB'!H56)+G70</f>
        <v>97</v>
      </c>
      <c r="I70" s="14">
        <f>SUM('BCWS by JOB'!I56)+H70</f>
        <v>132</v>
      </c>
      <c r="J70" s="14">
        <f>SUM('BCWS by JOB'!J56)+I70</f>
        <v>161</v>
      </c>
      <c r="K70" s="964">
        <f>SUM('BCWS by JOB'!K56)+J70</f>
        <v>196</v>
      </c>
      <c r="L70" s="14">
        <f>SUM('BCWS by JOB'!L56)+K70</f>
        <v>226</v>
      </c>
      <c r="M70" s="14">
        <f>SUM('BCWS by JOB'!M56)+L70</f>
        <v>249</v>
      </c>
      <c r="N70" s="14">
        <f>SUM('BCWS by JOB'!N56)+M70</f>
        <v>282</v>
      </c>
      <c r="O70" s="14">
        <f>SUM('BCWS by JOB'!O56)+N70</f>
        <v>314</v>
      </c>
      <c r="P70" s="14">
        <f>SUM('BCWS by JOB'!P56)+O70</f>
        <v>346</v>
      </c>
      <c r="Q70" s="14">
        <f>SUM('BCWS by JOB'!Q56)+P70</f>
        <v>379</v>
      </c>
      <c r="R70" s="14">
        <f>SUM('BCWS by JOB'!R56)+Q70</f>
        <v>411</v>
      </c>
      <c r="S70" s="14">
        <f>SUM('BCWS by JOB'!S56)+R70</f>
        <v>443</v>
      </c>
      <c r="T70" s="14">
        <f>SUM('BCWS by JOB'!T56)+S70</f>
        <v>476</v>
      </c>
      <c r="U70" s="14">
        <f>SUM('BCWS by JOB'!U56)+T70</f>
        <v>508</v>
      </c>
      <c r="V70" s="14">
        <f>SUM('BCWS by JOB'!V56)+U70</f>
        <v>540</v>
      </c>
      <c r="W70" s="14">
        <f>SUM('BCWS by JOB'!W56)+V70</f>
        <v>575</v>
      </c>
      <c r="X70" s="14">
        <f>SUM('BCWS by JOB'!X56)+W70</f>
        <v>602</v>
      </c>
      <c r="Y70" s="14">
        <f>SUM('BCWS by JOB'!Y56)+X70</f>
        <v>628</v>
      </c>
      <c r="Z70" s="14">
        <f>SUM('BCWS by JOB'!Z56)+Y70</f>
        <v>660</v>
      </c>
      <c r="AA70" s="14">
        <f>SUM('BCWS by JOB'!AA56)+Z70</f>
        <v>690</v>
      </c>
      <c r="AB70" s="14">
        <f>SUM('BCWS by JOB'!AB56)+AA70</f>
        <v>723</v>
      </c>
      <c r="AC70" s="14">
        <f>SUM('BCWS by JOB'!AC56)+AB70</f>
        <v>756</v>
      </c>
      <c r="AD70" s="14">
        <f>SUM('BCWS by JOB'!AD56)+AC70</f>
        <v>786</v>
      </c>
      <c r="AE70" s="14">
        <f>SUM('BCWS by JOB'!AE56)+AD70</f>
        <v>819</v>
      </c>
      <c r="AF70" s="14">
        <f>SUM('BCWS by JOB'!AF56)+AE70</f>
        <v>852</v>
      </c>
      <c r="AG70" s="14">
        <f>SUM('BCWS by JOB'!AG56)+AF70</f>
        <v>884</v>
      </c>
      <c r="AH70" s="14">
        <f>SUM('BCWS by JOB'!AH56)+AG70</f>
        <v>916</v>
      </c>
      <c r="AI70" s="14">
        <f>SUM('BCWS by JOB'!AI56)+AH70</f>
        <v>949</v>
      </c>
      <c r="AJ70" s="14">
        <f>SUM('BCWS by JOB'!AJ56)+AI70</f>
        <v>978</v>
      </c>
      <c r="AK70" s="14">
        <f>SUM('BCWS by JOB'!AK56)+AJ70</f>
        <v>1002</v>
      </c>
      <c r="AL70" s="14">
        <f>SUM('BCWS by JOB'!AL56)+AK70</f>
        <v>1032</v>
      </c>
      <c r="AM70" s="14">
        <f>SUM('BCWS by JOB'!AM56)+AL70</f>
        <v>1062</v>
      </c>
      <c r="AN70" s="14">
        <f>SUM('BCWS by JOB'!AN56)+AM70</f>
        <v>1097</v>
      </c>
      <c r="AO70" s="14">
        <f>SUM('BCWS by JOB'!AO56)+AN70</f>
        <v>1130</v>
      </c>
      <c r="AP70" s="14">
        <f>SUM('BCWS by JOB'!AP56)+AO70</f>
        <v>1160</v>
      </c>
      <c r="AQ70" s="14">
        <f>SUM('BCWS by JOB'!AQ56)+AP70</f>
        <v>1193</v>
      </c>
      <c r="AR70" s="14">
        <f>SUM('BCWS by JOB'!AR56)+AQ70</f>
        <v>1225</v>
      </c>
      <c r="AS70" s="14">
        <f>SUM('BCWS by JOB'!AS56)+AR70</f>
        <v>1258</v>
      </c>
      <c r="AT70" s="14">
        <f>SUM('BCWS by JOB'!AT56)+AS70</f>
        <v>1290</v>
      </c>
      <c r="AU70" s="14">
        <f>SUM('BCWS by JOB'!AU56)+AT70</f>
        <v>1322</v>
      </c>
      <c r="AV70" s="14">
        <f>SUM('BCWS by JOB'!AV56)+AU70</f>
        <v>1352</v>
      </c>
      <c r="AW70" s="14">
        <f>SUM('BCWS by JOB'!AW56)+AV70</f>
        <v>1378</v>
      </c>
      <c r="AX70" s="14">
        <f>SUM('BCWS by JOB'!AX56)+AW70</f>
        <v>1410</v>
      </c>
      <c r="AY70" s="14">
        <f>SUM('BCWS by JOB'!AY56)+AX70</f>
        <v>1412</v>
      </c>
      <c r="AZ70" s="14"/>
    </row>
    <row r="71" spans="2:11" s="1" customFormat="1" ht="12.75">
      <c r="B71" s="479"/>
      <c r="C71" s="1163">
        <v>8203</v>
      </c>
      <c r="D71" s="1164"/>
      <c r="E71" s="1" t="s">
        <v>188</v>
      </c>
      <c r="F71" s="1">
        <f>SUM('BCWP by JOB'!D56)</f>
        <v>31</v>
      </c>
      <c r="G71" s="1">
        <f>SUM('BCWP by JOB'!E56)+F71</f>
        <v>60</v>
      </c>
      <c r="H71" s="1">
        <f>SUM('BCWP by JOB'!F56)+G71</f>
        <v>89</v>
      </c>
      <c r="I71" s="1">
        <f>SUM('BCWP by JOB'!G56)+H71</f>
        <v>130.90838007</v>
      </c>
      <c r="J71" s="1">
        <f>SUM('BCWP by JOB'!H56)+I71</f>
        <v>160.47</v>
      </c>
      <c r="K71" s="965">
        <f>SUM('BCWP by JOB'!I56)+J71</f>
        <v>194.2511</v>
      </c>
    </row>
    <row r="72" spans="2:11" s="1" customFormat="1" ht="12.75">
      <c r="B72" s="479"/>
      <c r="D72" s="11"/>
      <c r="E72" s="1" t="s">
        <v>189</v>
      </c>
      <c r="F72" s="240">
        <f>SUM('ACWP by JOB'!E56)</f>
        <v>5.07976</v>
      </c>
      <c r="G72" s="240">
        <f>SUM('ACWP by JOB'!F56)+F72</f>
        <v>10.31795</v>
      </c>
      <c r="H72" s="240">
        <f>SUM('ACWP by JOB'!G56)+G72</f>
        <v>11.958999487020458</v>
      </c>
      <c r="I72" s="240">
        <f>SUM('ACWP by JOB'!H56)+H72</f>
        <v>22.05199948702046</v>
      </c>
      <c r="J72" s="240">
        <f>SUM('ACWP by JOB'!I56)+I72</f>
        <v>36.56099948702046</v>
      </c>
      <c r="K72" s="966">
        <f>SUM('ACWP by JOB'!J56)+J72</f>
        <v>55.86599948702046</v>
      </c>
    </row>
    <row r="73" spans="2:11" s="1" customFormat="1" ht="12.75">
      <c r="B73" s="479"/>
      <c r="D73" s="11"/>
      <c r="E73" s="1" t="s">
        <v>191</v>
      </c>
      <c r="F73" s="339">
        <f aca="true" t="shared" si="22" ref="F73:K73">+F71/F72</f>
        <v>6.102650518922154</v>
      </c>
      <c r="G73" s="339">
        <f t="shared" si="22"/>
        <v>5.815108621383124</v>
      </c>
      <c r="H73" s="339">
        <f t="shared" si="22"/>
        <v>7.442094139781089</v>
      </c>
      <c r="I73" s="339">
        <f t="shared" si="22"/>
        <v>5.936349678724194</v>
      </c>
      <c r="J73" s="339">
        <f t="shared" si="22"/>
        <v>4.389103204275598</v>
      </c>
      <c r="K73" s="967">
        <f t="shared" si="22"/>
        <v>3.477089854002004</v>
      </c>
    </row>
    <row r="74" spans="2:11" s="1" customFormat="1" ht="12.75">
      <c r="B74" s="479"/>
      <c r="D74" s="11"/>
      <c r="E74" s="1" t="s">
        <v>190</v>
      </c>
      <c r="F74" s="339">
        <f aca="true" t="shared" si="23" ref="F74:K74">+F71/F70</f>
        <v>0.9393939393939394</v>
      </c>
      <c r="G74" s="339">
        <f t="shared" si="23"/>
        <v>0.9230769230769231</v>
      </c>
      <c r="H74" s="339">
        <f t="shared" si="23"/>
        <v>0.9175257731958762</v>
      </c>
      <c r="I74" s="339">
        <f t="shared" si="23"/>
        <v>0.9917301520454544</v>
      </c>
      <c r="J74" s="339">
        <f t="shared" si="23"/>
        <v>0.9967080745341614</v>
      </c>
      <c r="K74" s="967">
        <f t="shared" si="23"/>
        <v>0.9910770408163265</v>
      </c>
    </row>
    <row r="75" spans="2:9" s="1" customFormat="1" ht="12.75">
      <c r="B75" s="479"/>
      <c r="D75" s="11"/>
      <c r="F75" s="2"/>
      <c r="G75" s="2" t="s">
        <v>186</v>
      </c>
      <c r="H75" s="2"/>
      <c r="I75" s="2" t="s">
        <v>186</v>
      </c>
    </row>
    <row r="76" spans="2:52" s="1" customFormat="1" ht="12.75">
      <c r="B76" s="479"/>
      <c r="C76" s="1163" t="s">
        <v>603</v>
      </c>
      <c r="D76" s="1164"/>
      <c r="E76" s="1" t="s">
        <v>187</v>
      </c>
      <c r="F76" s="14">
        <f>SUM('BCWS by JOB'!F57)</f>
        <v>37</v>
      </c>
      <c r="G76" s="14">
        <f>SUM('BCWS by JOB'!G57)+F76</f>
        <v>73</v>
      </c>
      <c r="H76" s="14">
        <f>SUM('BCWS by JOB'!H57)+G76</f>
        <v>109</v>
      </c>
      <c r="I76" s="14">
        <f>SUM('BCWS by JOB'!I57)+H76</f>
        <v>148</v>
      </c>
      <c r="J76" s="14">
        <f>SUM('BCWS by JOB'!J57)+I76</f>
        <v>180</v>
      </c>
      <c r="K76" s="964">
        <f>SUM('BCWS by JOB'!K57)+J76</f>
        <v>207</v>
      </c>
      <c r="L76" s="14">
        <f>SUM('BCWS by JOB'!L57)+K76</f>
        <v>231</v>
      </c>
      <c r="M76" s="14">
        <f>SUM('BCWS by JOB'!M57)+L76</f>
        <v>249</v>
      </c>
      <c r="N76" s="14">
        <f>SUM('BCWS by JOB'!N57)+M76</f>
        <v>275</v>
      </c>
      <c r="O76" s="14">
        <f>SUM('BCWS by JOB'!O57)+N76</f>
        <v>300</v>
      </c>
      <c r="P76" s="14">
        <f>SUM('BCWS by JOB'!P57)+O76</f>
        <v>325</v>
      </c>
      <c r="Q76" s="14">
        <f>SUM('BCWS by JOB'!Q57)+P76</f>
        <v>351</v>
      </c>
      <c r="R76" s="14">
        <f>SUM('BCWS by JOB'!R57)+Q76</f>
        <v>376</v>
      </c>
      <c r="S76" s="14">
        <f>SUM('BCWS by JOB'!S57)+R76</f>
        <v>401</v>
      </c>
      <c r="T76" s="14">
        <f>SUM('BCWS by JOB'!T57)+S76</f>
        <v>427</v>
      </c>
      <c r="U76" s="14">
        <f>SUM('BCWS by JOB'!U57)+T76</f>
        <v>452</v>
      </c>
      <c r="V76" s="14">
        <f>SUM('BCWS by JOB'!V57)+U76</f>
        <v>477</v>
      </c>
      <c r="W76" s="14">
        <f>SUM('BCWS by JOB'!W57)+V76</f>
        <v>504</v>
      </c>
      <c r="X76" s="14">
        <f>SUM('BCWS by JOB'!X57)+W76</f>
        <v>525</v>
      </c>
      <c r="Y76" s="14">
        <f>SUM('BCWS by JOB'!Y57)+X76</f>
        <v>545</v>
      </c>
      <c r="Z76" s="14">
        <f>SUM('BCWS by JOB'!Z57)+Y76</f>
        <v>570</v>
      </c>
      <c r="AA76" s="14">
        <f>SUM('BCWS by JOB'!AA57)+Z76</f>
        <v>594</v>
      </c>
      <c r="AB76" s="14">
        <f>SUM('BCWS by JOB'!AB57)+AA76</f>
        <v>620</v>
      </c>
      <c r="AC76" s="14">
        <f>SUM('BCWS by JOB'!AC57)+AB76</f>
        <v>646</v>
      </c>
      <c r="AD76" s="14">
        <f>SUM('BCWS by JOB'!AD57)+AC76</f>
        <v>670</v>
      </c>
      <c r="AE76" s="14">
        <f>SUM('BCWS by JOB'!AE57)+AD76</f>
        <v>696</v>
      </c>
      <c r="AF76" s="14">
        <f>SUM('BCWS by JOB'!AF57)+AE76</f>
        <v>722</v>
      </c>
      <c r="AG76" s="14">
        <f>SUM('BCWS by JOB'!AG57)+AF76</f>
        <v>747</v>
      </c>
      <c r="AH76" s="14">
        <f>SUM('BCWS by JOB'!AH57)+AG76</f>
        <v>772</v>
      </c>
      <c r="AI76" s="14">
        <f>SUM('BCWS by JOB'!AI57)+AH76</f>
        <v>798</v>
      </c>
      <c r="AJ76" s="14">
        <f>SUM('BCWS by JOB'!AJ57)+AI76</f>
        <v>820</v>
      </c>
      <c r="AK76" s="14">
        <f>SUM('BCWS by JOB'!AK57)+AJ76</f>
        <v>839</v>
      </c>
      <c r="AL76" s="14">
        <f>SUM('BCWS by JOB'!AL57)+AK76</f>
        <v>863</v>
      </c>
      <c r="AM76" s="14">
        <f>SUM('BCWS by JOB'!AM57)+AL76</f>
        <v>887</v>
      </c>
      <c r="AN76" s="14">
        <f>SUM('BCWS by JOB'!AN57)+AM76</f>
        <v>914</v>
      </c>
      <c r="AO76" s="14">
        <f>SUM('BCWS by JOB'!AO57)+AN76</f>
        <v>940</v>
      </c>
      <c r="AP76" s="14">
        <f>SUM('BCWS by JOB'!AP57)+AO76</f>
        <v>964</v>
      </c>
      <c r="AQ76" s="14">
        <f>SUM('BCWS by JOB'!AQ57)+AP76</f>
        <v>990</v>
      </c>
      <c r="AR76" s="14">
        <f>SUM('BCWS by JOB'!AR57)+AQ76</f>
        <v>1015</v>
      </c>
      <c r="AS76" s="14">
        <f>SUM('BCWS by JOB'!AS57)+AR76</f>
        <v>1041</v>
      </c>
      <c r="AT76" s="14">
        <f>SUM('BCWS by JOB'!AT57)+AS76</f>
        <v>1066</v>
      </c>
      <c r="AU76" s="14">
        <f>SUM('BCWS by JOB'!AU57)+AT76</f>
        <v>1091</v>
      </c>
      <c r="AV76" s="14">
        <f>SUM('BCWS by JOB'!AV57)+AU76</f>
        <v>1115</v>
      </c>
      <c r="AW76" s="14">
        <f>SUM('BCWS by JOB'!AW57)+AV76</f>
        <v>1135</v>
      </c>
      <c r="AX76" s="14">
        <f>SUM('BCWS by JOB'!AX57)+AW76</f>
        <v>1160</v>
      </c>
      <c r="AY76" s="14"/>
      <c r="AZ76" s="14" t="s">
        <v>186</v>
      </c>
    </row>
    <row r="77" spans="2:11" s="1" customFormat="1" ht="12.75">
      <c r="B77" s="479"/>
      <c r="C77" s="1163">
        <v>8204</v>
      </c>
      <c r="D77" s="1164"/>
      <c r="E77" s="1" t="s">
        <v>188</v>
      </c>
      <c r="F77" s="1">
        <f>SUM('BCWP by JOB'!D57)</f>
        <v>35</v>
      </c>
      <c r="G77" s="1">
        <f>SUM('BCWP by JOB'!E57)+F77</f>
        <v>69</v>
      </c>
      <c r="H77" s="1">
        <f>SUM('BCWP by JOB'!F57)+G77</f>
        <v>103</v>
      </c>
      <c r="I77" s="1">
        <f>SUM('BCWP by JOB'!G57)+H77</f>
        <v>147.91024786999995</v>
      </c>
      <c r="J77" s="1">
        <f>SUM('BCWP by JOB'!H57)+I77</f>
        <v>180.95</v>
      </c>
      <c r="K77" s="965">
        <f>SUM('BCWP by JOB'!I57)+J77</f>
        <v>207.311</v>
      </c>
    </row>
    <row r="78" spans="2:11" s="1" customFormat="1" ht="12.75">
      <c r="B78" s="479"/>
      <c r="D78" s="11"/>
      <c r="E78" s="1" t="s">
        <v>189</v>
      </c>
      <c r="F78" s="240">
        <f>SUM('ACWP by JOB'!E57)</f>
        <v>42.5836</v>
      </c>
      <c r="G78" s="240">
        <f>SUM('ACWP by JOB'!F57)+F78</f>
        <v>95.73588</v>
      </c>
      <c r="H78" s="240">
        <f>SUM('ACWP by JOB'!G57)+G78</f>
        <v>142.84429825010403</v>
      </c>
      <c r="I78" s="240">
        <f>SUM('ACWP by JOB'!H57)+H78</f>
        <v>193.31329825010403</v>
      </c>
      <c r="J78" s="240">
        <f>SUM('ACWP by JOB'!I57)+I78</f>
        <v>225.40929825010403</v>
      </c>
      <c r="K78" s="966">
        <f>SUM('ACWP by JOB'!J57)+J78</f>
        <v>272.063298250104</v>
      </c>
    </row>
    <row r="79" spans="2:11" s="1" customFormat="1" ht="12.75">
      <c r="B79" s="479"/>
      <c r="D79" s="11"/>
      <c r="E79" s="1" t="s">
        <v>191</v>
      </c>
      <c r="F79" s="339">
        <f aca="true" t="shared" si="24" ref="F79:K79">+F77/F78</f>
        <v>0.8219126612122978</v>
      </c>
      <c r="G79" s="339">
        <f t="shared" si="24"/>
        <v>0.7207329164363455</v>
      </c>
      <c r="H79" s="339">
        <f t="shared" si="24"/>
        <v>0.7210648325609663</v>
      </c>
      <c r="I79" s="339">
        <f t="shared" si="24"/>
        <v>0.7651322966857524</v>
      </c>
      <c r="J79" s="339">
        <f t="shared" si="24"/>
        <v>0.8027619153457725</v>
      </c>
      <c r="K79" s="967">
        <f t="shared" si="24"/>
        <v>0.7619954669865903</v>
      </c>
    </row>
    <row r="80" spans="2:11" s="1" customFormat="1" ht="12.75">
      <c r="B80" s="479"/>
      <c r="D80" s="11"/>
      <c r="E80" s="1" t="s">
        <v>190</v>
      </c>
      <c r="F80" s="339">
        <f aca="true" t="shared" si="25" ref="F80:K80">+F77/F76</f>
        <v>0.9459459459459459</v>
      </c>
      <c r="G80" s="339">
        <f t="shared" si="25"/>
        <v>0.9452054794520548</v>
      </c>
      <c r="H80" s="339">
        <f t="shared" si="25"/>
        <v>0.944954128440367</v>
      </c>
      <c r="I80" s="339">
        <f t="shared" si="25"/>
        <v>0.9993935666891889</v>
      </c>
      <c r="J80" s="339">
        <f t="shared" si="25"/>
        <v>1.0052777777777777</v>
      </c>
      <c r="K80" s="967">
        <f t="shared" si="25"/>
        <v>1.0015024154589371</v>
      </c>
    </row>
    <row r="81" spans="2:9" s="1" customFormat="1" ht="6" customHeight="1">
      <c r="B81" s="479"/>
      <c r="D81" s="11"/>
      <c r="F81" s="339"/>
      <c r="G81" s="339"/>
      <c r="H81" s="339"/>
      <c r="I81" s="339"/>
    </row>
    <row r="82" spans="2:52" s="1" customFormat="1" ht="12.75">
      <c r="B82" s="479"/>
      <c r="C82" s="1163" t="s">
        <v>720</v>
      </c>
      <c r="D82" s="1164"/>
      <c r="E82" s="1" t="s">
        <v>187</v>
      </c>
      <c r="F82" s="14">
        <f>SUM('BCWS by JOB'!F58)</f>
        <v>0</v>
      </c>
      <c r="G82" s="14">
        <f>SUM('BCWS by JOB'!G58)+F82</f>
        <v>27</v>
      </c>
      <c r="H82" s="14">
        <f>SUM('BCWS by JOB'!H58)+G82</f>
        <v>54</v>
      </c>
      <c r="I82" s="14">
        <f>SUM('BCWS by JOB'!I58)+H82</f>
        <v>84</v>
      </c>
      <c r="J82" s="14">
        <f>SUM('BCWS by JOB'!J58)+I82</f>
        <v>102</v>
      </c>
      <c r="K82" s="964">
        <f>SUM('BCWS by JOB'!K58)+J82</f>
        <v>123</v>
      </c>
      <c r="L82" s="14">
        <f>SUM('BCWS by JOB'!L58)+K82</f>
        <v>143</v>
      </c>
      <c r="M82" s="14">
        <f>SUM('BCWS by JOB'!M58)+L82</f>
        <v>158</v>
      </c>
      <c r="N82" s="14">
        <f>SUM('BCWS by JOB'!N58)+M82</f>
        <v>180</v>
      </c>
      <c r="O82" s="14">
        <f>SUM('BCWS by JOB'!O58)+N82</f>
        <v>205</v>
      </c>
      <c r="P82" s="14">
        <f>SUM('BCWS by JOB'!P58)+O82</f>
        <v>240</v>
      </c>
      <c r="Q82" s="14">
        <f>SUM('BCWS by JOB'!Q58)+P82</f>
        <v>277</v>
      </c>
      <c r="R82" s="14">
        <f>SUM('BCWS by JOB'!R58)+Q82</f>
        <v>312</v>
      </c>
      <c r="S82" s="14">
        <f>SUM('BCWS by JOB'!S58)+R82</f>
        <v>330</v>
      </c>
      <c r="T82" s="14">
        <f>SUM('BCWS by JOB'!T58)+S82</f>
        <v>342</v>
      </c>
      <c r="U82" s="14">
        <f>SUM('BCWS by JOB'!U58)+T82</f>
        <v>354</v>
      </c>
      <c r="V82" s="14">
        <f>SUM('BCWS by JOB'!V58)+U82</f>
        <v>366</v>
      </c>
      <c r="W82" s="14">
        <f>SUM('BCWS by JOB'!W58)+V82</f>
        <v>379</v>
      </c>
      <c r="X82" s="14">
        <f>SUM('BCWS by JOB'!X58)+W82</f>
        <v>393</v>
      </c>
      <c r="Y82" s="14">
        <f>SUM('BCWS by JOB'!Y58)+X82</f>
        <v>407</v>
      </c>
      <c r="Z82" s="14">
        <f>SUM('BCWS by JOB'!Z58)+Y82</f>
        <v>425</v>
      </c>
      <c r="AA82" s="14">
        <f>SUM('BCWS by JOB'!AA58)+Z82</f>
        <v>443</v>
      </c>
      <c r="AB82" s="14">
        <f>SUM('BCWS by JOB'!AB58)+AA82</f>
        <v>459</v>
      </c>
      <c r="AC82" s="14">
        <f>SUM('BCWS by JOB'!AC58)+AB82</f>
        <v>475</v>
      </c>
      <c r="AD82" s="14">
        <f>SUM('BCWS by JOB'!AD58)+AC82</f>
        <v>489</v>
      </c>
      <c r="AE82" s="14">
        <f>SUM('BCWS by JOB'!AE58)+AD82</f>
        <v>500</v>
      </c>
      <c r="AF82" s="14">
        <f>SUM('BCWS by JOB'!AF58)+AE82</f>
        <v>509</v>
      </c>
      <c r="AG82" s="14">
        <f>SUM('BCWS by JOB'!AG58)+AF82</f>
        <v>518</v>
      </c>
      <c r="AH82" s="14">
        <f>SUM('BCWS by JOB'!AH58)+AG82</f>
        <v>527</v>
      </c>
      <c r="AI82" s="14">
        <f>SUM('BCWS by JOB'!AI58)+AH82</f>
        <v>536</v>
      </c>
      <c r="AJ82" s="14">
        <f>SUM('BCWS by JOB'!AJ58)+AI82</f>
        <v>542</v>
      </c>
      <c r="AK82" s="14">
        <f>SUM('BCWS by JOB'!AK58)+AJ82</f>
        <v>545</v>
      </c>
      <c r="AL82" s="14">
        <f>SUM('BCWS by JOB'!AL58)+AK82</f>
        <v>549</v>
      </c>
      <c r="AM82" s="14">
        <f>SUM('BCWS by JOB'!AM58)+AL82</f>
        <v>553</v>
      </c>
      <c r="AN82" s="14">
        <f>SUM('BCWS by JOB'!AN58)+AM82</f>
        <v>557</v>
      </c>
      <c r="AO82" s="14">
        <f>SUM('BCWS by JOB'!AO58)+AN82</f>
        <v>561</v>
      </c>
      <c r="AP82" s="14">
        <f>SUM('BCWS by JOB'!AP58)+AO82</f>
        <v>565</v>
      </c>
      <c r="AQ82" s="14">
        <f>SUM('BCWS by JOB'!AQ58)+AP82</f>
        <v>569</v>
      </c>
      <c r="AR82" s="14">
        <f>SUM('BCWS by JOB'!AR58)+AQ82</f>
        <v>573</v>
      </c>
      <c r="AS82" s="14">
        <f>SUM('BCWS by JOB'!AS58)+AR82</f>
        <v>577</v>
      </c>
      <c r="AT82" s="14">
        <f>SUM('BCWS by JOB'!AT58)+AS82</f>
        <v>581</v>
      </c>
      <c r="AU82" s="14">
        <f>SUM('BCWS by JOB'!AU58)+AT82</f>
        <v>585</v>
      </c>
      <c r="AV82" s="14">
        <f>SUM('BCWS by JOB'!AV58)+AU82</f>
        <v>589</v>
      </c>
      <c r="AW82" s="14">
        <f>SUM('BCWS by JOB'!AW58)+AV82</f>
        <v>592</v>
      </c>
      <c r="AX82" s="14"/>
      <c r="AY82" s="14"/>
      <c r="AZ82" s="14" t="s">
        <v>186</v>
      </c>
    </row>
    <row r="83" spans="2:11" s="1" customFormat="1" ht="12.75">
      <c r="B83" s="479"/>
      <c r="C83" s="1163">
        <v>8205</v>
      </c>
      <c r="D83" s="1164"/>
      <c r="E83" s="1" t="s">
        <v>188</v>
      </c>
      <c r="F83" s="1">
        <f>SUM('BCWP by JOB'!D58)</f>
        <v>0</v>
      </c>
      <c r="G83" s="1">
        <f>SUM('BCWP by JOB'!E58)+F83</f>
        <v>21</v>
      </c>
      <c r="H83" s="1">
        <f>SUM('BCWP by JOB'!F58)+G83</f>
        <v>42</v>
      </c>
      <c r="I83" s="1">
        <f>SUM('BCWP by JOB'!G58)+H83</f>
        <v>75.26736</v>
      </c>
      <c r="J83" s="1">
        <f>SUM('BCWP by JOB'!H58)+I83</f>
        <v>76</v>
      </c>
      <c r="K83" s="965">
        <f>SUM('BCWP by JOB'!I58)+J83</f>
        <v>87.581</v>
      </c>
    </row>
    <row r="84" spans="2:11" s="1" customFormat="1" ht="12.75">
      <c r="B84" s="479"/>
      <c r="D84" s="11"/>
      <c r="E84" s="1" t="s">
        <v>189</v>
      </c>
      <c r="F84" s="240">
        <f>SUM('ACWP by JOB'!E58)</f>
        <v>17.50684</v>
      </c>
      <c r="G84" s="240">
        <f>SUM('ACWP by JOB'!F58)+F84</f>
        <v>37.58991</v>
      </c>
      <c r="H84" s="240">
        <f>SUM('ACWP by JOB'!G58)+G84</f>
        <v>60.08210772351456</v>
      </c>
      <c r="I84" s="240">
        <f>SUM('ACWP by JOB'!H58)+H84</f>
        <v>81.55410772351456</v>
      </c>
      <c r="J84" s="240">
        <f>SUM('ACWP by JOB'!I58)+I84</f>
        <v>92.09610772351456</v>
      </c>
      <c r="K84" s="966">
        <f>SUM('ACWP by JOB'!J58)+J84</f>
        <v>96.13410772351456</v>
      </c>
    </row>
    <row r="85" spans="2:11" s="1" customFormat="1" ht="12.75">
      <c r="B85" s="479"/>
      <c r="D85" s="11"/>
      <c r="E85" s="1" t="s">
        <v>191</v>
      </c>
      <c r="F85" s="339">
        <f aca="true" t="shared" si="26" ref="F85:K85">+F83/F84</f>
        <v>0</v>
      </c>
      <c r="G85" s="339">
        <f t="shared" si="26"/>
        <v>0.5586605554522477</v>
      </c>
      <c r="H85" s="339">
        <f t="shared" si="26"/>
        <v>0.6990433856494402</v>
      </c>
      <c r="I85" s="339">
        <f t="shared" si="26"/>
        <v>0.9229131689500184</v>
      </c>
      <c r="J85" s="339">
        <f t="shared" si="26"/>
        <v>0.8252248860306091</v>
      </c>
      <c r="K85" s="967">
        <f t="shared" si="26"/>
        <v>0.9110294158228043</v>
      </c>
    </row>
    <row r="86" spans="2:11" s="1" customFormat="1" ht="12.75">
      <c r="B86" s="479"/>
      <c r="D86" s="11"/>
      <c r="E86" s="1" t="s">
        <v>190</v>
      </c>
      <c r="F86" s="339"/>
      <c r="G86" s="339">
        <f>+G83/G82</f>
        <v>0.7777777777777778</v>
      </c>
      <c r="H86" s="339">
        <f>+H83/H82</f>
        <v>0.7777777777777778</v>
      </c>
      <c r="I86" s="339">
        <f>+I83/I82</f>
        <v>0.89604</v>
      </c>
      <c r="J86" s="339">
        <f>+J83/J82</f>
        <v>0.7450980392156863</v>
      </c>
      <c r="K86" s="967">
        <f>+K83/K82</f>
        <v>0.7120406504065041</v>
      </c>
    </row>
    <row r="87" spans="2:9" s="1" customFormat="1" ht="6" customHeight="1">
      <c r="B87" s="479"/>
      <c r="D87" s="11"/>
      <c r="F87" s="339"/>
      <c r="G87" s="339"/>
      <c r="H87" s="339"/>
      <c r="I87" s="339"/>
    </row>
    <row r="88" spans="2:53" s="1" customFormat="1" ht="12.75">
      <c r="B88" s="479"/>
      <c r="C88" s="1163" t="s">
        <v>604</v>
      </c>
      <c r="D88" s="1164"/>
      <c r="E88" s="1" t="s">
        <v>187</v>
      </c>
      <c r="F88" s="14">
        <f>SUM('BCWS by JOB'!F20:F23)</f>
        <v>14</v>
      </c>
      <c r="G88" s="14">
        <f>SUM('BCWS by JOB'!G20:G23)+F88</f>
        <v>31</v>
      </c>
      <c r="H88" s="14">
        <f>SUM('BCWS by JOB'!H20:H23)+G88</f>
        <v>55</v>
      </c>
      <c r="I88" s="14">
        <f>SUM('BCWS by JOB'!I20:I23)+H88</f>
        <v>153</v>
      </c>
      <c r="J88" s="14">
        <f>SUM('BCWS by JOB'!J20:J23)+I88</f>
        <v>192</v>
      </c>
      <c r="K88" s="14">
        <f>SUM('BCWS by JOB'!K20:K23)+J88</f>
        <v>252</v>
      </c>
      <c r="L88" s="14">
        <f>SUM('BCWS by JOB'!L20:L23)+K88</f>
        <v>278</v>
      </c>
      <c r="M88" s="14">
        <f>SUM('BCWS by JOB'!M20:M23)+L88</f>
        <v>297</v>
      </c>
      <c r="N88" s="14">
        <f>SUM('BCWS by JOB'!N20:N23)+M88</f>
        <v>309</v>
      </c>
      <c r="O88" s="14">
        <f>SUM('BCWS by JOB'!O20:O23)+N88</f>
        <v>312</v>
      </c>
      <c r="P88" s="14">
        <f>SUM('BCWS by JOB'!P20:P23)+O88</f>
        <v>314</v>
      </c>
      <c r="Q88" s="14">
        <f>SUM('BCWS by JOB'!Q20:Q23)+P88</f>
        <v>317</v>
      </c>
      <c r="R88" s="14">
        <f>SUM('BCWS by JOB'!R20:R23)+Q88</f>
        <v>319</v>
      </c>
      <c r="S88" s="14">
        <f>SUM('BCWS by JOB'!S20:S23)+R88</f>
        <v>321</v>
      </c>
      <c r="T88" s="14">
        <f>SUM('BCWS by JOB'!T20:T23)+S88</f>
        <v>324</v>
      </c>
      <c r="U88" s="14">
        <f>SUM('BCWS by JOB'!U20:U23)+T88</f>
        <v>326</v>
      </c>
      <c r="V88" s="14">
        <f>SUM('BCWS by JOB'!V20:V23)+U88</f>
        <v>328</v>
      </c>
      <c r="W88" s="14">
        <f>SUM('BCWS by JOB'!W20:W23)+V88</f>
        <v>331</v>
      </c>
      <c r="X88" s="14">
        <f>SUM('BCWS by JOB'!X20:X23)+W88</f>
        <v>333</v>
      </c>
      <c r="Y88" s="14">
        <f>SUM('BCWS by JOB'!Y20:Y23)+X88</f>
        <v>335</v>
      </c>
      <c r="Z88" s="14">
        <f>SUM('BCWS by JOB'!Z20:Z23)+Y88</f>
        <v>338</v>
      </c>
      <c r="AA88" s="14">
        <f>SUM('BCWS by JOB'!AA20:AA23)+Z88</f>
        <v>340</v>
      </c>
      <c r="AB88" s="14">
        <f>SUM('BCWS by JOB'!AB20:AB23)+AA88</f>
        <v>368</v>
      </c>
      <c r="AC88" s="14">
        <f>SUM('BCWS by JOB'!AC20:AC23)+AB88</f>
        <v>395</v>
      </c>
      <c r="AD88" s="14">
        <f>SUM('BCWS by JOB'!AD20:AD23)+AC88</f>
        <v>425</v>
      </c>
      <c r="AE88" s="14">
        <f>SUM('BCWS by JOB'!AE20:AE23)+AD88</f>
        <v>452</v>
      </c>
      <c r="AF88" s="14">
        <f>SUM('BCWS by JOB'!AF20:AF23)+AE88</f>
        <v>455</v>
      </c>
      <c r="AG88" s="14">
        <f>SUM('BCWS by JOB'!AG20:AG23)+AF88</f>
        <v>458</v>
      </c>
      <c r="AH88" s="14">
        <f>SUM('BCWS by JOB'!AH20:AH23)+AG88</f>
        <v>460</v>
      </c>
      <c r="AI88" s="14">
        <f>SUM('BCWS by JOB'!AI20:AI23)+AH88</f>
        <v>498</v>
      </c>
      <c r="AJ88" s="14">
        <f>SUM('BCWS by JOB'!AJ20:AJ23)+AI88</f>
        <v>531</v>
      </c>
      <c r="AK88" s="14">
        <f>SUM('BCWS by JOB'!AK20:AK23)+AJ88</f>
        <v>553</v>
      </c>
      <c r="AL88" s="14">
        <f>SUM('BCWS by JOB'!AL20:AL23)+AK88</f>
        <v>586</v>
      </c>
      <c r="AM88" s="14">
        <f>SUM('BCWS by JOB'!AM20:AM23)+AL88</f>
        <v>622</v>
      </c>
      <c r="AN88" s="14">
        <f>SUM('BCWS by JOB'!AN20:AN23)+AM88</f>
        <v>668</v>
      </c>
      <c r="AO88" s="14">
        <f>SUM('BCWS by JOB'!AO20:AO23)+AN88</f>
        <v>690</v>
      </c>
      <c r="AP88" s="14">
        <f>SUM('BCWS by JOB'!AP20:AP23)+AO88</f>
        <v>695</v>
      </c>
      <c r="AQ88" s="14">
        <f>SUM('BCWS by JOB'!AQ20:AQ23)+AP88</f>
        <v>701</v>
      </c>
      <c r="AR88" s="14">
        <f>SUM('BCWS by JOB'!AR20:AR23)+AQ88</f>
        <v>706</v>
      </c>
      <c r="AS88" s="14">
        <f>SUM('BCWS by JOB'!AS20:AS23)+AR88</f>
        <v>712</v>
      </c>
      <c r="AT88" s="14">
        <f>SUM('BCWS by JOB'!AT20:AT23)+AS88</f>
        <v>717</v>
      </c>
      <c r="AU88" s="14"/>
      <c r="AV88" s="14"/>
      <c r="AW88" s="14"/>
      <c r="AX88" s="14"/>
      <c r="AY88" s="14"/>
      <c r="AZ88" s="14"/>
      <c r="BA88" s="14"/>
    </row>
    <row r="89" spans="2:11" s="1" customFormat="1" ht="12.75">
      <c r="B89" s="479"/>
      <c r="C89" s="1163" t="s">
        <v>621</v>
      </c>
      <c r="D89" s="1164"/>
      <c r="E89" s="1" t="s">
        <v>188</v>
      </c>
      <c r="F89" s="1">
        <f>SUM('BCWP by JOB'!D20:D23)</f>
        <v>14</v>
      </c>
      <c r="G89" s="1">
        <f>SUM('BCWP by JOB'!E20:E23)+F89</f>
        <v>58</v>
      </c>
      <c r="H89" s="1">
        <f>SUM('BCWP by JOB'!F20:F23)+G89</f>
        <v>114</v>
      </c>
      <c r="I89" s="1">
        <f>SUM('BCWP by JOB'!G20:G23)+H89</f>
        <v>148.26610024000001</v>
      </c>
      <c r="J89" s="1">
        <f>SUM('BCWP by JOB'!H20:H23)+I89</f>
        <v>155.78051166000003</v>
      </c>
      <c r="K89" s="1">
        <f>SUM('BCWP by JOB'!I20:I23)+J89</f>
        <v>160.581</v>
      </c>
    </row>
    <row r="90" spans="2:11" s="1" customFormat="1" ht="12.75">
      <c r="B90" s="479"/>
      <c r="D90" s="11"/>
      <c r="E90" s="1" t="s">
        <v>189</v>
      </c>
      <c r="F90" s="240">
        <f>SUM('ACWP by JOB'!E20:E23)</f>
        <v>29.68733</v>
      </c>
      <c r="G90" s="240">
        <f>SUM('ACWP by JOB'!F20:F23)+F90</f>
        <v>49.77378</v>
      </c>
      <c r="H90" s="240">
        <f>SUM('ACWP by JOB'!G20:G23)+G90</f>
        <v>94.68383434316308</v>
      </c>
      <c r="I90" s="240">
        <f>SUM('ACWP by JOB'!H20:H23)+H90</f>
        <v>129.37283434316308</v>
      </c>
      <c r="J90" s="240">
        <f>SUM('ACWP by JOB'!I20:I23)+I90</f>
        <v>141.17183434316308</v>
      </c>
      <c r="K90" s="240">
        <f>SUM('ACWP by JOB'!J20:J23)+J90</f>
        <v>145.53283434316307</v>
      </c>
    </row>
    <row r="91" spans="2:11" s="1" customFormat="1" ht="12.75">
      <c r="B91" s="479"/>
      <c r="D91" s="11"/>
      <c r="E91" s="1" t="s">
        <v>191</v>
      </c>
      <c r="F91" s="339">
        <f aca="true" t="shared" si="27" ref="F91:K91">+F89/F90</f>
        <v>0.47158164779385686</v>
      </c>
      <c r="G91" s="339">
        <f t="shared" si="27"/>
        <v>1.1652721573487084</v>
      </c>
      <c r="H91" s="339">
        <f t="shared" si="27"/>
        <v>1.2040070070127202</v>
      </c>
      <c r="I91" s="339">
        <f t="shared" si="27"/>
        <v>1.1460373500569858</v>
      </c>
      <c r="J91" s="339">
        <f t="shared" si="27"/>
        <v>1.1034815293348523</v>
      </c>
      <c r="K91" s="339">
        <f t="shared" si="27"/>
        <v>1.1034004850160046</v>
      </c>
    </row>
    <row r="92" spans="2:11" s="1" customFormat="1" ht="12.75">
      <c r="B92" s="479"/>
      <c r="D92" s="11"/>
      <c r="E92" s="1" t="s">
        <v>190</v>
      </c>
      <c r="F92" s="339">
        <f aca="true" t="shared" si="28" ref="F92:K92">+F89/F88</f>
        <v>1</v>
      </c>
      <c r="G92" s="339">
        <f t="shared" si="28"/>
        <v>1.8709677419354838</v>
      </c>
      <c r="H92" s="339">
        <f t="shared" si="28"/>
        <v>2.0727272727272728</v>
      </c>
      <c r="I92" s="339">
        <f t="shared" si="28"/>
        <v>0.9690594786928105</v>
      </c>
      <c r="J92" s="339">
        <f t="shared" si="28"/>
        <v>0.8113568315625002</v>
      </c>
      <c r="K92" s="339">
        <f t="shared" si="28"/>
        <v>0.6372261904761904</v>
      </c>
    </row>
    <row r="93" spans="2:9" s="1" customFormat="1" ht="6.75" customHeight="1">
      <c r="B93" s="479"/>
      <c r="D93" s="11"/>
      <c r="F93" s="339"/>
      <c r="G93" s="339"/>
      <c r="H93" s="339"/>
      <c r="I93" s="339"/>
    </row>
    <row r="94" spans="2:58" s="1" customFormat="1" ht="12.75">
      <c r="B94" s="479"/>
      <c r="C94" s="1163" t="s">
        <v>721</v>
      </c>
      <c r="D94" s="1164"/>
      <c r="E94" s="1" t="s">
        <v>187</v>
      </c>
      <c r="F94" s="14">
        <f>SUM('BCWS by JOB'!F35:F36)</f>
        <v>5</v>
      </c>
      <c r="G94" s="14">
        <f>SUM('BCWS by JOB'!G35:G36)+F94</f>
        <v>5</v>
      </c>
      <c r="H94" s="14">
        <f>SUM('BCWS by JOB'!H35:H36)+G94</f>
        <v>5</v>
      </c>
      <c r="I94" s="14">
        <f>SUM('BCWS by JOB'!I35:I36)+H94</f>
        <v>14</v>
      </c>
      <c r="J94" s="14">
        <f>SUM('BCWS by JOB'!J35:J36)+I94</f>
        <v>44</v>
      </c>
      <c r="K94" s="964">
        <f>SUM('BCWS by JOB'!K35:K36)+J94</f>
        <v>79</v>
      </c>
      <c r="L94" s="14">
        <f>SUM('BCWS by JOB'!L35:L36)+K94</f>
        <v>104</v>
      </c>
      <c r="M94" s="14">
        <f>SUM('BCWS by JOB'!M35:M36)+L94</f>
        <v>134</v>
      </c>
      <c r="N94" s="14">
        <f>SUM('BCWS by JOB'!N35:N36)+M94</f>
        <v>182</v>
      </c>
      <c r="O94" s="14">
        <f>SUM('BCWS by JOB'!O35:O36)+N94</f>
        <v>214</v>
      </c>
      <c r="P94" s="14">
        <f>SUM('BCWS by JOB'!P35:P36)+O94</f>
        <v>251</v>
      </c>
      <c r="Q94" s="14">
        <f>SUM('BCWS by JOB'!Q35:Q36)+P94</f>
        <v>282</v>
      </c>
      <c r="R94" s="14">
        <f>SUM('BCWS by JOB'!R35:R36)+Q94</f>
        <v>322</v>
      </c>
      <c r="S94" s="14">
        <f>SUM('BCWS by JOB'!S35:S36)+R94</f>
        <v>458</v>
      </c>
      <c r="T94" s="14">
        <f>SUM('BCWS by JOB'!T35:T36)+S94</f>
        <v>631</v>
      </c>
      <c r="U94" s="14">
        <f>SUM('BCWS by JOB'!U35:U36)+T94</f>
        <v>956</v>
      </c>
      <c r="V94" s="14">
        <f>SUM('BCWS by JOB'!V35:V36)+U94</f>
        <v>1226</v>
      </c>
      <c r="W94" s="14">
        <f>SUM('BCWS by JOB'!W35:W36)+V94</f>
        <v>1409</v>
      </c>
      <c r="X94" s="14">
        <f>SUM('BCWS by JOB'!X35:X36)+W94</f>
        <v>1510</v>
      </c>
      <c r="Y94" s="14">
        <f>SUM('BCWS by JOB'!Y35:Y36)+X94</f>
        <v>1566</v>
      </c>
      <c r="Z94" s="14">
        <f>SUM('BCWS by JOB'!Z35:Z36)+Y94</f>
        <v>1629</v>
      </c>
      <c r="AA94" s="14">
        <f>SUM('BCWS by JOB'!AA35:AA36)+Z94</f>
        <v>1694</v>
      </c>
      <c r="AB94" s="14">
        <f>SUM('BCWS by JOB'!AB35:AB36)+AA94</f>
        <v>1758</v>
      </c>
      <c r="AC94" s="14">
        <f>SUM('BCWS by JOB'!AC35:AC36)+AB94</f>
        <v>1827</v>
      </c>
      <c r="AD94" s="14">
        <f>SUM('BCWS by JOB'!AD35:AD36)+AC94</f>
        <v>1859</v>
      </c>
      <c r="AE94" s="14">
        <f>SUM('BCWS by JOB'!AE35:AE36)+AD94</f>
        <v>1859</v>
      </c>
      <c r="AF94" s="14">
        <f>SUM('BCWS by JOB'!AF35:AF36)+AE94</f>
        <v>1859</v>
      </c>
      <c r="AG94" s="14">
        <f>SUM('BCWS by JOB'!AG35:AG36)+AF94</f>
        <v>1859</v>
      </c>
      <c r="AH94" s="14">
        <f>SUM('BCWS by JOB'!AH35:AH36)+AG94</f>
        <v>1859</v>
      </c>
      <c r="AI94" s="14">
        <f>SUM('BCWS by JOB'!AI35:AI36)+AH94</f>
        <v>1859</v>
      </c>
      <c r="AJ94" s="14">
        <f>SUM('BCWS by JOB'!AJ35:AJ36)+AI94</f>
        <v>1859</v>
      </c>
      <c r="AK94" s="14">
        <f>SUM('BCWS by JOB'!AK35:AK36)+AJ94</f>
        <v>1859</v>
      </c>
      <c r="AL94" s="14">
        <f>SUM('BCWS by JOB'!AL35:AL36)+AK94</f>
        <v>1859</v>
      </c>
      <c r="AM94" s="14">
        <f>SUM('BCWS by JOB'!AM35:AM36)+AL94</f>
        <v>1861</v>
      </c>
      <c r="AN94" s="14">
        <f>SUM('BCWS by JOB'!AN35:AN36)+AM94</f>
        <v>1873</v>
      </c>
      <c r="AO94" s="14">
        <f>SUM('BCWS by JOB'!AO35:AO36)+AN94</f>
        <v>1887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F94" s="1" t="s">
        <v>186</v>
      </c>
    </row>
    <row r="95" spans="2:11" s="1" customFormat="1" ht="12.75">
      <c r="B95" s="479"/>
      <c r="C95" s="1163" t="s">
        <v>605</v>
      </c>
      <c r="D95" s="1164"/>
      <c r="E95" s="1" t="s">
        <v>188</v>
      </c>
      <c r="F95" s="1">
        <f>SUM('BCWP by JOB'!D35:D36)</f>
        <v>5</v>
      </c>
      <c r="G95" s="1">
        <f>SUM('BCWP by JOB'!E35:E36)+F95</f>
        <v>5</v>
      </c>
      <c r="H95" s="1">
        <f>SUM('BCWP by JOB'!F35:F36)+G95</f>
        <v>5</v>
      </c>
      <c r="I95" s="1">
        <f>SUM('BCWP by JOB'!G35:G36)+H95</f>
        <v>47.332460999999995</v>
      </c>
      <c r="J95" s="1">
        <f>SUM('BCWP by JOB'!H35:H36)+I95</f>
        <v>60.35</v>
      </c>
      <c r="K95" s="965">
        <f>SUM('BCWP by JOB'!I35:I36)+J95</f>
        <v>61.085</v>
      </c>
    </row>
    <row r="96" spans="2:11" s="1" customFormat="1" ht="12.75">
      <c r="B96" s="479"/>
      <c r="D96" s="11"/>
      <c r="E96" s="1" t="s">
        <v>189</v>
      </c>
      <c r="F96" s="240">
        <f>SUM('ACWP by JOB'!E35:E36)</f>
        <v>4.260039999999999</v>
      </c>
      <c r="G96" s="240">
        <f>SUM('ACWP by JOB'!F35:F36)+F96</f>
        <v>5.800679999999999</v>
      </c>
      <c r="H96" s="240">
        <f>SUM('ACWP by JOB'!G35:G36)+G96</f>
        <v>7.206003202384923</v>
      </c>
      <c r="I96" s="240">
        <f>SUM('ACWP by JOB'!H35:H36)+H96</f>
        <v>13.784003202384923</v>
      </c>
      <c r="J96" s="240">
        <f>SUM('ACWP by JOB'!I35:I36)+I96</f>
        <v>44.38500320238492</v>
      </c>
      <c r="K96" s="966">
        <f>SUM('ACWP by JOB'!J35:J36)+J96</f>
        <v>47.60200320238492</v>
      </c>
    </row>
    <row r="97" spans="2:12" s="1" customFormat="1" ht="12.75">
      <c r="B97" s="479"/>
      <c r="D97" s="11"/>
      <c r="E97" s="1" t="s">
        <v>191</v>
      </c>
      <c r="F97" s="339">
        <f aca="true" t="shared" si="29" ref="F97:K97">+F95/F96</f>
        <v>1.1736978995502392</v>
      </c>
      <c r="G97" s="339">
        <f t="shared" si="29"/>
        <v>0.8619679072108789</v>
      </c>
      <c r="H97" s="339">
        <f t="shared" si="29"/>
        <v>0.6938659142345626</v>
      </c>
      <c r="I97" s="339">
        <f t="shared" si="29"/>
        <v>3.433868978774648</v>
      </c>
      <c r="J97" s="339">
        <f t="shared" si="29"/>
        <v>1.3596934920747563</v>
      </c>
      <c r="K97" s="967">
        <f t="shared" si="29"/>
        <v>1.2832443151665425</v>
      </c>
      <c r="L97" s="1" t="s">
        <v>186</v>
      </c>
    </row>
    <row r="98" spans="2:11" s="1" customFormat="1" ht="12.75">
      <c r="B98" s="479"/>
      <c r="D98" s="11"/>
      <c r="E98" s="1" t="s">
        <v>190</v>
      </c>
      <c r="F98" s="339">
        <f aca="true" t="shared" si="30" ref="F98:K98">+F95/F94</f>
        <v>1</v>
      </c>
      <c r="G98" s="339">
        <f t="shared" si="30"/>
        <v>1</v>
      </c>
      <c r="H98" s="339">
        <f t="shared" si="30"/>
        <v>1</v>
      </c>
      <c r="I98" s="339">
        <f t="shared" si="30"/>
        <v>3.380890071428571</v>
      </c>
      <c r="J98" s="339">
        <f t="shared" si="30"/>
        <v>1.371590909090909</v>
      </c>
      <c r="K98" s="967">
        <f t="shared" si="30"/>
        <v>0.7732278481012659</v>
      </c>
    </row>
    <row r="99" spans="2:9" s="1" customFormat="1" ht="6.75" customHeight="1">
      <c r="B99" s="479"/>
      <c r="D99" s="11"/>
      <c r="F99" s="339"/>
      <c r="G99" s="339"/>
      <c r="H99" s="339"/>
      <c r="I99" s="339"/>
    </row>
    <row r="100" spans="2:41" s="1" customFormat="1" ht="12.75">
      <c r="B100" s="479"/>
      <c r="C100" s="1163" t="s">
        <v>609</v>
      </c>
      <c r="D100" s="1164"/>
      <c r="E100" s="1" t="s">
        <v>187</v>
      </c>
      <c r="F100" s="14">
        <f>SUM('BCWS by JOB'!F40)</f>
        <v>8</v>
      </c>
      <c r="G100" s="14">
        <f>SUM('BCWS by JOB'!G40)+F100</f>
        <v>73</v>
      </c>
      <c r="H100" s="14">
        <f>SUM('BCWS by JOB'!H40)+G100</f>
        <v>133</v>
      </c>
      <c r="I100" s="14">
        <f>SUM('BCWS by JOB'!I40)+H100</f>
        <v>168</v>
      </c>
      <c r="J100" s="14">
        <f>SUM('BCWS by JOB'!J40)+I100</f>
        <v>228</v>
      </c>
      <c r="K100" s="964">
        <f>SUM('BCWS by JOB'!K40)+J100</f>
        <v>289</v>
      </c>
      <c r="L100" s="14">
        <f>SUM('BCWS by JOB'!L40)+K100</f>
        <v>348</v>
      </c>
      <c r="M100" s="14">
        <f>SUM('BCWS by JOB'!M40)+L100</f>
        <v>404</v>
      </c>
      <c r="N100" s="14">
        <f>SUM('BCWS by JOB'!N40)+M100</f>
        <v>463</v>
      </c>
      <c r="O100" s="14">
        <f>SUM('BCWS by JOB'!O40)+N100</f>
        <v>521</v>
      </c>
      <c r="P100" s="14">
        <f>SUM('BCWS by JOB'!P40)+O100</f>
        <v>625</v>
      </c>
      <c r="Q100" s="14">
        <f>SUM('BCWS by JOB'!Q40)+P100</f>
        <v>682</v>
      </c>
      <c r="R100" s="14">
        <f>SUM('BCWS by JOB'!R40)+Q100</f>
        <v>739</v>
      </c>
      <c r="S100" s="14">
        <f>SUM('BCWS by JOB'!S40)+R100</f>
        <v>795</v>
      </c>
      <c r="T100" s="14">
        <f>SUM('BCWS by JOB'!T40)+S100</f>
        <v>898</v>
      </c>
      <c r="U100" s="14">
        <f>SUM('BCWS by JOB'!U40)+T100</f>
        <v>952</v>
      </c>
      <c r="V100" s="14">
        <f>SUM('BCWS by JOB'!V40)+U100</f>
        <v>1004</v>
      </c>
      <c r="W100" s="14">
        <f>SUM('BCWS by JOB'!W40)+V100</f>
        <v>1004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2:11" s="1" customFormat="1" ht="12.75">
      <c r="B101" s="479"/>
      <c r="C101" s="1163">
        <v>1361</v>
      </c>
      <c r="D101" s="1164"/>
      <c r="E101" s="1" t="s">
        <v>188</v>
      </c>
      <c r="F101" s="1">
        <f>SUM('BCWP by JOB'!D40)</f>
        <v>4</v>
      </c>
      <c r="G101" s="1">
        <f>SUM('BCWP by JOB'!E40)+F101</f>
        <v>49</v>
      </c>
      <c r="H101" s="1">
        <f>SUM('BCWP by JOB'!F40)+G101</f>
        <v>108</v>
      </c>
      <c r="I101" s="1">
        <f>SUM('BCWP by JOB'!G40)+H101</f>
        <v>199.41206949999997</v>
      </c>
      <c r="J101" s="1">
        <f>SUM('BCWP by JOB'!H40)+I101</f>
        <v>267.65</v>
      </c>
      <c r="K101" s="965">
        <f>SUM('BCWP by JOB'!I40)+J101</f>
        <v>331.282</v>
      </c>
    </row>
    <row r="102" spans="2:11" s="1" customFormat="1" ht="12.75">
      <c r="B102" s="479"/>
      <c r="D102" s="11"/>
      <c r="E102" s="1" t="s">
        <v>189</v>
      </c>
      <c r="F102" s="240">
        <f>SUM('ACWP by JOB'!E40)</f>
        <v>-6.0157300000000085</v>
      </c>
      <c r="G102" s="240">
        <f>SUM('ACWP by JOB'!F40)+F102</f>
        <v>34.379239999999996</v>
      </c>
      <c r="H102" s="240">
        <f>SUM('ACWP by JOB'!G40)+G102</f>
        <v>88.80752648279773</v>
      </c>
      <c r="I102" s="240">
        <f>SUM('ACWP by JOB'!H40)+H102</f>
        <v>185.35052648279773</v>
      </c>
      <c r="J102" s="240">
        <f>SUM('ACWP by JOB'!I40)+I102</f>
        <v>271.3235264827977</v>
      </c>
      <c r="K102" s="966">
        <f>SUM('ACWP by JOB'!J40)+J102</f>
        <v>340.5435264827977</v>
      </c>
    </row>
    <row r="103" spans="2:11" s="1" customFormat="1" ht="12.75">
      <c r="B103" s="479"/>
      <c r="D103" s="11"/>
      <c r="E103" s="1" t="s">
        <v>191</v>
      </c>
      <c r="F103" s="339">
        <f aca="true" t="shared" si="31" ref="F103:K103">+F101/F102</f>
        <v>-0.6649234589983252</v>
      </c>
      <c r="G103" s="339">
        <f t="shared" si="31"/>
        <v>1.4252787438000376</v>
      </c>
      <c r="H103" s="339">
        <f t="shared" si="31"/>
        <v>1.2161131412766002</v>
      </c>
      <c r="I103" s="339">
        <f t="shared" si="31"/>
        <v>1.0758645971178684</v>
      </c>
      <c r="J103" s="339">
        <f t="shared" si="31"/>
        <v>0.9864607152559967</v>
      </c>
      <c r="K103" s="967">
        <f t="shared" si="31"/>
        <v>0.9728036924429232</v>
      </c>
    </row>
    <row r="104" spans="2:11" s="1" customFormat="1" ht="12.75">
      <c r="B104" s="479"/>
      <c r="D104" s="11"/>
      <c r="E104" s="1" t="s">
        <v>190</v>
      </c>
      <c r="F104" s="339"/>
      <c r="G104" s="339">
        <f>+G101/G100</f>
        <v>0.6712328767123288</v>
      </c>
      <c r="H104" s="339">
        <f>+H101/H100</f>
        <v>0.8120300751879699</v>
      </c>
      <c r="I104" s="339">
        <f>+I101/I100</f>
        <v>1.1869766041666665</v>
      </c>
      <c r="J104" s="339">
        <f>+J101/J100</f>
        <v>1.1739035087719296</v>
      </c>
      <c r="K104" s="967">
        <f>+K101/K100</f>
        <v>1.1463044982698962</v>
      </c>
    </row>
    <row r="105" spans="2:9" s="1" customFormat="1" ht="6.75" customHeight="1">
      <c r="B105" s="479"/>
      <c r="D105" s="11"/>
      <c r="F105" s="339"/>
      <c r="G105" s="339"/>
      <c r="H105" s="339"/>
      <c r="I105" s="339"/>
    </row>
    <row r="106" spans="2:54" s="1" customFormat="1" ht="12.75">
      <c r="B106" s="479"/>
      <c r="C106" s="1163" t="s">
        <v>610</v>
      </c>
      <c r="D106" s="1164"/>
      <c r="E106" s="1" t="s">
        <v>187</v>
      </c>
      <c r="F106" s="14">
        <f>SUM('BCWS by JOB'!F43:F45)</f>
        <v>219</v>
      </c>
      <c r="G106" s="14">
        <f>SUM('BCWS by JOB'!G43:G45)+F106</f>
        <v>518</v>
      </c>
      <c r="H106" s="14">
        <f>SUM('BCWS by JOB'!H43:H45)+G106</f>
        <v>827</v>
      </c>
      <c r="I106" s="14">
        <f>SUM('BCWS by JOB'!I43:I45)+H106</f>
        <v>1070</v>
      </c>
      <c r="J106" s="14">
        <f>SUM('BCWS by JOB'!J43:J45)+I106</f>
        <v>1184</v>
      </c>
      <c r="K106" s="964">
        <f>SUM('BCWS by JOB'!K43:K45)+J106</f>
        <v>1418</v>
      </c>
      <c r="L106" s="14">
        <f>SUM('BCWS by JOB'!L43:L45)+K106</f>
        <v>1500</v>
      </c>
      <c r="M106" s="14">
        <f>SUM('BCWS by JOB'!M43:M45)+L106</f>
        <v>1538</v>
      </c>
      <c r="N106" s="14">
        <f>SUM('BCWS by JOB'!N43:N45)+M106</f>
        <v>1580</v>
      </c>
      <c r="O106" s="14">
        <f>SUM('BCWS by JOB'!O43:O45)+N106</f>
        <v>1606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2:11" s="1" customFormat="1" ht="12.75">
      <c r="B107" s="479"/>
      <c r="C107" s="1163" t="s">
        <v>611</v>
      </c>
      <c r="D107" s="1164"/>
      <c r="E107" s="1" t="s">
        <v>188</v>
      </c>
      <c r="F107" s="1">
        <f>SUM('BCWP by JOB'!D43:D45)</f>
        <v>96</v>
      </c>
      <c r="G107" s="1">
        <f>SUM('BCWP by JOB'!E43:E45)+F107</f>
        <v>292</v>
      </c>
      <c r="H107" s="1">
        <f>SUM('BCWP by JOB'!F43:F45)+G107</f>
        <v>797</v>
      </c>
      <c r="I107" s="1">
        <f>SUM('BCWP by JOB'!G43:G45)+H107</f>
        <v>897.5716322099998</v>
      </c>
      <c r="J107" s="1">
        <f>SUM('BCWP by JOB'!H43:H45)+I107</f>
        <v>918.4999999999999</v>
      </c>
      <c r="K107" s="965">
        <f>SUM('BCWP by JOB'!I43:I45)+J107</f>
        <v>1122.391</v>
      </c>
    </row>
    <row r="108" spans="2:11" s="1" customFormat="1" ht="12.75">
      <c r="B108" s="479"/>
      <c r="D108" s="11"/>
      <c r="E108" s="1" t="s">
        <v>189</v>
      </c>
      <c r="F108" s="240">
        <f>SUM('ACWP by JOB'!E43:E45)</f>
        <v>123.94133000000001</v>
      </c>
      <c r="G108" s="240">
        <f>SUM('ACWP by JOB'!F43:F45)+F108</f>
        <v>257.93505</v>
      </c>
      <c r="H108" s="240">
        <f>SUM('ACWP by JOB'!G43:G45)+G108</f>
        <v>406.7498033851951</v>
      </c>
      <c r="I108" s="240">
        <f>SUM('ACWP by JOB'!H43:H45)+H108</f>
        <v>700.8288033851951</v>
      </c>
      <c r="J108" s="240">
        <f>SUM('ACWP by JOB'!I43:I45)+I108</f>
        <v>828.5818033851951</v>
      </c>
      <c r="K108" s="966">
        <f>SUM('ACWP by JOB'!J43:J45)+J108</f>
        <v>943.1298033851951</v>
      </c>
    </row>
    <row r="109" spans="2:11" s="1" customFormat="1" ht="12.75">
      <c r="B109" s="479"/>
      <c r="D109" s="11"/>
      <c r="E109" s="1" t="s">
        <v>191</v>
      </c>
      <c r="F109" s="339">
        <f aca="true" t="shared" si="32" ref="F109:K109">+F107/F108</f>
        <v>0.7745600277163396</v>
      </c>
      <c r="G109" s="339">
        <f t="shared" si="32"/>
        <v>1.1320679372578484</v>
      </c>
      <c r="H109" s="339">
        <f t="shared" si="32"/>
        <v>1.9594354892539065</v>
      </c>
      <c r="I109" s="339">
        <f t="shared" si="32"/>
        <v>1.2807287997788945</v>
      </c>
      <c r="J109" s="339">
        <f t="shared" si="32"/>
        <v>1.1085206026097139</v>
      </c>
      <c r="K109" s="967">
        <f t="shared" si="32"/>
        <v>1.1900705459326797</v>
      </c>
    </row>
    <row r="110" spans="2:11" s="1" customFormat="1" ht="12.75">
      <c r="B110" s="479"/>
      <c r="D110" s="11"/>
      <c r="E110" s="1" t="s">
        <v>190</v>
      </c>
      <c r="F110" s="339">
        <f aca="true" t="shared" si="33" ref="F110:K110">+F107/F106</f>
        <v>0.4383561643835616</v>
      </c>
      <c r="G110" s="339">
        <f t="shared" si="33"/>
        <v>0.5637065637065637</v>
      </c>
      <c r="H110" s="339">
        <f t="shared" si="33"/>
        <v>0.9637243047158404</v>
      </c>
      <c r="I110" s="339">
        <f t="shared" si="33"/>
        <v>0.8388519927196261</v>
      </c>
      <c r="J110" s="339">
        <f t="shared" si="33"/>
        <v>0.7757601351351351</v>
      </c>
      <c r="K110" s="967">
        <f t="shared" si="33"/>
        <v>0.791531029619182</v>
      </c>
    </row>
    <row r="111" spans="2:9" s="1" customFormat="1" ht="6" customHeight="1">
      <c r="B111" s="479"/>
      <c r="D111" s="11"/>
      <c r="F111" s="339"/>
      <c r="G111" s="339"/>
      <c r="H111" s="339"/>
      <c r="I111" s="339"/>
    </row>
    <row r="112" spans="2:66" s="1" customFormat="1" ht="12.75">
      <c r="B112" s="479"/>
      <c r="C112" s="1163" t="s">
        <v>612</v>
      </c>
      <c r="D112" s="1164"/>
      <c r="E112" s="1" t="s">
        <v>187</v>
      </c>
      <c r="F112" s="14">
        <f>SUM('BCWS by JOB'!F46:F47)</f>
        <v>7</v>
      </c>
      <c r="G112" s="14">
        <f>SUM('BCWS by JOB'!G46:G47)+F112</f>
        <v>38</v>
      </c>
      <c r="H112" s="14">
        <f>SUM('BCWS by JOB'!H46:H47)+G112</f>
        <v>70</v>
      </c>
      <c r="I112" s="14">
        <f>SUM('BCWS by JOB'!I46:I47)+H112</f>
        <v>128</v>
      </c>
      <c r="J112" s="14">
        <f>SUM('BCWS by JOB'!J46:J47)+I112</f>
        <v>164</v>
      </c>
      <c r="K112" s="964">
        <f>SUM('BCWS by JOB'!K46:K47)+J112</f>
        <v>186</v>
      </c>
      <c r="L112" s="14">
        <f>SUM('BCWS by JOB'!L46:L47)+K112</f>
        <v>186</v>
      </c>
      <c r="M112" s="14">
        <f>SUM('BCWS by JOB'!M46:M47)+L112</f>
        <v>186</v>
      </c>
      <c r="N112" s="14">
        <f>SUM('BCWS by JOB'!N46:N47)+M112</f>
        <v>186</v>
      </c>
      <c r="O112" s="14">
        <f>SUM('BCWS by JOB'!O46:O47)+N112</f>
        <v>186</v>
      </c>
      <c r="P112" s="14">
        <f>SUM('BCWS by JOB'!P46:P47)+O112</f>
        <v>186</v>
      </c>
      <c r="Q112" s="14">
        <f>SUM('BCWS by JOB'!Q46:Q47)+P112</f>
        <v>186</v>
      </c>
      <c r="R112" s="14">
        <f>SUM('BCWS by JOB'!R46:R47)+Q112</f>
        <v>186</v>
      </c>
      <c r="S112" s="14">
        <f>SUM('BCWS by JOB'!S46:S47)+R112</f>
        <v>218</v>
      </c>
      <c r="T112" s="14">
        <f>SUM('BCWS by JOB'!T46:T47)+S112</f>
        <v>327</v>
      </c>
      <c r="U112" s="14">
        <f>SUM('BCWS by JOB'!U46:U47)+T112</f>
        <v>458</v>
      </c>
      <c r="V112" s="14">
        <f>SUM('BCWS by JOB'!V46:V47)+U112</f>
        <v>589</v>
      </c>
      <c r="W112" s="14">
        <f>SUM('BCWS by JOB'!W46:W47)+V112</f>
        <v>732</v>
      </c>
      <c r="X112" s="14">
        <f>SUM('BCWS by JOB'!X46:X47)+W112</f>
        <v>825</v>
      </c>
      <c r="Y112" s="14">
        <f>SUM('BCWS by JOB'!Y46:Y47)+X112</f>
        <v>876</v>
      </c>
      <c r="Z112" s="14">
        <f>SUM('BCWS by JOB'!Z46:Z47)+Y112</f>
        <v>939</v>
      </c>
      <c r="AA112" s="14">
        <f>SUM('BCWS by JOB'!AA46:AA47)+Z112</f>
        <v>999</v>
      </c>
      <c r="AB112" s="14">
        <f>SUM('BCWS by JOB'!AB46:AB47)+AA112</f>
        <v>1065</v>
      </c>
      <c r="AC112" s="14">
        <f>SUM('BCWS by JOB'!AC46:AC47)+AB112</f>
        <v>1131</v>
      </c>
      <c r="AD112" s="14">
        <f>SUM('BCWS by JOB'!AD46:AD47)+AC112</f>
        <v>1191</v>
      </c>
      <c r="AE112" s="14">
        <f>SUM('BCWS by JOB'!AE46:AE47)+AD112</f>
        <v>1257</v>
      </c>
      <c r="AF112" s="14">
        <f>SUM('BCWS by JOB'!AF46:AF47)+AE112</f>
        <v>1260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11" s="1" customFormat="1" ht="12.75">
      <c r="B113" s="479"/>
      <c r="C113" s="1163" t="s">
        <v>613</v>
      </c>
      <c r="D113" s="1164"/>
      <c r="E113" s="1" t="s">
        <v>188</v>
      </c>
      <c r="F113" s="1">
        <f>SUM('BCWP by JOB'!D46:D47)</f>
        <v>2</v>
      </c>
      <c r="G113" s="1">
        <f>SUM('BCWP by JOB'!E46:E47)+F113</f>
        <v>45</v>
      </c>
      <c r="H113" s="1">
        <f>SUM('BCWP by JOB'!F46:F47)+G113</f>
        <v>75</v>
      </c>
      <c r="I113" s="1">
        <f>SUM('BCWP by JOB'!G46:G47)+H113</f>
        <v>81.9423845</v>
      </c>
      <c r="J113" s="1">
        <f>SUM('BCWP by JOB'!H46:H47)+I113</f>
        <v>136.7</v>
      </c>
      <c r="K113" s="965">
        <f>SUM('BCWP by JOB'!I46:I47)+J113</f>
        <v>145.001</v>
      </c>
    </row>
    <row r="114" spans="2:12" s="1" customFormat="1" ht="12.75">
      <c r="B114" s="479"/>
      <c r="D114" s="11"/>
      <c r="E114" s="1" t="s">
        <v>189</v>
      </c>
      <c r="F114" s="240">
        <f>SUM('ACWP by JOB'!E46:E47)</f>
        <v>54.10057</v>
      </c>
      <c r="G114" s="240">
        <f>SUM('ACWP by JOB'!F46:F47)+F114</f>
        <v>101.47542999999999</v>
      </c>
      <c r="H114" s="240">
        <f>SUM('ACWP by JOB'!G46:G47)+G114</f>
        <v>138.5961054058865</v>
      </c>
      <c r="I114" s="240">
        <f>SUM('ACWP by JOB'!H46:H47)+H114</f>
        <v>174.65210540588652</v>
      </c>
      <c r="J114" s="240">
        <f>SUM('ACWP by JOB'!I46:I47)+I114</f>
        <v>176.91410540588652</v>
      </c>
      <c r="K114" s="966">
        <f>SUM('ACWP by JOB'!J46:J47)+J114</f>
        <v>160.00010540588653</v>
      </c>
      <c r="L114" s="1" t="s">
        <v>186</v>
      </c>
    </row>
    <row r="115" spans="2:11" s="1" customFormat="1" ht="12.75">
      <c r="B115" s="479"/>
      <c r="D115" s="11"/>
      <c r="E115" s="1" t="s">
        <v>191</v>
      </c>
      <c r="F115" s="339">
        <f aca="true" t="shared" si="34" ref="F115:K115">+F113/F114</f>
        <v>0.03696818721133622</v>
      </c>
      <c r="G115" s="339">
        <f t="shared" si="34"/>
        <v>0.44345710089624657</v>
      </c>
      <c r="H115" s="339">
        <f t="shared" si="34"/>
        <v>0.5411407469232867</v>
      </c>
      <c r="I115" s="339">
        <f t="shared" si="34"/>
        <v>0.4691749023555613</v>
      </c>
      <c r="J115" s="339">
        <f t="shared" si="34"/>
        <v>0.7726913559909482</v>
      </c>
      <c r="K115" s="967">
        <f t="shared" si="34"/>
        <v>0.9062556529707467</v>
      </c>
    </row>
    <row r="116" spans="2:11" s="1" customFormat="1" ht="12.75">
      <c r="B116" s="479"/>
      <c r="D116" s="11"/>
      <c r="E116" s="1" t="s">
        <v>190</v>
      </c>
      <c r="F116" s="339">
        <f aca="true" t="shared" si="35" ref="F116:K116">+F113/F112</f>
        <v>0.2857142857142857</v>
      </c>
      <c r="G116" s="339">
        <f t="shared" si="35"/>
        <v>1.1842105263157894</v>
      </c>
      <c r="H116" s="339">
        <f t="shared" si="35"/>
        <v>1.0714285714285714</v>
      </c>
      <c r="I116" s="339">
        <f t="shared" si="35"/>
        <v>0.64017487890625</v>
      </c>
      <c r="J116" s="339">
        <f t="shared" si="35"/>
        <v>0.8335365853658536</v>
      </c>
      <c r="K116" s="967">
        <f t="shared" si="35"/>
        <v>0.7795752688172043</v>
      </c>
    </row>
    <row r="117" spans="2:9" s="1" customFormat="1" ht="6" customHeight="1">
      <c r="B117" s="479"/>
      <c r="D117" s="11"/>
      <c r="F117" s="339"/>
      <c r="G117" s="339"/>
      <c r="H117" s="339"/>
      <c r="I117" s="339"/>
    </row>
    <row r="118" spans="2:42" s="1" customFormat="1" ht="12.75">
      <c r="B118" s="479"/>
      <c r="C118" s="1163" t="s">
        <v>614</v>
      </c>
      <c r="D118" s="1164"/>
      <c r="E118" s="1" t="s">
        <v>187</v>
      </c>
      <c r="F118" s="14">
        <f>SUM('BCWS by JOB'!F48)</f>
        <v>6</v>
      </c>
      <c r="G118" s="14">
        <f>SUM('BCWS by JOB'!G48)+F118</f>
        <v>6</v>
      </c>
      <c r="H118" s="14">
        <f>SUM('BCWS by JOB'!H48)+G118</f>
        <v>6</v>
      </c>
      <c r="I118" s="14">
        <f>SUM('BCWS by JOB'!I48)+H118</f>
        <v>6</v>
      </c>
      <c r="J118" s="14">
        <f>SUM('BCWS by JOB'!J48)+I118</f>
        <v>6</v>
      </c>
      <c r="K118" s="14">
        <f>SUM('BCWS by JOB'!K48)+J118</f>
        <v>6</v>
      </c>
      <c r="L118" s="14">
        <f>SUM('BCWS by JOB'!L48)+K118</f>
        <v>6</v>
      </c>
      <c r="M118" s="14">
        <f>SUM('BCWS by JOB'!M48)+L118</f>
        <v>6</v>
      </c>
      <c r="N118" s="14">
        <f>SUM('BCWS by JOB'!N48)+M118</f>
        <v>34</v>
      </c>
      <c r="O118" s="14">
        <f>SUM('BCWS by JOB'!O48)+N118</f>
        <v>61</v>
      </c>
      <c r="P118" s="14">
        <f>SUM('BCWS by JOB'!P48)+O118</f>
        <v>88</v>
      </c>
      <c r="Q118" s="14">
        <f>SUM('BCWS by JOB'!Q48)+P118</f>
        <v>116</v>
      </c>
      <c r="R118" s="14">
        <f>SUM('BCWS by JOB'!R48)+Q118</f>
        <v>143</v>
      </c>
      <c r="S118" s="14">
        <f>SUM('BCWS by JOB'!S48)+R118</f>
        <v>191</v>
      </c>
      <c r="T118" s="14">
        <f>SUM('BCWS by JOB'!T48)+S118</f>
        <v>222</v>
      </c>
      <c r="U118" s="14">
        <f>SUM('BCWS by JOB'!U48)+T118</f>
        <v>269</v>
      </c>
      <c r="V118" s="14">
        <f>SUM('BCWS by JOB'!V48)+U118</f>
        <v>327</v>
      </c>
      <c r="W118" s="14">
        <f>SUM('BCWS by JOB'!W48)+V118</f>
        <v>404</v>
      </c>
      <c r="X118" s="14">
        <f>SUM('BCWS by JOB'!X48)+W118</f>
        <v>465</v>
      </c>
      <c r="Y118" s="14">
        <f>SUM('BCWS by JOB'!Y48)+X118</f>
        <v>518</v>
      </c>
      <c r="Z118" s="14">
        <f>SUM('BCWS by JOB'!Z48)+Y118</f>
        <v>544</v>
      </c>
      <c r="AA118" s="14">
        <f>SUM('BCWS by JOB'!AA48)+Z118</f>
        <v>564</v>
      </c>
      <c r="AB118" s="14">
        <f>SUM('BCWS by JOB'!AB48)+AA118</f>
        <v>587</v>
      </c>
      <c r="AC118" s="14">
        <f>SUM('BCWS by JOB'!AC48)+AB118</f>
        <v>610</v>
      </c>
      <c r="AD118" s="14">
        <f>SUM('BCWS by JOB'!AD48)+AC118</f>
        <v>630</v>
      </c>
      <c r="AE118" s="14">
        <f>SUM('BCWS by JOB'!AE48)+AD118</f>
        <v>653</v>
      </c>
      <c r="AF118" s="14">
        <f>SUM('BCWS by JOB'!AF48)+AE118</f>
        <v>676</v>
      </c>
      <c r="AG118" s="14">
        <f>SUM('BCWS by JOB'!AG48)+AF118</f>
        <v>697</v>
      </c>
      <c r="AH118" s="14">
        <f>SUM('BCWS by JOB'!AH48)+AG118</f>
        <v>701</v>
      </c>
      <c r="AI118" s="14">
        <f>SUM('BCWS by JOB'!AI48)+AH118</f>
        <v>743</v>
      </c>
      <c r="AJ118" s="14">
        <f>SUM('BCWS by JOB'!AJ48)+AI118</f>
        <v>785</v>
      </c>
      <c r="AK118" s="14">
        <f>SUM('BCWS by JOB'!AK48)+AJ118</f>
        <v>824</v>
      </c>
      <c r="AL118" s="14">
        <f>SUM('BCWS by JOB'!AL48)+AK118</f>
        <v>858</v>
      </c>
      <c r="AM118" s="14">
        <f>SUM('BCWS by JOB'!AM48)+AL118</f>
        <v>861</v>
      </c>
      <c r="AN118" s="14"/>
      <c r="AO118" s="14"/>
      <c r="AP118" s="14"/>
    </row>
    <row r="119" spans="2:11" s="1" customFormat="1" ht="12.75">
      <c r="B119" s="479"/>
      <c r="C119" s="1163">
        <v>1601</v>
      </c>
      <c r="D119" s="1164"/>
      <c r="E119" s="1" t="s">
        <v>188</v>
      </c>
      <c r="F119" s="1">
        <f>SUM('BCWP by JOB'!D48)</f>
        <v>0</v>
      </c>
      <c r="G119" s="1">
        <f>SUM('BCWP by JOB'!E48)+F119</f>
        <v>6</v>
      </c>
      <c r="H119" s="1">
        <f>SUM('BCWP by JOB'!F48)+G119</f>
        <v>6</v>
      </c>
      <c r="I119" s="1">
        <f>SUM('BCWP by JOB'!G48)+H119</f>
        <v>6.228800000000001</v>
      </c>
      <c r="J119" s="1">
        <f>SUM('BCWP by JOB'!H48)+I119</f>
        <v>14.599999999999998</v>
      </c>
      <c r="K119" s="1">
        <f>SUM('BCWP by JOB'!I48)+J119</f>
        <v>14.597999999999999</v>
      </c>
    </row>
    <row r="120" spans="2:11" s="1" customFormat="1" ht="12.75">
      <c r="B120" s="479"/>
      <c r="D120" s="11"/>
      <c r="E120" s="1" t="s">
        <v>189</v>
      </c>
      <c r="F120" s="240">
        <f>SUM('ACWP by JOB'!E48)</f>
        <v>0</v>
      </c>
      <c r="G120" s="240">
        <f>SUM('ACWP by JOB'!F48)+F120</f>
        <v>0</v>
      </c>
      <c r="H120" s="240">
        <f>SUM('ACWP by JOB'!G48)+G120</f>
        <v>0</v>
      </c>
      <c r="I120" s="240">
        <f>SUM('ACWP by JOB'!H48)+H120</f>
        <v>0</v>
      </c>
      <c r="J120" s="240">
        <f>SUM('ACWP by JOB'!I48)+I120</f>
        <v>0</v>
      </c>
      <c r="K120" s="240">
        <f>SUM('ACWP by JOB'!J48)+J120</f>
        <v>0</v>
      </c>
    </row>
    <row r="121" spans="2:12" s="1" customFormat="1" ht="12.75">
      <c r="B121" s="479"/>
      <c r="D121" s="11"/>
      <c r="E121" s="1" t="s">
        <v>191</v>
      </c>
      <c r="F121" s="339" t="e">
        <f aca="true" t="shared" si="36" ref="F121:K121">+F119/F120</f>
        <v>#DIV/0!</v>
      </c>
      <c r="G121" s="339" t="e">
        <f t="shared" si="36"/>
        <v>#DIV/0!</v>
      </c>
      <c r="H121" s="339" t="e">
        <f t="shared" si="36"/>
        <v>#DIV/0!</v>
      </c>
      <c r="I121" s="339" t="e">
        <f t="shared" si="36"/>
        <v>#DIV/0!</v>
      </c>
      <c r="J121" s="339" t="e">
        <f t="shared" si="36"/>
        <v>#DIV/0!</v>
      </c>
      <c r="K121" s="339" t="e">
        <f t="shared" si="36"/>
        <v>#DIV/0!</v>
      </c>
      <c r="L121" s="1" t="s">
        <v>186</v>
      </c>
    </row>
    <row r="122" spans="2:11" s="1" customFormat="1" ht="12.75">
      <c r="B122" s="479"/>
      <c r="D122" s="11"/>
      <c r="E122" s="1" t="s">
        <v>190</v>
      </c>
      <c r="F122" s="339"/>
      <c r="G122" s="339">
        <f>+G119/G118</f>
        <v>1</v>
      </c>
      <c r="H122" s="339">
        <f>+H119/H118</f>
        <v>1</v>
      </c>
      <c r="I122" s="339">
        <f>+I119/I118</f>
        <v>1.0381333333333334</v>
      </c>
      <c r="J122" s="339">
        <f>+J119/J118</f>
        <v>2.433333333333333</v>
      </c>
      <c r="K122" s="339">
        <f>+K119/K118</f>
        <v>2.433</v>
      </c>
    </row>
    <row r="123" spans="2:9" s="1" customFormat="1" ht="6" customHeight="1">
      <c r="B123" s="479"/>
      <c r="D123" s="11"/>
      <c r="F123" s="339"/>
      <c r="G123" s="339"/>
      <c r="H123" s="339"/>
      <c r="I123" s="339"/>
    </row>
    <row r="124" spans="2:64" s="1" customFormat="1" ht="12.75">
      <c r="B124" s="479"/>
      <c r="D124" s="11" t="s">
        <v>620</v>
      </c>
      <c r="E124" s="1" t="s">
        <v>187</v>
      </c>
      <c r="F124" s="14">
        <f>SUM('BCWS by JOB'!F54)</f>
        <v>34</v>
      </c>
      <c r="G124" s="14">
        <f>SUM('BCWS by JOB'!G54)+F124</f>
        <v>66</v>
      </c>
      <c r="H124" s="14">
        <f>SUM('BCWS by JOB'!H54)+G124</f>
        <v>98</v>
      </c>
      <c r="I124" s="14">
        <f>SUM('BCWS by JOB'!I54)+H124</f>
        <v>133</v>
      </c>
      <c r="J124" s="14">
        <f>SUM('BCWS by JOB'!J54)+I124</f>
        <v>162</v>
      </c>
      <c r="K124" s="964">
        <f>SUM('BCWS by JOB'!K54)+J124</f>
        <v>200</v>
      </c>
      <c r="L124" s="14">
        <f>SUM('BCWS by JOB'!L54)+K124</f>
        <v>233</v>
      </c>
      <c r="M124" s="14">
        <f>SUM('BCWS by JOB'!M54)+L124</f>
        <v>258</v>
      </c>
      <c r="N124" s="14">
        <f>SUM('BCWS by JOB'!N54)+M124</f>
        <v>294</v>
      </c>
      <c r="O124" s="14">
        <f>SUM('BCWS by JOB'!O54)+N124</f>
        <v>328</v>
      </c>
      <c r="P124" s="14">
        <f>SUM('BCWS by JOB'!P54)+O124</f>
        <v>362</v>
      </c>
      <c r="Q124" s="14">
        <f>SUM('BCWS by JOB'!Q54)+P124</f>
        <v>398</v>
      </c>
      <c r="R124" s="14">
        <f>SUM('BCWS by JOB'!R54)+Q124</f>
        <v>432</v>
      </c>
      <c r="S124" s="14">
        <f>SUM('BCWS by JOB'!S54)+R124</f>
        <v>466</v>
      </c>
      <c r="T124" s="14">
        <f>SUM('BCWS by JOB'!T54)+S124</f>
        <v>502</v>
      </c>
      <c r="U124" s="14">
        <f>SUM('BCWS by JOB'!U54)+T124</f>
        <v>536</v>
      </c>
      <c r="V124" s="14">
        <f>SUM('BCWS by JOB'!V54)+U124</f>
        <v>569</v>
      </c>
      <c r="W124" s="14">
        <f>SUM('BCWS by JOB'!W54)+V124</f>
        <v>609</v>
      </c>
      <c r="X124" s="14">
        <f>SUM('BCWS by JOB'!X54)+W124</f>
        <v>640</v>
      </c>
      <c r="Y124" s="14">
        <f>SUM('BCWS by JOB'!Y54)+X124</f>
        <v>670</v>
      </c>
      <c r="Z124" s="14">
        <f>SUM('BCWS by JOB'!Z54)+Y124</f>
        <v>707</v>
      </c>
      <c r="AA124" s="14">
        <f>SUM('BCWS by JOB'!AA54)+Z124</f>
        <v>742</v>
      </c>
      <c r="AB124" s="14">
        <f>SUM('BCWS by JOB'!AB54)+AA124</f>
        <v>780</v>
      </c>
      <c r="AC124" s="14">
        <f>SUM('BCWS by JOB'!AC54)+AB124</f>
        <v>818</v>
      </c>
      <c r="AD124" s="14">
        <f>SUM('BCWS by JOB'!AD54)+AC124</f>
        <v>853</v>
      </c>
      <c r="AE124" s="14">
        <f>SUM('BCWS by JOB'!AE54)+AD124</f>
        <v>891</v>
      </c>
      <c r="AF124" s="14">
        <f>SUM('BCWS by JOB'!AF54)+AE124</f>
        <v>929</v>
      </c>
      <c r="AG124" s="14">
        <f>SUM('BCWS by JOB'!AG54)+AF124</f>
        <v>966</v>
      </c>
      <c r="AH124" s="14">
        <f>SUM('BCWS by JOB'!AH54)+AG124</f>
        <v>999</v>
      </c>
      <c r="AI124" s="14">
        <f>SUM('BCWS by JOB'!AI54)+AH124</f>
        <v>1039</v>
      </c>
      <c r="AJ124" s="14">
        <f>SUM('BCWS by JOB'!AJ54)+AI124</f>
        <v>1073</v>
      </c>
      <c r="AK124" s="14">
        <f>SUM('BCWS by JOB'!AK54)+AJ124</f>
        <v>1102</v>
      </c>
      <c r="AL124" s="14">
        <f>SUM('BCWS by JOB'!AL54)+AK124</f>
        <v>1138</v>
      </c>
      <c r="AM124" s="14">
        <f>SUM('BCWS by JOB'!AM54)+AL124</f>
        <v>1174</v>
      </c>
      <c r="AN124" s="14">
        <f>SUM('BCWS by JOB'!AN54)+AM124</f>
        <v>1216</v>
      </c>
      <c r="AO124" s="14">
        <f>SUM('BCWS by JOB'!AO54)+AN124</f>
        <v>1256</v>
      </c>
      <c r="AP124" s="14">
        <f>SUM('BCWS by JOB'!AP54)+AO124</f>
        <v>1292</v>
      </c>
      <c r="AQ124" s="14">
        <f>SUM('BCWS by JOB'!AQ54)+AP124</f>
        <v>1332</v>
      </c>
      <c r="AR124" s="14">
        <f>SUM('BCWS by JOB'!AR54)+AQ124</f>
        <v>1370</v>
      </c>
      <c r="AS124" s="14">
        <f>SUM('BCWS by JOB'!AS54)+AR124</f>
        <v>1410</v>
      </c>
      <c r="AT124" s="14">
        <f>SUM('BCWS by JOB'!AT54)+AS124</f>
        <v>1448</v>
      </c>
      <c r="AU124" s="14">
        <f>SUM('BCWS by JOB'!AU54)+AT124</f>
        <v>1493</v>
      </c>
      <c r="AV124" s="14">
        <f>SUM('BCWS by JOB'!AV54)+AU124</f>
        <v>1536</v>
      </c>
      <c r="AW124" s="14">
        <f>SUM('BCWS by JOB'!AW54)+AV124</f>
        <v>1573</v>
      </c>
      <c r="AX124" s="14">
        <f>SUM('BCWS by JOB'!AX54)+AW124</f>
        <v>1618</v>
      </c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2:11" s="1" customFormat="1" ht="12.75">
      <c r="B125" s="479"/>
      <c r="D125" s="11">
        <v>1901</v>
      </c>
      <c r="E125" s="1" t="s">
        <v>188</v>
      </c>
      <c r="F125" s="1">
        <f>SUM('BCWP by JOB'!D54)</f>
        <v>34</v>
      </c>
      <c r="G125" s="1">
        <f>SUM('BCWP by JOB'!E54)+F125</f>
        <v>66</v>
      </c>
      <c r="H125" s="1">
        <f>SUM('BCWP by JOB'!F54)+G125</f>
        <v>98</v>
      </c>
      <c r="I125" s="1">
        <f>SUM('BCWP by JOB'!G54)+H125</f>
        <v>132.64167952</v>
      </c>
      <c r="J125" s="1">
        <f>SUM('BCWP by JOB'!H54)+I125</f>
        <v>161.56</v>
      </c>
      <c r="K125" s="965">
        <f>SUM('BCWP by JOB'!I54)+J125</f>
        <v>199.131</v>
      </c>
    </row>
    <row r="126" spans="2:11" s="1" customFormat="1" ht="12.75">
      <c r="B126" s="479"/>
      <c r="D126" s="11"/>
      <c r="E126" s="1" t="s">
        <v>189</v>
      </c>
      <c r="F126" s="240">
        <f>SUM('ACWP by JOB'!E54)</f>
        <v>36.462</v>
      </c>
      <c r="G126" s="240">
        <f>SUM('ACWP by JOB'!F54)+F126</f>
        <v>53.934000000000005</v>
      </c>
      <c r="H126" s="240">
        <f>SUM('ACWP by JOB'!G54)+G126</f>
        <v>64.98100000000001</v>
      </c>
      <c r="I126" s="240">
        <f>SUM('ACWP by JOB'!H54)+H126</f>
        <v>96.64800000000001</v>
      </c>
      <c r="J126" s="240">
        <f>SUM('ACWP by JOB'!I54)+I126</f>
        <v>109.709</v>
      </c>
      <c r="K126" s="966">
        <f>SUM('ACWP by JOB'!J54)+J126</f>
        <v>119.964</v>
      </c>
    </row>
    <row r="127" spans="2:11" s="1" customFormat="1" ht="12.75">
      <c r="B127" s="479"/>
      <c r="D127" s="11"/>
      <c r="E127" s="1" t="s">
        <v>191</v>
      </c>
      <c r="F127" s="339">
        <f aca="true" t="shared" si="37" ref="F127:K127">+F125/F126</f>
        <v>0.932477647962262</v>
      </c>
      <c r="G127" s="339">
        <f t="shared" si="37"/>
        <v>1.223717877405718</v>
      </c>
      <c r="H127" s="339">
        <f t="shared" si="37"/>
        <v>1.5081331466120864</v>
      </c>
      <c r="I127" s="339">
        <f t="shared" si="37"/>
        <v>1.3724203244764503</v>
      </c>
      <c r="J127" s="339">
        <f t="shared" si="37"/>
        <v>1.472623030015769</v>
      </c>
      <c r="K127" s="967">
        <f t="shared" si="37"/>
        <v>1.659922976893068</v>
      </c>
    </row>
    <row r="128" spans="2:11" s="1" customFormat="1" ht="12.75">
      <c r="B128" s="479"/>
      <c r="D128" s="11"/>
      <c r="E128" s="1" t="s">
        <v>190</v>
      </c>
      <c r="F128" s="339">
        <f aca="true" t="shared" si="38" ref="F128:K128">+F125/F124</f>
        <v>1</v>
      </c>
      <c r="G128" s="339">
        <f t="shared" si="38"/>
        <v>1</v>
      </c>
      <c r="H128" s="339">
        <f t="shared" si="38"/>
        <v>1</v>
      </c>
      <c r="I128" s="339">
        <f t="shared" si="38"/>
        <v>0.9973058610526315</v>
      </c>
      <c r="J128" s="339">
        <f t="shared" si="38"/>
        <v>0.9972839506172839</v>
      </c>
      <c r="K128" s="967">
        <f t="shared" si="38"/>
        <v>0.995655</v>
      </c>
    </row>
    <row r="130" spans="2:52" s="1" customFormat="1" ht="12.75">
      <c r="B130" s="479"/>
      <c r="D130" s="11" t="s">
        <v>606</v>
      </c>
      <c r="E130" s="1" t="s">
        <v>187</v>
      </c>
      <c r="F130" s="14">
        <f>SUM('BCWS by JOB'!F37)</f>
        <v>0</v>
      </c>
      <c r="G130" s="14">
        <f>SUM('BCWS by JOB'!G37)+F130</f>
        <v>0</v>
      </c>
      <c r="H130" s="14">
        <f>SUM('BCWS by JOB'!H37)+G130</f>
        <v>0</v>
      </c>
      <c r="I130" s="14">
        <f>SUM('BCWS by JOB'!I37)+H130</f>
        <v>0</v>
      </c>
      <c r="J130" s="14">
        <f>SUM('BCWS by JOB'!J37)+I130</f>
        <v>0</v>
      </c>
      <c r="K130" s="14">
        <f>SUM('BCWS by JOB'!K37)+J130</f>
        <v>0</v>
      </c>
      <c r="L130" s="14">
        <f>SUM('BCWS by JOB'!L37)+K130</f>
        <v>0</v>
      </c>
      <c r="M130" s="14">
        <f>SUM('BCWS by JOB'!M37)+L130</f>
        <v>0</v>
      </c>
      <c r="N130" s="14">
        <f>SUM('BCWS by JOB'!N37)+M130</f>
        <v>0</v>
      </c>
      <c r="O130" s="14">
        <f>SUM('BCWS by JOB'!O37)+N130</f>
        <v>0</v>
      </c>
      <c r="P130" s="14">
        <f>SUM('BCWS by JOB'!P37)+O130</f>
        <v>0</v>
      </c>
      <c r="Q130" s="14">
        <f>SUM('BCWS by JOB'!Q37)+P130</f>
        <v>0</v>
      </c>
      <c r="R130" s="14">
        <f>SUM('BCWS by JOB'!R37)+Q130</f>
        <v>0</v>
      </c>
      <c r="S130" s="14">
        <f>SUM('BCWS by JOB'!S37)+R130</f>
        <v>0</v>
      </c>
      <c r="T130" s="14">
        <f>SUM('BCWS by JOB'!T37)+S130</f>
        <v>0</v>
      </c>
      <c r="U130" s="14">
        <f>SUM('BCWS by JOB'!U37)+T130</f>
        <v>0</v>
      </c>
      <c r="V130" s="14">
        <f>SUM('BCWS by JOB'!V37)+U130</f>
        <v>0</v>
      </c>
      <c r="W130" s="14">
        <f>SUM('BCWS by JOB'!W37)+V130</f>
        <v>0</v>
      </c>
      <c r="X130" s="14">
        <f>SUM('BCWS by JOB'!X37)+W130</f>
        <v>0</v>
      </c>
      <c r="Y130" s="14">
        <f>SUM('BCWS by JOB'!Y37)+X130</f>
        <v>0</v>
      </c>
      <c r="Z130" s="14">
        <f>SUM('BCWS by JOB'!Z37)+Y130</f>
        <v>0</v>
      </c>
      <c r="AA130" s="14">
        <f>SUM('BCWS by JOB'!AA37)+Z130</f>
        <v>0</v>
      </c>
      <c r="AB130" s="14">
        <f>SUM('BCWS by JOB'!AB37)+AA130</f>
        <v>0</v>
      </c>
      <c r="AC130" s="14">
        <f>SUM('BCWS by JOB'!AC37)+AB130</f>
        <v>4</v>
      </c>
      <c r="AD130" s="14">
        <f>SUM('BCWS by JOB'!AD37)+AC130</f>
        <v>12</v>
      </c>
      <c r="AE130" s="14">
        <f>SUM('BCWS by JOB'!AE37)+AD130</f>
        <v>28</v>
      </c>
      <c r="AF130" s="14">
        <f>SUM('BCWS by JOB'!AF37)+AE130</f>
        <v>30</v>
      </c>
      <c r="AG130" s="14">
        <f>SUM('BCWS by JOB'!AG37)+AF130</f>
        <v>32</v>
      </c>
      <c r="AH130" s="14">
        <f>SUM('BCWS by JOB'!AH37)+AG130</f>
        <v>79</v>
      </c>
      <c r="AI130" s="14">
        <f>SUM('BCWS by JOB'!AI37)+AH130</f>
        <v>131</v>
      </c>
      <c r="AJ130" s="14">
        <f>SUM('BCWS by JOB'!AJ37)+AI130</f>
        <v>176</v>
      </c>
      <c r="AK130" s="14">
        <f>SUM('BCWS by JOB'!AK37)+AJ130</f>
        <v>214</v>
      </c>
      <c r="AL130" s="14">
        <f>SUM('BCWS by JOB'!AL37)+AK130</f>
        <v>261</v>
      </c>
      <c r="AM130" s="14">
        <f>SUM('BCWS by JOB'!AM37)+AL130</f>
        <v>308</v>
      </c>
      <c r="AN130" s="14">
        <f>SUM('BCWS by JOB'!AN37)+AM130</f>
        <v>339</v>
      </c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2:11" s="1" customFormat="1" ht="12.75">
      <c r="B131" s="479"/>
      <c r="D131" s="11">
        <v>1353</v>
      </c>
      <c r="E131" s="1" t="s">
        <v>188</v>
      </c>
      <c r="F131" s="1">
        <f>SUM('BCWP by JOB'!D37)</f>
        <v>0</v>
      </c>
      <c r="G131" s="1">
        <f>SUM('BCWP by JOB'!E37)+F131</f>
        <v>0</v>
      </c>
      <c r="H131" s="1">
        <f>SUM('BCWP by JOB'!F37)+G131</f>
        <v>0</v>
      </c>
      <c r="I131" s="1">
        <f>SUM('BCWP by JOB'!G37)+H131</f>
        <v>0</v>
      </c>
      <c r="J131" s="1">
        <f>SUM('BCWP by JOB'!H37)+I131</f>
        <v>0</v>
      </c>
      <c r="K131" s="1">
        <f>SUM('BCWP by JOB'!I37)+J131</f>
        <v>0</v>
      </c>
    </row>
    <row r="132" spans="2:11" s="1" customFormat="1" ht="12.75">
      <c r="B132" s="479"/>
      <c r="D132" s="11"/>
      <c r="E132" s="1" t="s">
        <v>189</v>
      </c>
      <c r="F132" s="240">
        <f>SUM('ACWP by JOB'!E37)</f>
        <v>0</v>
      </c>
      <c r="G132" s="240">
        <f>SUM('ACWP by JOB'!F37)+F132</f>
        <v>0</v>
      </c>
      <c r="H132" s="240">
        <f>SUM('ACWP by JOB'!G37)+G132</f>
        <v>0</v>
      </c>
      <c r="I132" s="240">
        <f>SUM('ACWP by JOB'!H37)+H132</f>
        <v>0</v>
      </c>
      <c r="J132" s="240">
        <f>SUM('ACWP by JOB'!I37)+I132</f>
        <v>0</v>
      </c>
      <c r="K132" s="240">
        <f>SUM('ACWP by JOB'!J37)+J132</f>
        <v>0</v>
      </c>
    </row>
    <row r="133" spans="2:11" s="1" customFormat="1" ht="12.75">
      <c r="B133" s="479"/>
      <c r="D133" s="11"/>
      <c r="E133" s="1" t="s">
        <v>191</v>
      </c>
      <c r="F133" s="339" t="e">
        <f aca="true" t="shared" si="39" ref="F133:K133">+F131/F132</f>
        <v>#DIV/0!</v>
      </c>
      <c r="G133" s="339" t="e">
        <f t="shared" si="39"/>
        <v>#DIV/0!</v>
      </c>
      <c r="H133" s="339" t="e">
        <f t="shared" si="39"/>
        <v>#DIV/0!</v>
      </c>
      <c r="I133" s="339" t="e">
        <f t="shared" si="39"/>
        <v>#DIV/0!</v>
      </c>
      <c r="J133" s="339" t="e">
        <f t="shared" si="39"/>
        <v>#DIV/0!</v>
      </c>
      <c r="K133" s="339" t="e">
        <f t="shared" si="39"/>
        <v>#DIV/0!</v>
      </c>
    </row>
    <row r="134" spans="2:11" s="1" customFormat="1" ht="12.75">
      <c r="B134" s="479"/>
      <c r="D134" s="11"/>
      <c r="E134" s="1" t="s">
        <v>190</v>
      </c>
      <c r="F134" s="339"/>
      <c r="G134" s="339" t="e">
        <f>+G131/G130</f>
        <v>#DIV/0!</v>
      </c>
      <c r="H134" s="339" t="e">
        <f>+H131/H130</f>
        <v>#DIV/0!</v>
      </c>
      <c r="I134" s="339" t="e">
        <f>+I131/I130</f>
        <v>#DIV/0!</v>
      </c>
      <c r="J134" s="339" t="e">
        <f>+J131/J130</f>
        <v>#DIV/0!</v>
      </c>
      <c r="K134" s="339" t="e">
        <f>+K131/K130</f>
        <v>#DIV/0!</v>
      </c>
    </row>
    <row r="135" spans="2:9" s="1" customFormat="1" ht="6.75" customHeight="1">
      <c r="B135" s="479"/>
      <c r="D135" s="11"/>
      <c r="F135" s="339"/>
      <c r="G135" s="339"/>
      <c r="H135" s="339"/>
      <c r="I135" s="339"/>
    </row>
    <row r="136" spans="2:49" s="1" customFormat="1" ht="12.75">
      <c r="B136" s="479"/>
      <c r="D136" s="11" t="s">
        <v>607</v>
      </c>
      <c r="E136" s="1" t="s">
        <v>187</v>
      </c>
      <c r="F136" s="14">
        <f>SUM('BCWS by JOB'!F38)</f>
        <v>0</v>
      </c>
      <c r="G136" s="14">
        <f>SUM('BCWS by JOB'!G38)+F136</f>
        <v>0</v>
      </c>
      <c r="H136" s="14">
        <f>SUM('BCWS by JOB'!H38)+G136</f>
        <v>0</v>
      </c>
      <c r="I136" s="14">
        <f>SUM('BCWS by JOB'!I38)+H136</f>
        <v>0</v>
      </c>
      <c r="J136" s="14">
        <f>SUM('BCWS by JOB'!J38)+I136</f>
        <v>0</v>
      </c>
      <c r="K136" s="14">
        <f>SUM('BCWS by JOB'!K38)+J136</f>
        <v>0</v>
      </c>
      <c r="L136" s="14">
        <f>SUM('BCWS by JOB'!L38)+K136</f>
        <v>29.6</v>
      </c>
      <c r="M136" s="14">
        <f>SUM('BCWS by JOB'!M38)+L136</f>
        <v>74.5</v>
      </c>
      <c r="N136" s="14">
        <f>SUM('BCWS by JOB'!N38)+M136</f>
        <v>145.7</v>
      </c>
      <c r="O136" s="14">
        <f>SUM('BCWS by JOB'!O38)+N136</f>
        <v>191.5</v>
      </c>
      <c r="P136" s="14">
        <f>SUM('BCWS by JOB'!P38)+O136</f>
        <v>259.3</v>
      </c>
      <c r="Q136" s="14">
        <f>SUM('BCWS by JOB'!Q38)+P136</f>
        <v>327</v>
      </c>
      <c r="R136" s="14">
        <f>SUM('BCWS by JOB'!R38)+Q136</f>
        <v>355.5</v>
      </c>
      <c r="S136" s="14">
        <f>SUM('BCWS by JOB'!S38)+R136</f>
        <v>519.3</v>
      </c>
      <c r="T136" s="14">
        <f>SUM('BCWS by JOB'!T38)+S136</f>
        <v>733</v>
      </c>
      <c r="U136" s="14">
        <f>SUM('BCWS by JOB'!U38)+T136</f>
        <v>958.1</v>
      </c>
      <c r="V136" s="14">
        <f>SUM('BCWS by JOB'!V38)+U136</f>
        <v>1172.8</v>
      </c>
      <c r="W136" s="14">
        <f>SUM('BCWS by JOB'!W38)+V136</f>
        <v>1341.2</v>
      </c>
      <c r="X136" s="14">
        <f>SUM('BCWS by JOB'!X38)+W136</f>
        <v>1431.2</v>
      </c>
      <c r="Y136" s="14">
        <f>SUM('BCWS by JOB'!Y38)+X136</f>
        <v>1488.8</v>
      </c>
      <c r="Z136" s="14">
        <f>SUM('BCWS by JOB'!Z38)+Y136</f>
        <v>1584.2</v>
      </c>
      <c r="AA136" s="14">
        <f>SUM('BCWS by JOB'!AA38)+Z136</f>
        <v>1671.5</v>
      </c>
      <c r="AB136" s="14">
        <f>SUM('BCWS by JOB'!AB38)+AA136</f>
        <v>1713.2</v>
      </c>
      <c r="AC136" s="14">
        <f>SUM('BCWS by JOB'!AC38)+AB136</f>
        <v>1736.8</v>
      </c>
      <c r="AD136" s="14">
        <f>SUM('BCWS by JOB'!AD38)+AC136</f>
        <v>1738.3</v>
      </c>
      <c r="AE136" s="14">
        <f>SUM('BCWS by JOB'!AE38)+AD136</f>
        <v>1803</v>
      </c>
      <c r="AF136" s="14">
        <f>SUM('BCWS by JOB'!AF38)+AE136</f>
        <v>1867.7</v>
      </c>
      <c r="AG136" s="14">
        <f>SUM('BCWS by JOB'!AG38)+AF136</f>
        <v>1867.7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2:11" s="1" customFormat="1" ht="12.75">
      <c r="B137" s="479"/>
      <c r="D137" s="11">
        <v>1354</v>
      </c>
      <c r="E137" s="1" t="s">
        <v>188</v>
      </c>
      <c r="F137" s="1">
        <f>SUM('BCWP by JOB'!D38)</f>
        <v>0</v>
      </c>
      <c r="G137" s="1">
        <f>SUM('BCWP by JOB'!E38)+F137</f>
        <v>0</v>
      </c>
      <c r="H137" s="1">
        <f>SUM('BCWP by JOB'!F38)+G137</f>
        <v>0</v>
      </c>
      <c r="I137" s="1">
        <f>SUM('BCWP by JOB'!G38)+H137</f>
        <v>0</v>
      </c>
      <c r="J137" s="1">
        <f>SUM('BCWP by JOB'!H38)+I137</f>
        <v>0</v>
      </c>
      <c r="K137" s="1">
        <f>SUM('BCWP by JOB'!I38)+J137</f>
        <v>0</v>
      </c>
    </row>
    <row r="138" spans="2:11" s="1" customFormat="1" ht="12.75">
      <c r="B138" s="479"/>
      <c r="D138" s="11"/>
      <c r="E138" s="1" t="s">
        <v>189</v>
      </c>
      <c r="F138" s="240">
        <f>SUM('ACWP by JOB'!E38)</f>
        <v>0</v>
      </c>
      <c r="G138" s="240">
        <f>SUM('ACWP by JOB'!F38)+F138</f>
        <v>0</v>
      </c>
      <c r="H138" s="240">
        <f>SUM('ACWP by JOB'!G38)+G138</f>
        <v>0</v>
      </c>
      <c r="I138" s="240">
        <f>SUM('ACWP by JOB'!H38)+H138</f>
        <v>0</v>
      </c>
      <c r="J138" s="240">
        <f>SUM('ACWP by JOB'!I38)+I138</f>
        <v>0</v>
      </c>
      <c r="K138" s="240">
        <f>SUM('ACWP by JOB'!J38)+J138</f>
        <v>9.652</v>
      </c>
    </row>
    <row r="139" spans="2:11" s="1" customFormat="1" ht="12.75">
      <c r="B139" s="479"/>
      <c r="D139" s="11"/>
      <c r="E139" s="1" t="s">
        <v>191</v>
      </c>
      <c r="F139" s="339" t="e">
        <f aca="true" t="shared" si="40" ref="F139:K139">+F137/F138</f>
        <v>#DIV/0!</v>
      </c>
      <c r="G139" s="339" t="e">
        <f t="shared" si="40"/>
        <v>#DIV/0!</v>
      </c>
      <c r="H139" s="339" t="e">
        <f t="shared" si="40"/>
        <v>#DIV/0!</v>
      </c>
      <c r="I139" s="339" t="e">
        <f t="shared" si="40"/>
        <v>#DIV/0!</v>
      </c>
      <c r="J139" s="339" t="e">
        <f t="shared" si="40"/>
        <v>#DIV/0!</v>
      </c>
      <c r="K139" s="339">
        <f t="shared" si="40"/>
        <v>0</v>
      </c>
    </row>
    <row r="140" spans="2:11" s="1" customFormat="1" ht="12.75">
      <c r="B140" s="479"/>
      <c r="D140" s="11"/>
      <c r="E140" s="1" t="s">
        <v>190</v>
      </c>
      <c r="F140" s="339"/>
      <c r="G140" s="339" t="e">
        <f>+G137/G136</f>
        <v>#DIV/0!</v>
      </c>
      <c r="H140" s="339" t="e">
        <f>+H137/H136</f>
        <v>#DIV/0!</v>
      </c>
      <c r="I140" s="339" t="e">
        <f>+I137/I136</f>
        <v>#DIV/0!</v>
      </c>
      <c r="J140" s="339" t="e">
        <f>+J137/J136</f>
        <v>#DIV/0!</v>
      </c>
      <c r="K140" s="339" t="e">
        <f>+K137/K136</f>
        <v>#DIV/0!</v>
      </c>
    </row>
    <row r="141" spans="2:9" s="1" customFormat="1" ht="7.5" customHeight="1">
      <c r="B141" s="479"/>
      <c r="D141" s="11"/>
      <c r="F141" s="339"/>
      <c r="G141" s="339"/>
      <c r="H141" s="339"/>
      <c r="I141" s="339" t="s">
        <v>186</v>
      </c>
    </row>
    <row r="142" spans="2:46" s="1" customFormat="1" ht="12.75">
      <c r="B142" s="479"/>
      <c r="D142" s="11" t="s">
        <v>608</v>
      </c>
      <c r="E142" s="1" t="s">
        <v>187</v>
      </c>
      <c r="F142" s="14">
        <f>SUM('BCWS by JOB'!F39)</f>
        <v>0</v>
      </c>
      <c r="G142" s="14">
        <f>SUM('BCWS by JOB'!G39)+F142</f>
        <v>0</v>
      </c>
      <c r="H142" s="14">
        <f>SUM('BCWS by JOB'!H39)+G142</f>
        <v>0</v>
      </c>
      <c r="I142" s="14">
        <f>SUM('BCWS by JOB'!I39)+H142</f>
        <v>0</v>
      </c>
      <c r="J142" s="14">
        <f>SUM('BCWS by JOB'!J39)+I142</f>
        <v>0</v>
      </c>
      <c r="K142" s="14">
        <f>SUM('BCWS by JOB'!K39)+J142</f>
        <v>0</v>
      </c>
      <c r="L142" s="14">
        <f>SUM('BCWS by JOB'!L39)+K142</f>
        <v>0</v>
      </c>
      <c r="M142" s="14">
        <f>SUM('BCWS by JOB'!M39)+L142</f>
        <v>0</v>
      </c>
      <c r="N142" s="14">
        <f>SUM('BCWS by JOB'!N39)+M142</f>
        <v>0</v>
      </c>
      <c r="O142" s="14">
        <f>SUM('BCWS by JOB'!O39)+N142</f>
        <v>4</v>
      </c>
      <c r="P142" s="14">
        <f>SUM('BCWS by JOB'!P39)+O142</f>
        <v>8</v>
      </c>
      <c r="Q142" s="14">
        <f>SUM('BCWS by JOB'!Q39)+P142</f>
        <v>12</v>
      </c>
      <c r="R142" s="14">
        <f>SUM('BCWS by JOB'!R39)+Q142</f>
        <v>17</v>
      </c>
      <c r="S142" s="14">
        <f>SUM('BCWS by JOB'!S39)+R142</f>
        <v>20</v>
      </c>
      <c r="T142" s="14">
        <f>SUM('BCWS by JOB'!T39)+S142</f>
        <v>27</v>
      </c>
      <c r="U142" s="14">
        <f>SUM('BCWS by JOB'!U39)+T142</f>
        <v>31</v>
      </c>
      <c r="V142" s="14">
        <f>SUM('BCWS by JOB'!V39)+U142</f>
        <v>31</v>
      </c>
      <c r="W142" s="14">
        <f>SUM('BCWS by JOB'!W39)+V142</f>
        <v>46</v>
      </c>
      <c r="X142" s="14">
        <f>SUM('BCWS by JOB'!X39)+W142</f>
        <v>58</v>
      </c>
      <c r="Y142" s="14">
        <f>SUM('BCWS by JOB'!Y39)+X142</f>
        <v>61</v>
      </c>
      <c r="Z142" s="14">
        <f>SUM('BCWS by JOB'!Z39)+Y142</f>
        <v>67</v>
      </c>
      <c r="AA142" s="14">
        <f>SUM('BCWS by JOB'!AA39)+Z142</f>
        <v>71</v>
      </c>
      <c r="AB142" s="14">
        <f>SUM('BCWS by JOB'!AB39)+AA142</f>
        <v>71</v>
      </c>
      <c r="AC142" s="14">
        <f>SUM('BCWS by JOB'!AC39)+AB142</f>
        <v>71</v>
      </c>
      <c r="AD142" s="14">
        <f>SUM('BCWS by JOB'!AD39)+AC142</f>
        <v>71</v>
      </c>
      <c r="AE142" s="14">
        <f>SUM('BCWS by JOB'!AE39)+AD142</f>
        <v>71</v>
      </c>
      <c r="AF142" s="14">
        <f>SUM('BCWS by JOB'!AF39)+AE142</f>
        <v>71</v>
      </c>
      <c r="AG142" s="14">
        <f>SUM('BCWS by JOB'!AG39)+AF142</f>
        <v>71</v>
      </c>
      <c r="AH142" s="14">
        <f>SUM('BCWS by JOB'!AH39)+AG142</f>
        <v>71</v>
      </c>
      <c r="AI142" s="14">
        <f>SUM('BCWS by JOB'!AI39)+AH142</f>
        <v>71</v>
      </c>
      <c r="AJ142" s="14">
        <f>SUM('BCWS by JOB'!AJ39)+AI142</f>
        <v>71</v>
      </c>
      <c r="AK142" s="14">
        <f>SUM('BCWS by JOB'!AK39)+AJ142</f>
        <v>71</v>
      </c>
      <c r="AL142" s="14">
        <f>SUM('BCWS by JOB'!AL39)+AK142</f>
        <v>71</v>
      </c>
      <c r="AM142" s="14">
        <f>SUM('BCWS by JOB'!AM39)+AL142</f>
        <v>71</v>
      </c>
      <c r="AN142" s="14">
        <f>SUM('BCWS by JOB'!AN39)+AM142</f>
        <v>73</v>
      </c>
      <c r="AO142" s="14"/>
      <c r="AP142" s="14"/>
      <c r="AQ142" s="14"/>
      <c r="AR142" s="14"/>
      <c r="AS142" s="14"/>
      <c r="AT142" s="14"/>
    </row>
    <row r="143" spans="2:11" s="1" customFormat="1" ht="12.75">
      <c r="B143" s="479"/>
      <c r="D143" s="11">
        <v>1355</v>
      </c>
      <c r="E143" s="1" t="s">
        <v>188</v>
      </c>
      <c r="F143" s="1">
        <f>SUM('BCWP by JOB'!D39)</f>
        <v>0</v>
      </c>
      <c r="G143" s="1">
        <f>SUM('BCWP by JOB'!E39)+F143</f>
        <v>0</v>
      </c>
      <c r="H143" s="1">
        <f>SUM('BCWP by JOB'!F39)+G143</f>
        <v>0</v>
      </c>
      <c r="I143" s="1">
        <f>SUM('BCWP by JOB'!G39)+H143</f>
        <v>0</v>
      </c>
      <c r="J143" s="1">
        <f>SUM('BCWP by JOB'!H39)+I143</f>
        <v>0</v>
      </c>
      <c r="K143" s="1">
        <f>SUM('BCWP by JOB'!I39)+J143</f>
        <v>0</v>
      </c>
    </row>
    <row r="144" spans="2:11" s="1" customFormat="1" ht="12.75">
      <c r="B144" s="479"/>
      <c r="D144" s="11"/>
      <c r="E144" s="1" t="s">
        <v>189</v>
      </c>
      <c r="F144" s="240">
        <f>SUM('ACWP by JOB'!E39)</f>
        <v>0</v>
      </c>
      <c r="G144" s="240">
        <f>SUM('ACWP by JOB'!F39)+F144</f>
        <v>0</v>
      </c>
      <c r="H144" s="240">
        <f>SUM('ACWP by JOB'!G39)+G144</f>
        <v>0</v>
      </c>
      <c r="I144" s="240">
        <f>SUM('ACWP by JOB'!H39)+H144</f>
        <v>0</v>
      </c>
      <c r="J144" s="240">
        <f>SUM('ACWP by JOB'!I39)+I144</f>
        <v>0</v>
      </c>
      <c r="K144" s="240">
        <f>SUM('ACWP by JOB'!J39)+J144</f>
        <v>0</v>
      </c>
    </row>
    <row r="145" spans="2:11" s="1" customFormat="1" ht="12.75">
      <c r="B145" s="479"/>
      <c r="D145" s="11"/>
      <c r="E145" s="1" t="s">
        <v>191</v>
      </c>
      <c r="F145" s="339" t="e">
        <f aca="true" t="shared" si="41" ref="F145:K145">+F143/F144</f>
        <v>#DIV/0!</v>
      </c>
      <c r="G145" s="339" t="e">
        <f t="shared" si="41"/>
        <v>#DIV/0!</v>
      </c>
      <c r="H145" s="339" t="e">
        <f t="shared" si="41"/>
        <v>#DIV/0!</v>
      </c>
      <c r="I145" s="339" t="e">
        <f t="shared" si="41"/>
        <v>#DIV/0!</v>
      </c>
      <c r="J145" s="339" t="e">
        <f t="shared" si="41"/>
        <v>#DIV/0!</v>
      </c>
      <c r="K145" s="339" t="e">
        <f t="shared" si="41"/>
        <v>#DIV/0!</v>
      </c>
    </row>
    <row r="146" spans="2:11" s="1" customFormat="1" ht="12.75">
      <c r="B146" s="479"/>
      <c r="D146" s="11"/>
      <c r="E146" s="1" t="s">
        <v>190</v>
      </c>
      <c r="F146" s="339"/>
      <c r="G146" s="339" t="e">
        <f>+G143/G142</f>
        <v>#DIV/0!</v>
      </c>
      <c r="H146" s="339" t="e">
        <f>+H143/H142</f>
        <v>#DIV/0!</v>
      </c>
      <c r="I146" s="339" t="e">
        <f>+I143/I142</f>
        <v>#DIV/0!</v>
      </c>
      <c r="J146" s="339" t="e">
        <f>+J143/J142</f>
        <v>#DIV/0!</v>
      </c>
      <c r="K146" s="339" t="e">
        <f>+K143/K142</f>
        <v>#DIV/0!</v>
      </c>
    </row>
    <row r="148" spans="2:55" s="1" customFormat="1" ht="12.75">
      <c r="B148" s="479"/>
      <c r="D148" s="11" t="s">
        <v>615</v>
      </c>
      <c r="E148" s="1" t="s">
        <v>187</v>
      </c>
      <c r="F148" s="14">
        <f>SUM('BCWS by JOB'!F49,'BCWS by JOB'!F51)</f>
        <v>0</v>
      </c>
      <c r="G148" s="14">
        <f>SUM('BCWS by JOB'!G49,'BCWS by JOB'!G51)+F148</f>
        <v>0</v>
      </c>
      <c r="H148" s="14">
        <f>SUM('BCWS by JOB'!H49,'BCWS by JOB'!H51)+G148</f>
        <v>0</v>
      </c>
      <c r="I148" s="14">
        <f>SUM('BCWS by JOB'!I49,'BCWS by JOB'!I51)+H148</f>
        <v>0</v>
      </c>
      <c r="J148" s="14">
        <f>SUM('BCWS by JOB'!J49,'BCWS by JOB'!J51)+I148</f>
        <v>0</v>
      </c>
      <c r="K148" s="14">
        <f>SUM('BCWS by JOB'!K49,'BCWS by JOB'!K51)+J148</f>
        <v>0</v>
      </c>
      <c r="L148" s="14">
        <f>SUM('BCWS by JOB'!L49,'BCWS by JOB'!L51)+K148</f>
        <v>0</v>
      </c>
      <c r="M148" s="14">
        <f>SUM('BCWS by JOB'!M49,'BCWS by JOB'!M51)+L148</f>
        <v>0</v>
      </c>
      <c r="N148" s="14">
        <f>SUM('BCWS by JOB'!N49,'BCWS by JOB'!N51)+M148</f>
        <v>0</v>
      </c>
      <c r="O148" s="14">
        <f>SUM('BCWS by JOB'!O49,'BCWS by JOB'!O51)+N148</f>
        <v>0</v>
      </c>
      <c r="P148" s="14">
        <f>SUM('BCWS by JOB'!P49,'BCWS by JOB'!P51)+O148</f>
        <v>0</v>
      </c>
      <c r="Q148" s="14">
        <f>SUM('BCWS by JOB'!Q49,'BCWS by JOB'!Q51)+P148</f>
        <v>0</v>
      </c>
      <c r="R148" s="14">
        <f>SUM('BCWS by JOB'!R49,'BCWS by JOB'!R51)+Q148</f>
        <v>0</v>
      </c>
      <c r="S148" s="14">
        <f>SUM('BCWS by JOB'!S49,'BCWS by JOB'!S51)+R148</f>
        <v>0</v>
      </c>
      <c r="T148" s="14">
        <f>SUM('BCWS by JOB'!T49,'BCWS by JOB'!T51)+S148</f>
        <v>0</v>
      </c>
      <c r="U148" s="14">
        <f>SUM('BCWS by JOB'!U49,'BCWS by JOB'!U51)+T148</f>
        <v>0</v>
      </c>
      <c r="V148" s="14">
        <f>SUM('BCWS by JOB'!V49,'BCWS by JOB'!V51)+U148</f>
        <v>0</v>
      </c>
      <c r="W148" s="14">
        <f>SUM('BCWS by JOB'!W49,'BCWS by JOB'!W51)+V148</f>
        <v>6</v>
      </c>
      <c r="X148" s="14">
        <f>SUM('BCWS by JOB'!X49,'BCWS by JOB'!X51)+W148</f>
        <v>10</v>
      </c>
      <c r="Y148" s="14">
        <f>SUM('BCWS by JOB'!Y49,'BCWS by JOB'!Y51)+X148</f>
        <v>14</v>
      </c>
      <c r="Z148" s="14">
        <f>SUM('BCWS by JOB'!Z49,'BCWS by JOB'!Z51)+Y148</f>
        <v>24</v>
      </c>
      <c r="AA148" s="14">
        <f>SUM('BCWS by JOB'!AA49,'BCWS by JOB'!AA51)+Z148</f>
        <v>46</v>
      </c>
      <c r="AB148" s="14">
        <f>SUM('BCWS by JOB'!AB49,'BCWS by JOB'!AB51)+AA148</f>
        <v>89</v>
      </c>
      <c r="AC148" s="14">
        <f>SUM('BCWS by JOB'!AC49,'BCWS by JOB'!AC51)+AB148</f>
        <v>133</v>
      </c>
      <c r="AD148" s="14">
        <f>SUM('BCWS by JOB'!AD49,'BCWS by JOB'!AD51)+AC148</f>
        <v>154</v>
      </c>
      <c r="AE148" s="14">
        <f>SUM('BCWS by JOB'!AE49,'BCWS by JOB'!AE51)+AD148</f>
        <v>177</v>
      </c>
      <c r="AF148" s="14">
        <f>SUM('BCWS by JOB'!AF49,'BCWS by JOB'!AF51)+AE148</f>
        <v>200</v>
      </c>
      <c r="AG148" s="14">
        <f>SUM('BCWS by JOB'!AG49,'BCWS by JOB'!AG51)+AF148</f>
        <v>207</v>
      </c>
      <c r="AH148" s="14">
        <f>SUM('BCWS by JOB'!AH49,'BCWS by JOB'!AH51)+AG148</f>
        <v>207</v>
      </c>
      <c r="AI148" s="14">
        <f>SUM('BCWS by JOB'!AI49,'BCWS by JOB'!AI51)+AH148</f>
        <v>281</v>
      </c>
      <c r="AJ148" s="14">
        <f>SUM('BCWS by JOB'!AJ49,'BCWS by JOB'!AJ51)+AI148</f>
        <v>345</v>
      </c>
      <c r="AK148" s="14">
        <f>SUM('BCWS by JOB'!AK49,'BCWS by JOB'!AK51)+AJ148</f>
        <v>399</v>
      </c>
      <c r="AL148" s="14">
        <f>SUM('BCWS by JOB'!AL49,'BCWS by JOB'!AL51)+AK148</f>
        <v>451</v>
      </c>
      <c r="AM148" s="14">
        <f>SUM('BCWS by JOB'!AM49,'BCWS by JOB'!AM51)+AL148</f>
        <v>487</v>
      </c>
      <c r="AN148" s="14">
        <f>SUM('BCWS by JOB'!AN49,'BCWS by JOB'!AN51)+AM148</f>
        <v>518</v>
      </c>
      <c r="AO148" s="14">
        <f>SUM('BCWS by JOB'!AO49,'BCWS by JOB'!AO51)+AN148</f>
        <v>532</v>
      </c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</row>
    <row r="149" spans="2:11" s="1" customFormat="1" ht="12.75">
      <c r="B149" s="479"/>
      <c r="D149" s="11" t="s">
        <v>616</v>
      </c>
      <c r="E149" s="1" t="s">
        <v>188</v>
      </c>
      <c r="F149" s="1">
        <f>SUM('BCWP by JOB'!D49,'BCWP by JOB'!D51)</f>
        <v>0</v>
      </c>
      <c r="G149" s="1">
        <f>SUM('BCWP by JOB'!E49,'BCWP by JOB'!E51)+F149</f>
        <v>0</v>
      </c>
      <c r="H149" s="1">
        <f>SUM('BCWP by JOB'!F49,'BCWP by JOB'!F51)+G149</f>
        <v>0</v>
      </c>
      <c r="I149" s="1">
        <f>SUM('BCWP by JOB'!G49,'BCWP by JOB'!G51)+H149</f>
        <v>0</v>
      </c>
      <c r="J149" s="1">
        <f>SUM('BCWP by JOB'!H49,'BCWP by JOB'!H51)+I149</f>
        <v>0</v>
      </c>
      <c r="K149" s="1">
        <f>SUM('BCWP by JOB'!I49,'BCWP by JOB'!I51)+J149</f>
        <v>0</v>
      </c>
    </row>
    <row r="150" spans="2:11" s="1" customFormat="1" ht="12.75">
      <c r="B150" s="479"/>
      <c r="D150" s="11"/>
      <c r="E150" s="1" t="s">
        <v>189</v>
      </c>
      <c r="F150" s="240">
        <f>SUM('ACWP by JOB'!E49,'ACWP by JOB'!E51)</f>
        <v>-0.23265</v>
      </c>
      <c r="G150" s="240">
        <f>SUM('ACWP by JOB'!F49,'ACWP by JOB'!F51)+F150</f>
        <v>2.84865</v>
      </c>
      <c r="H150" s="240">
        <f>SUM('ACWP by JOB'!G49,'ACWP by JOB'!G51)+G150</f>
        <v>4.302221401457453</v>
      </c>
      <c r="I150" s="240">
        <f>SUM('ACWP by JOB'!H49,'ACWP by JOB'!H51)+H150</f>
        <v>4.302221401457453</v>
      </c>
      <c r="J150" s="240">
        <f>SUM('ACWP by JOB'!I49,'ACWP by JOB'!I51)+I150</f>
        <v>5.233221401457453</v>
      </c>
      <c r="K150" s="240">
        <f>SUM('ACWP by JOB'!J49,'ACWP by JOB'!J51)+J150</f>
        <v>5.233221401457453</v>
      </c>
    </row>
    <row r="151" spans="2:11" s="1" customFormat="1" ht="12.75">
      <c r="B151" s="479"/>
      <c r="D151" s="11"/>
      <c r="E151" s="1" t="s">
        <v>191</v>
      </c>
      <c r="F151" s="339">
        <f aca="true" t="shared" si="42" ref="F151:K151">+F149/F150</f>
        <v>0</v>
      </c>
      <c r="G151" s="339">
        <f t="shared" si="42"/>
        <v>0</v>
      </c>
      <c r="H151" s="339">
        <f t="shared" si="42"/>
        <v>0</v>
      </c>
      <c r="I151" s="339">
        <f t="shared" si="42"/>
        <v>0</v>
      </c>
      <c r="J151" s="339">
        <f t="shared" si="42"/>
        <v>0</v>
      </c>
      <c r="K151" s="339">
        <f t="shared" si="42"/>
        <v>0</v>
      </c>
    </row>
    <row r="152" spans="2:11" s="1" customFormat="1" ht="12.75">
      <c r="B152" s="479"/>
      <c r="D152" s="11"/>
      <c r="E152" s="1" t="s">
        <v>190</v>
      </c>
      <c r="F152" s="339" t="e">
        <f aca="true" t="shared" si="43" ref="F152:K152">+F149/F148</f>
        <v>#DIV/0!</v>
      </c>
      <c r="G152" s="339" t="e">
        <f t="shared" si="43"/>
        <v>#DIV/0!</v>
      </c>
      <c r="H152" s="339" t="e">
        <f t="shared" si="43"/>
        <v>#DIV/0!</v>
      </c>
      <c r="I152" s="339" t="e">
        <f t="shared" si="43"/>
        <v>#DIV/0!</v>
      </c>
      <c r="J152" s="339" t="e">
        <f t="shared" si="43"/>
        <v>#DIV/0!</v>
      </c>
      <c r="K152" s="339" t="e">
        <f t="shared" si="43"/>
        <v>#DIV/0!</v>
      </c>
    </row>
    <row r="153" spans="2:9" s="1" customFormat="1" ht="6.75" customHeight="1">
      <c r="B153" s="479"/>
      <c r="D153" s="11"/>
      <c r="F153" s="339"/>
      <c r="G153" s="339"/>
      <c r="H153" s="339"/>
      <c r="I153" s="339"/>
    </row>
    <row r="154" spans="2:78" s="1" customFormat="1" ht="12.75">
      <c r="B154" s="479"/>
      <c r="D154" s="11" t="s">
        <v>617</v>
      </c>
      <c r="E154" s="1" t="s">
        <v>187</v>
      </c>
      <c r="F154" s="14">
        <f>SUM('BCWS by JOB'!F50,'BCWS by JOB'!F52)</f>
        <v>0</v>
      </c>
      <c r="G154" s="14">
        <f>SUM('BCWS by JOB'!G50,'BCWS by JOB'!G52)+F154</f>
        <v>0</v>
      </c>
      <c r="H154" s="14">
        <f>SUM('BCWS by JOB'!H50,'BCWS by JOB'!H52)+G154</f>
        <v>0</v>
      </c>
      <c r="I154" s="14">
        <f>SUM('BCWS by JOB'!I50,'BCWS by JOB'!I52)+H154</f>
        <v>0</v>
      </c>
      <c r="J154" s="14">
        <f>SUM('BCWS by JOB'!J50,'BCWS by JOB'!J52)+I154</f>
        <v>0</v>
      </c>
      <c r="K154" s="14">
        <f>SUM('BCWS by JOB'!K50,'BCWS by JOB'!K52)+J154</f>
        <v>43</v>
      </c>
      <c r="L154" s="14">
        <f>SUM('BCWS by JOB'!L50,'BCWS by JOB'!L52)+K154</f>
        <v>79</v>
      </c>
      <c r="M154" s="14">
        <f>SUM('BCWS by JOB'!M50,'BCWS by JOB'!M52)+L154</f>
        <v>107</v>
      </c>
      <c r="N154" s="14">
        <f>SUM('BCWS by JOB'!N50,'BCWS by JOB'!N52)+M154</f>
        <v>148</v>
      </c>
      <c r="O154" s="14">
        <f>SUM('BCWS by JOB'!O50,'BCWS by JOB'!O52)+N154</f>
        <v>163</v>
      </c>
      <c r="P154" s="14">
        <f>SUM('BCWS by JOB'!P50,'BCWS by JOB'!P52)+O154</f>
        <v>165</v>
      </c>
      <c r="Q154" s="14">
        <f>SUM('BCWS by JOB'!Q50,'BCWS by JOB'!Q52)+P154</f>
        <v>166</v>
      </c>
      <c r="R154" s="14">
        <f>SUM('BCWS by JOB'!R50,'BCWS by JOB'!R52)+Q154</f>
        <v>167</v>
      </c>
      <c r="S154" s="14">
        <f>SUM('BCWS by JOB'!S50,'BCWS by JOB'!S52)+R154</f>
        <v>173</v>
      </c>
      <c r="T154" s="14">
        <f>SUM('BCWS by JOB'!T50,'BCWS by JOB'!T52)+S154</f>
        <v>191</v>
      </c>
      <c r="U154" s="14">
        <f>SUM('BCWS by JOB'!U50,'BCWS by JOB'!U52)+T154</f>
        <v>208</v>
      </c>
      <c r="V154" s="14">
        <f>SUM('BCWS by JOB'!V50,'BCWS by JOB'!V52)+U154</f>
        <v>226</v>
      </c>
      <c r="W154" s="14">
        <f>SUM('BCWS by JOB'!W50,'BCWS by JOB'!W52)+V154</f>
        <v>246</v>
      </c>
      <c r="X154" s="14">
        <f>SUM('BCWS by JOB'!X50,'BCWS by JOB'!X52)+W154</f>
        <v>252</v>
      </c>
      <c r="Y154" s="14">
        <f>SUM('BCWS by JOB'!Y50,'BCWS by JOB'!Y52)+X154</f>
        <v>253</v>
      </c>
      <c r="Z154" s="14">
        <f>SUM('BCWS by JOB'!Z50,'BCWS by JOB'!Z52)+Y154</f>
        <v>254</v>
      </c>
      <c r="AA154" s="14">
        <f>SUM('BCWS by JOB'!AA50,'BCWS by JOB'!AA52)+Z154</f>
        <v>255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2:10" s="1" customFormat="1" ht="12.75">
      <c r="B155" s="479"/>
      <c r="D155" s="11" t="s">
        <v>618</v>
      </c>
      <c r="E155" s="1" t="s">
        <v>188</v>
      </c>
      <c r="F155" s="1">
        <f>SUM('BCWP by JOB'!D50,'BCWP by JOB'!D52)</f>
        <v>0</v>
      </c>
      <c r="G155" s="1">
        <f>SUM('BCWP by JOB'!E50,'BCWP by JOB'!E52)+F155</f>
        <v>0</v>
      </c>
      <c r="H155" s="1">
        <f>SUM('BCWP by JOB'!F50,'BCWP by JOB'!F52)+G155</f>
        <v>0</v>
      </c>
      <c r="I155" s="1">
        <f>SUM('BCWP by JOB'!G50,'BCWP by JOB'!G52)+H155</f>
        <v>0</v>
      </c>
      <c r="J155" s="1">
        <f>SUM('BCWP by JOB'!H50,'BCWP by JOB'!H52)+I155</f>
        <v>10.83</v>
      </c>
    </row>
    <row r="156" spans="2:11" s="1" customFormat="1" ht="12.75">
      <c r="B156" s="479"/>
      <c r="D156" s="11"/>
      <c r="E156" s="1" t="s">
        <v>189</v>
      </c>
      <c r="F156" s="240">
        <f>SUM('ACWP by JOB'!E50,'ACWP by JOB'!E52)</f>
        <v>0</v>
      </c>
      <c r="G156" s="240">
        <f>SUM('ACWP by JOB'!F50,'ACWP by JOB'!F52)+F156</f>
        <v>0</v>
      </c>
      <c r="H156" s="240">
        <f>SUM('ACWP by JOB'!G50,'ACWP by JOB'!G52)+G156</f>
        <v>0</v>
      </c>
      <c r="I156" s="240">
        <f>SUM('ACWP by JOB'!H50,'ACWP by JOB'!H52)+H156</f>
        <v>0</v>
      </c>
      <c r="J156" s="240">
        <f>SUM('ACWP by JOB'!I50,'ACWP by JOB'!I52)+I156</f>
        <v>0</v>
      </c>
      <c r="K156" s="1" t="s">
        <v>186</v>
      </c>
    </row>
    <row r="157" spans="2:10" s="1" customFormat="1" ht="12.75">
      <c r="B157" s="479"/>
      <c r="D157" s="11"/>
      <c r="E157" s="1" t="s">
        <v>191</v>
      </c>
      <c r="F157" s="339" t="e">
        <f>+F155/F156</f>
        <v>#DIV/0!</v>
      </c>
      <c r="G157" s="339" t="e">
        <f>+G155/G156</f>
        <v>#DIV/0!</v>
      </c>
      <c r="H157" s="339" t="e">
        <f>+H155/H156</f>
        <v>#DIV/0!</v>
      </c>
      <c r="I157" s="339" t="e">
        <f>+I155/I156</f>
        <v>#DIV/0!</v>
      </c>
      <c r="J157" s="339" t="e">
        <f>+J155/J156</f>
        <v>#DIV/0!</v>
      </c>
    </row>
    <row r="158" spans="2:10" s="1" customFormat="1" ht="12.75">
      <c r="B158" s="479"/>
      <c r="D158" s="11"/>
      <c r="E158" s="1" t="s">
        <v>190</v>
      </c>
      <c r="F158" s="339" t="e">
        <f>+F155/F154</f>
        <v>#DIV/0!</v>
      </c>
      <c r="G158" s="339" t="e">
        <f>+G155/G154</f>
        <v>#DIV/0!</v>
      </c>
      <c r="H158" s="339" t="e">
        <f>+H155/H154</f>
        <v>#DIV/0!</v>
      </c>
      <c r="I158" s="339" t="e">
        <f>+I155/I154</f>
        <v>#DIV/0!</v>
      </c>
      <c r="J158" s="339" t="e">
        <f>+J155/J154</f>
        <v>#DIV/0!</v>
      </c>
    </row>
    <row r="159" spans="2:31" s="1" customFormat="1" ht="5.25" customHeight="1">
      <c r="B159" s="479"/>
      <c r="D159" s="11"/>
      <c r="F159" s="339"/>
      <c r="G159" s="339"/>
      <c r="H159" s="339"/>
      <c r="I159" s="339"/>
      <c r="AE159" s="1" t="s">
        <v>186</v>
      </c>
    </row>
    <row r="160" spans="2:41" s="1" customFormat="1" ht="12.75">
      <c r="B160" s="479"/>
      <c r="D160" s="11" t="s">
        <v>619</v>
      </c>
      <c r="E160" s="1" t="s">
        <v>187</v>
      </c>
      <c r="F160" s="14">
        <f>SUM('BCWS by JOB'!F53)</f>
        <v>9</v>
      </c>
      <c r="G160" s="14">
        <f>SUM('BCWS by JOB'!G53)+F160</f>
        <v>24</v>
      </c>
      <c r="H160" s="14">
        <f>SUM('BCWS by JOB'!H53)+G160</f>
        <v>41</v>
      </c>
      <c r="I160" s="14">
        <f>SUM('BCWS by JOB'!I53)+H160</f>
        <v>67</v>
      </c>
      <c r="J160" s="14">
        <f>SUM('BCWS by JOB'!J53)+I160</f>
        <v>92</v>
      </c>
      <c r="K160" s="14">
        <f>SUM('BCWS by JOB'!K53)+J160</f>
        <v>120</v>
      </c>
      <c r="L160" s="14">
        <f>SUM('BCWS by JOB'!L53)+K160</f>
        <v>139</v>
      </c>
      <c r="M160" s="14">
        <f>SUM('BCWS by JOB'!M53)+L160</f>
        <v>164</v>
      </c>
      <c r="N160" s="14">
        <f>SUM('BCWS by JOB'!N53)+M160</f>
        <v>201</v>
      </c>
      <c r="O160" s="14">
        <f>SUM('BCWS by JOB'!O53)+N160</f>
        <v>236</v>
      </c>
      <c r="P160" s="14">
        <f>SUM('BCWS by JOB'!P53)+O160</f>
        <v>271</v>
      </c>
      <c r="Q160" s="14">
        <f>SUM('BCWS by JOB'!Q53)+P160</f>
        <v>307</v>
      </c>
      <c r="R160" s="14">
        <f>SUM('BCWS by JOB'!R53)+Q160</f>
        <v>339</v>
      </c>
      <c r="S160" s="14">
        <f>SUM('BCWS by JOB'!S53)+R160</f>
        <v>371</v>
      </c>
      <c r="T160" s="14">
        <f>SUM('BCWS by JOB'!T53)+S160</f>
        <v>404</v>
      </c>
      <c r="U160" s="14">
        <f>SUM('BCWS by JOB'!U53)+T160</f>
        <v>438</v>
      </c>
      <c r="V160" s="14">
        <f>SUM('BCWS by JOB'!V53)+U160</f>
        <v>477</v>
      </c>
      <c r="W160" s="14">
        <f>SUM('BCWS by JOB'!W53)+V160</f>
        <v>496</v>
      </c>
      <c r="X160" s="14">
        <f>SUM('BCWS by JOB'!X53)+W160</f>
        <v>503</v>
      </c>
      <c r="Y160" s="14">
        <f>SUM('BCWS by JOB'!Y53)+X160</f>
        <v>510</v>
      </c>
      <c r="Z160" s="14">
        <f>SUM('BCWS by JOB'!Z53)+Y160</f>
        <v>517</v>
      </c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2:10" s="1" customFormat="1" ht="12.75">
      <c r="B161" s="479"/>
      <c r="D161" s="11">
        <v>1806</v>
      </c>
      <c r="E161" s="1" t="s">
        <v>188</v>
      </c>
      <c r="F161" s="1">
        <f>SUM('BCWP by JOB'!D53)</f>
        <v>0</v>
      </c>
      <c r="G161" s="1">
        <f>SUM('BCWP by JOB'!E53)+F161</f>
        <v>3</v>
      </c>
      <c r="H161" s="1">
        <f>SUM('BCWP by JOB'!F53)+G161</f>
        <v>25</v>
      </c>
      <c r="I161" s="1">
        <f>SUM('BCWP by JOB'!G53)+H161</f>
        <v>27.7446855</v>
      </c>
      <c r="J161" s="1">
        <f>SUM('BCWP by JOB'!H53)+I161</f>
        <v>36.15</v>
      </c>
    </row>
    <row r="162" spans="2:11" s="1" customFormat="1" ht="12.75">
      <c r="B162" s="479"/>
      <c r="D162" s="11"/>
      <c r="E162" s="1" t="s">
        <v>189</v>
      </c>
      <c r="F162" s="240">
        <f>SUM('ACWP by JOB'!E53)</f>
        <v>0</v>
      </c>
      <c r="G162" s="240">
        <f>SUM('ACWP by JOB'!F53)+F162</f>
        <v>0</v>
      </c>
      <c r="H162" s="240">
        <f>SUM('ACWP by JOB'!G53)+G162</f>
        <v>-0.128</v>
      </c>
      <c r="I162" s="240">
        <f>SUM('ACWP by JOB'!H53)+H162</f>
        <v>2.0069999999999997</v>
      </c>
      <c r="J162" s="240">
        <f>SUM('ACWP by JOB'!I53)+I162</f>
        <v>2.0069999999999997</v>
      </c>
      <c r="K162" s="1" t="s">
        <v>186</v>
      </c>
    </row>
    <row r="163" spans="2:11" s="1" customFormat="1" ht="12.75">
      <c r="B163" s="479"/>
      <c r="D163" s="11"/>
      <c r="E163" s="1" t="s">
        <v>191</v>
      </c>
      <c r="F163" s="339" t="e">
        <f>+F161/F162</f>
        <v>#DIV/0!</v>
      </c>
      <c r="G163" s="339" t="e">
        <f>+G161/G162</f>
        <v>#DIV/0!</v>
      </c>
      <c r="H163" s="339">
        <f>+H161/H162</f>
        <v>-195.3125</v>
      </c>
      <c r="I163" s="339">
        <f>+I161/I162</f>
        <v>13.823958893871453</v>
      </c>
      <c r="J163" s="339">
        <f>+J161/J162</f>
        <v>18.011958146487295</v>
      </c>
      <c r="K163" s="1" t="s">
        <v>186</v>
      </c>
    </row>
    <row r="164" spans="2:10" s="1" customFormat="1" ht="12.75">
      <c r="B164" s="479"/>
      <c r="D164" s="11"/>
      <c r="E164" s="1" t="s">
        <v>190</v>
      </c>
      <c r="F164" s="339">
        <f>+F161/F160</f>
        <v>0</v>
      </c>
      <c r="G164" s="339">
        <f>+G161/G160</f>
        <v>0.125</v>
      </c>
      <c r="H164" s="339">
        <f>+H161/H160</f>
        <v>0.6097560975609756</v>
      </c>
      <c r="I164" s="339">
        <f>+I161/I160</f>
        <v>0.41409978358208954</v>
      </c>
      <c r="J164" s="339">
        <f>+J161/J160</f>
        <v>0.39293478260869563</v>
      </c>
    </row>
  </sheetData>
  <mergeCells count="38">
    <mergeCell ref="C34:D34"/>
    <mergeCell ref="C10:D10"/>
    <mergeCell ref="C16:D16"/>
    <mergeCell ref="C22:D22"/>
    <mergeCell ref="C28:D28"/>
    <mergeCell ref="F1:J1"/>
    <mergeCell ref="AU1:AZ1"/>
    <mergeCell ref="AI1:AT1"/>
    <mergeCell ref="W1:AH1"/>
    <mergeCell ref="K1:V1"/>
    <mergeCell ref="C40:D40"/>
    <mergeCell ref="C41:D41"/>
    <mergeCell ref="C46:D46"/>
    <mergeCell ref="C47:D47"/>
    <mergeCell ref="C52:D52"/>
    <mergeCell ref="C53:D53"/>
    <mergeCell ref="C58:D58"/>
    <mergeCell ref="C59:D59"/>
    <mergeCell ref="C64:D64"/>
    <mergeCell ref="C65:D65"/>
    <mergeCell ref="C70:D70"/>
    <mergeCell ref="C71:D71"/>
    <mergeCell ref="C76:D76"/>
    <mergeCell ref="C77:D77"/>
    <mergeCell ref="C82:D82"/>
    <mergeCell ref="C83:D83"/>
    <mergeCell ref="C88:D88"/>
    <mergeCell ref="C89:D89"/>
    <mergeCell ref="C94:D94"/>
    <mergeCell ref="C95:D95"/>
    <mergeCell ref="C100:D100"/>
    <mergeCell ref="C101:D101"/>
    <mergeCell ref="C106:D106"/>
    <mergeCell ref="C107:D107"/>
    <mergeCell ref="C112:D112"/>
    <mergeCell ref="C113:D113"/>
    <mergeCell ref="C118:D118"/>
    <mergeCell ref="C119:D119"/>
  </mergeCells>
  <printOptions/>
  <pageMargins left="0.75" right="0.75" top="0.18" bottom="0.27" header="0.2" footer="0.26"/>
  <pageSetup fitToHeight="1" fitToWidth="1" horizontalDpi="600" verticalDpi="600" orientation="portrait" paperSize="167" scale="50" r:id="rId1"/>
  <ignoredErrors>
    <ignoredError sqref="K123:K124 J123:J124 H127:I161 J40:J118 L139:L144 L40:L126 L158:L161 F40:F161 G127:G161 G40:G125 H40:I125 J159:J161 J147:J148 L146:L148 J141:J142 J127:J130 L128:L131 J135:J136 L133:L137 J153:J154 L150:L156 K40 K45:K46 K51:K52 K57:K58 K63:K64 K69:K70 K75:K76 K81:K82 K87:K88 K93:K94 K99:K100 K105:K106 K111:K112 K117:K118 K129:K130 K135:K136 K141:K142 K147:K148 K153:K161 K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R300"/>
  <sheetViews>
    <sheetView showZeros="0" workbookViewId="0" topLeftCell="A1">
      <pane ySplit="2" topLeftCell="BM30" activePane="bottomLeft" state="frozen"/>
      <selection pane="topLeft" activeCell="A1" sqref="A1"/>
      <selection pane="bottomLeft" activeCell="E38" sqref="E38"/>
    </sheetView>
  </sheetViews>
  <sheetFormatPr defaultColWidth="9.140625" defaultRowHeight="12.75"/>
  <cols>
    <col min="1" max="1" width="19.7109375" style="1" customWidth="1"/>
    <col min="2" max="2" width="47.421875" style="1" customWidth="1"/>
    <col min="3" max="3" width="17.00390625" style="1" customWidth="1"/>
    <col min="4" max="4" width="7.140625" style="11" customWidth="1"/>
    <col min="5" max="5" width="11.00390625" style="1" customWidth="1"/>
    <col min="6" max="6" width="5.8515625" style="1" customWidth="1"/>
    <col min="7" max="7" width="6.00390625" style="2" customWidth="1"/>
    <col min="8" max="8" width="6.28125" style="2" customWidth="1"/>
    <col min="9" max="9" width="6.140625" style="3" customWidth="1"/>
    <col min="10" max="10" width="6.00390625" style="3" customWidth="1"/>
    <col min="11" max="13" width="6.00390625" style="24" customWidth="1"/>
    <col min="14" max="22" width="6.00390625" style="2" customWidth="1"/>
    <col min="23" max="43" width="6.8515625" style="2" customWidth="1"/>
    <col min="44" max="44" width="6.8515625" style="3" customWidth="1"/>
    <col min="45" max="51" width="6.8515625" style="2" customWidth="1"/>
    <col min="52" max="52" width="8.28125" style="2" customWidth="1"/>
    <col min="53" max="53" width="8.57421875" style="2" customWidth="1"/>
    <col min="54" max="54" width="9.00390625" style="2" customWidth="1"/>
    <col min="55" max="56" width="8.28125" style="2" customWidth="1"/>
    <col min="57" max="57" width="8.7109375" style="1" customWidth="1"/>
    <col min="58" max="58" width="8.28125" style="1" customWidth="1"/>
    <col min="59" max="60" width="8.7109375" style="1" customWidth="1"/>
    <col min="61" max="62" width="8.421875" style="1" customWidth="1"/>
    <col min="63" max="63" width="8.140625" style="1" customWidth="1"/>
    <col min="64" max="64" width="9.00390625" style="1" customWidth="1"/>
    <col min="65" max="65" width="8.57421875" style="1" customWidth="1"/>
    <col min="66" max="66" width="9.00390625" style="1" customWidth="1"/>
    <col min="67" max="68" width="6.00390625" style="1" customWidth="1"/>
    <col min="69" max="69" width="11.00390625" style="1" bestFit="1" customWidth="1"/>
    <col min="70" max="70" width="10.421875" style="1" bestFit="1" customWidth="1"/>
    <col min="71" max="81" width="6.7109375" style="1" bestFit="1" customWidth="1"/>
    <col min="82" max="82" width="6.28125" style="1" bestFit="1" customWidth="1"/>
    <col min="83" max="83" width="21.140625" style="1" bestFit="1" customWidth="1"/>
    <col min="84" max="84" width="8.57421875" style="1" bestFit="1" customWidth="1"/>
    <col min="85" max="85" width="16.57421875" style="1" bestFit="1" customWidth="1"/>
    <col min="86" max="16384" width="7.421875" style="1" customWidth="1"/>
  </cols>
  <sheetData>
    <row r="1" spans="6:52" ht="13.5" thickBot="1">
      <c r="F1" s="1177" t="s">
        <v>675</v>
      </c>
      <c r="G1" s="1172"/>
      <c r="H1" s="1172"/>
      <c r="I1" s="1172"/>
      <c r="J1" s="1173"/>
      <c r="K1" s="1181" t="s">
        <v>675</v>
      </c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3"/>
      <c r="W1" s="1178" t="s">
        <v>675</v>
      </c>
      <c r="X1" s="1179"/>
      <c r="Y1" s="1179"/>
      <c r="Z1" s="1179"/>
      <c r="AA1" s="1179"/>
      <c r="AB1" s="1179"/>
      <c r="AC1" s="1179"/>
      <c r="AD1" s="1179"/>
      <c r="AE1" s="1179"/>
      <c r="AF1" s="1179"/>
      <c r="AG1" s="1179"/>
      <c r="AH1" s="1180"/>
      <c r="AI1" s="1178" t="s">
        <v>667</v>
      </c>
      <c r="AJ1" s="1172"/>
      <c r="AK1" s="1172"/>
      <c r="AL1" s="1172"/>
      <c r="AM1" s="1172"/>
      <c r="AN1" s="1172"/>
      <c r="AO1" s="1172"/>
      <c r="AP1" s="1172"/>
      <c r="AQ1" s="1172"/>
      <c r="AR1" s="1172"/>
      <c r="AS1" s="1172"/>
      <c r="AT1" s="1173"/>
      <c r="AU1" s="1178" t="s">
        <v>666</v>
      </c>
      <c r="AV1" s="1179"/>
      <c r="AW1" s="1179"/>
      <c r="AX1" s="1179"/>
      <c r="AY1" s="1179"/>
      <c r="AZ1" s="1180"/>
    </row>
    <row r="2" spans="1:70" s="585" customFormat="1" ht="36" customHeight="1" thickBot="1">
      <c r="A2" s="576" t="s">
        <v>486</v>
      </c>
      <c r="B2" s="577" t="s">
        <v>252</v>
      </c>
      <c r="C2" s="584" t="s">
        <v>817</v>
      </c>
      <c r="D2" s="578" t="s">
        <v>485</v>
      </c>
      <c r="E2" s="579" t="s">
        <v>738</v>
      </c>
      <c r="F2" s="580" t="s">
        <v>669</v>
      </c>
      <c r="G2" s="581" t="s">
        <v>673</v>
      </c>
      <c r="H2" s="581" t="s">
        <v>674</v>
      </c>
      <c r="I2" s="581" t="s">
        <v>676</v>
      </c>
      <c r="J2" s="582" t="s">
        <v>677</v>
      </c>
      <c r="K2" s="576" t="s">
        <v>678</v>
      </c>
      <c r="L2" s="583" t="s">
        <v>679</v>
      </c>
      <c r="M2" s="583" t="s">
        <v>680</v>
      </c>
      <c r="N2" s="583" t="s">
        <v>681</v>
      </c>
      <c r="O2" s="583" t="s">
        <v>682</v>
      </c>
      <c r="P2" s="583" t="s">
        <v>683</v>
      </c>
      <c r="Q2" s="583" t="s">
        <v>684</v>
      </c>
      <c r="R2" s="583" t="s">
        <v>670</v>
      </c>
      <c r="S2" s="583" t="s">
        <v>685</v>
      </c>
      <c r="T2" s="583" t="s">
        <v>686</v>
      </c>
      <c r="U2" s="583" t="s">
        <v>687</v>
      </c>
      <c r="V2" s="577" t="s">
        <v>688</v>
      </c>
      <c r="W2" s="576" t="s">
        <v>689</v>
      </c>
      <c r="X2" s="583" t="s">
        <v>690</v>
      </c>
      <c r="Y2" s="583" t="s">
        <v>691</v>
      </c>
      <c r="Z2" s="583" t="s">
        <v>692</v>
      </c>
      <c r="AA2" s="583" t="s">
        <v>693</v>
      </c>
      <c r="AB2" s="583" t="s">
        <v>694</v>
      </c>
      <c r="AC2" s="583" t="s">
        <v>695</v>
      </c>
      <c r="AD2" s="583" t="s">
        <v>671</v>
      </c>
      <c r="AE2" s="583" t="s">
        <v>696</v>
      </c>
      <c r="AF2" s="583" t="s">
        <v>697</v>
      </c>
      <c r="AG2" s="583" t="s">
        <v>698</v>
      </c>
      <c r="AH2" s="577" t="s">
        <v>699</v>
      </c>
      <c r="AI2" s="576" t="s">
        <v>700</v>
      </c>
      <c r="AJ2" s="583" t="s">
        <v>701</v>
      </c>
      <c r="AK2" s="583" t="s">
        <v>702</v>
      </c>
      <c r="AL2" s="583" t="s">
        <v>703</v>
      </c>
      <c r="AM2" s="583" t="s">
        <v>704</v>
      </c>
      <c r="AN2" s="583" t="s">
        <v>705</v>
      </c>
      <c r="AO2" s="583" t="s">
        <v>706</v>
      </c>
      <c r="AP2" s="583" t="s">
        <v>672</v>
      </c>
      <c r="AQ2" s="583" t="s">
        <v>707</v>
      </c>
      <c r="AR2" s="583" t="s">
        <v>708</v>
      </c>
      <c r="AS2" s="583" t="s">
        <v>709</v>
      </c>
      <c r="AT2" s="577" t="s">
        <v>710</v>
      </c>
      <c r="AU2" s="576" t="s">
        <v>711</v>
      </c>
      <c r="AV2" s="583" t="s">
        <v>712</v>
      </c>
      <c r="AW2" s="583" t="s">
        <v>713</v>
      </c>
      <c r="AX2" s="583" t="s">
        <v>714</v>
      </c>
      <c r="AY2" s="583" t="s">
        <v>715</v>
      </c>
      <c r="AZ2" s="577" t="s">
        <v>716</v>
      </c>
      <c r="BA2" s="584"/>
      <c r="BB2" s="584" t="s">
        <v>330</v>
      </c>
      <c r="BC2" s="584" t="s">
        <v>331</v>
      </c>
      <c r="BD2" s="584" t="s">
        <v>332</v>
      </c>
      <c r="BE2" s="584" t="s">
        <v>309</v>
      </c>
      <c r="BF2" s="584" t="s">
        <v>310</v>
      </c>
      <c r="BG2" s="584" t="s">
        <v>333</v>
      </c>
      <c r="BH2" s="584" t="s">
        <v>334</v>
      </c>
      <c r="BI2" s="584" t="s">
        <v>335</v>
      </c>
      <c r="BJ2" s="584" t="s">
        <v>336</v>
      </c>
      <c r="BK2" s="584" t="s">
        <v>337</v>
      </c>
      <c r="BL2" s="584" t="s">
        <v>338</v>
      </c>
      <c r="BM2" s="584" t="s">
        <v>339</v>
      </c>
      <c r="BN2" s="584" t="s">
        <v>340</v>
      </c>
      <c r="BO2" s="584" t="s">
        <v>341</v>
      </c>
      <c r="BP2" s="584" t="s">
        <v>342</v>
      </c>
      <c r="BQ2" s="584" t="s">
        <v>311</v>
      </c>
      <c r="BR2" s="584" t="s">
        <v>312</v>
      </c>
    </row>
    <row r="3" spans="1:64" ht="12.75">
      <c r="A3" s="508" t="s">
        <v>343</v>
      </c>
      <c r="B3" s="509" t="s">
        <v>410</v>
      </c>
      <c r="C3" s="443"/>
      <c r="D3" s="477">
        <f>SUM(F3:BO3)</f>
        <v>3844</v>
      </c>
      <c r="E3" s="504">
        <f>SUM(F3:K3)</f>
        <v>372</v>
      </c>
      <c r="F3" s="485">
        <v>61</v>
      </c>
      <c r="G3" s="486">
        <v>54</v>
      </c>
      <c r="H3" s="486">
        <v>54</v>
      </c>
      <c r="I3" s="486">
        <v>59</v>
      </c>
      <c r="J3" s="487">
        <v>49</v>
      </c>
      <c r="K3" s="432">
        <v>95</v>
      </c>
      <c r="L3" s="493">
        <v>83</v>
      </c>
      <c r="M3" s="493">
        <v>62</v>
      </c>
      <c r="N3" s="493">
        <v>91</v>
      </c>
      <c r="O3" s="493">
        <v>87</v>
      </c>
      <c r="P3" s="493">
        <v>87</v>
      </c>
      <c r="Q3" s="493">
        <v>91</v>
      </c>
      <c r="R3" s="493">
        <v>87</v>
      </c>
      <c r="S3" s="493">
        <v>87</v>
      </c>
      <c r="T3" s="493">
        <v>91</v>
      </c>
      <c r="U3" s="493">
        <v>87</v>
      </c>
      <c r="V3" s="433">
        <v>87</v>
      </c>
      <c r="W3" s="443">
        <v>107</v>
      </c>
      <c r="X3" s="443">
        <v>84</v>
      </c>
      <c r="Y3" s="443">
        <v>79</v>
      </c>
      <c r="Z3" s="443">
        <v>98</v>
      </c>
      <c r="AA3" s="443">
        <v>93</v>
      </c>
      <c r="AB3" s="443">
        <v>102</v>
      </c>
      <c r="AC3" s="443">
        <v>102</v>
      </c>
      <c r="AD3" s="443">
        <v>93</v>
      </c>
      <c r="AE3" s="443">
        <v>102</v>
      </c>
      <c r="AF3" s="443">
        <v>102</v>
      </c>
      <c r="AG3" s="443">
        <v>98</v>
      </c>
      <c r="AH3" s="443">
        <v>98</v>
      </c>
      <c r="AI3" s="443">
        <v>95</v>
      </c>
      <c r="AJ3" s="443">
        <v>82</v>
      </c>
      <c r="AK3" s="443">
        <v>69</v>
      </c>
      <c r="AL3" s="443">
        <v>87</v>
      </c>
      <c r="AM3" s="443">
        <v>87</v>
      </c>
      <c r="AN3" s="443">
        <v>100</v>
      </c>
      <c r="AO3" s="443">
        <v>95</v>
      </c>
      <c r="AP3" s="443">
        <v>87</v>
      </c>
      <c r="AQ3" s="443">
        <v>95</v>
      </c>
      <c r="AR3" s="443">
        <v>91</v>
      </c>
      <c r="AS3" s="443">
        <v>95</v>
      </c>
      <c r="AT3" s="443">
        <v>91</v>
      </c>
      <c r="AU3" s="443">
        <v>80</v>
      </c>
      <c r="AV3" s="443">
        <v>76</v>
      </c>
      <c r="AW3" s="443">
        <v>64</v>
      </c>
      <c r="AX3" s="443">
        <v>80</v>
      </c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</row>
    <row r="4" spans="1:64" s="18" customFormat="1" ht="12.75">
      <c r="A4" s="490" t="s">
        <v>343</v>
      </c>
      <c r="B4" s="492" t="s">
        <v>411</v>
      </c>
      <c r="C4" s="443"/>
      <c r="D4" s="477">
        <f>SUM(F4:BO4)</f>
        <v>497</v>
      </c>
      <c r="E4" s="502">
        <f>SUM(F4:K4)</f>
        <v>75</v>
      </c>
      <c r="F4" s="490">
        <v>13</v>
      </c>
      <c r="G4" s="491">
        <v>12</v>
      </c>
      <c r="H4" s="491">
        <v>12</v>
      </c>
      <c r="I4" s="491">
        <v>13</v>
      </c>
      <c r="J4" s="492">
        <v>11</v>
      </c>
      <c r="K4" s="490">
        <v>14</v>
      </c>
      <c r="L4" s="491">
        <v>13</v>
      </c>
      <c r="M4" s="491">
        <v>10</v>
      </c>
      <c r="N4" s="491">
        <v>14</v>
      </c>
      <c r="O4" s="491">
        <v>13</v>
      </c>
      <c r="P4" s="491">
        <v>13</v>
      </c>
      <c r="Q4" s="491">
        <v>14</v>
      </c>
      <c r="R4" s="491">
        <v>13</v>
      </c>
      <c r="S4" s="491">
        <v>13</v>
      </c>
      <c r="T4" s="491">
        <v>14</v>
      </c>
      <c r="U4" s="491">
        <v>13</v>
      </c>
      <c r="V4" s="492">
        <v>13</v>
      </c>
      <c r="W4" s="443">
        <v>14</v>
      </c>
      <c r="X4" s="443">
        <v>12</v>
      </c>
      <c r="Y4" s="443">
        <v>11</v>
      </c>
      <c r="Z4" s="443">
        <v>13</v>
      </c>
      <c r="AA4" s="443">
        <v>13</v>
      </c>
      <c r="AB4" s="443">
        <v>14</v>
      </c>
      <c r="AC4" s="443">
        <v>14</v>
      </c>
      <c r="AD4" s="443">
        <v>13</v>
      </c>
      <c r="AE4" s="443">
        <v>14</v>
      </c>
      <c r="AF4" s="443">
        <v>14</v>
      </c>
      <c r="AG4" s="443">
        <v>13</v>
      </c>
      <c r="AH4" s="443">
        <v>13</v>
      </c>
      <c r="AI4" s="443">
        <v>9</v>
      </c>
      <c r="AJ4" s="443">
        <v>8</v>
      </c>
      <c r="AK4" s="443">
        <v>7</v>
      </c>
      <c r="AL4" s="443">
        <v>8</v>
      </c>
      <c r="AM4" s="443">
        <v>8</v>
      </c>
      <c r="AN4" s="443">
        <v>9</v>
      </c>
      <c r="AO4" s="443">
        <v>9</v>
      </c>
      <c r="AP4" s="443">
        <v>8</v>
      </c>
      <c r="AQ4" s="443">
        <v>9</v>
      </c>
      <c r="AR4" s="443">
        <v>9</v>
      </c>
      <c r="AS4" s="443">
        <v>9</v>
      </c>
      <c r="AT4" s="443">
        <v>9</v>
      </c>
      <c r="AU4" s="443">
        <v>5</v>
      </c>
      <c r="AV4" s="443">
        <v>5</v>
      </c>
      <c r="AW4" s="443">
        <v>4</v>
      </c>
      <c r="AX4" s="443">
        <v>5</v>
      </c>
      <c r="AY4" s="443"/>
      <c r="AZ4" s="443"/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</row>
    <row r="5" spans="1:64" ht="13.5" thickBot="1">
      <c r="A5" s="494" t="s">
        <v>343</v>
      </c>
      <c r="B5" s="436" t="s">
        <v>412</v>
      </c>
      <c r="C5" s="443"/>
      <c r="D5" s="477">
        <f>SUM(F5:BO5)</f>
        <v>1453</v>
      </c>
      <c r="E5" s="505">
        <f>SUM(F5:K5)</f>
        <v>181</v>
      </c>
      <c r="F5" s="435">
        <v>30</v>
      </c>
      <c r="G5" s="488">
        <v>29</v>
      </c>
      <c r="H5" s="488">
        <v>29</v>
      </c>
      <c r="I5" s="488">
        <v>31</v>
      </c>
      <c r="J5" s="489">
        <v>26</v>
      </c>
      <c r="K5" s="494">
        <v>36</v>
      </c>
      <c r="L5" s="495">
        <v>31</v>
      </c>
      <c r="M5" s="495">
        <v>23</v>
      </c>
      <c r="N5" s="495">
        <v>34</v>
      </c>
      <c r="O5" s="495">
        <v>32</v>
      </c>
      <c r="P5" s="495">
        <v>32</v>
      </c>
      <c r="Q5" s="495">
        <v>34</v>
      </c>
      <c r="R5" s="495">
        <v>32</v>
      </c>
      <c r="S5" s="495">
        <v>32</v>
      </c>
      <c r="T5" s="495">
        <v>34</v>
      </c>
      <c r="U5" s="495">
        <v>32</v>
      </c>
      <c r="V5" s="436">
        <v>31</v>
      </c>
      <c r="W5" s="443">
        <v>38</v>
      </c>
      <c r="X5" s="443">
        <v>30</v>
      </c>
      <c r="Y5" s="443">
        <v>28</v>
      </c>
      <c r="Z5" s="443">
        <v>35</v>
      </c>
      <c r="AA5" s="443">
        <v>33</v>
      </c>
      <c r="AB5" s="443">
        <v>36</v>
      </c>
      <c r="AC5" s="443">
        <v>36</v>
      </c>
      <c r="AD5" s="443">
        <v>33</v>
      </c>
      <c r="AE5" s="443">
        <v>36</v>
      </c>
      <c r="AF5" s="443">
        <v>36</v>
      </c>
      <c r="AG5" s="443">
        <v>35</v>
      </c>
      <c r="AH5" s="443">
        <v>31</v>
      </c>
      <c r="AI5" s="443">
        <v>38</v>
      </c>
      <c r="AJ5" s="443">
        <v>33</v>
      </c>
      <c r="AK5" s="443">
        <v>28</v>
      </c>
      <c r="AL5" s="443">
        <v>35</v>
      </c>
      <c r="AM5" s="443">
        <v>35</v>
      </c>
      <c r="AN5" s="443">
        <v>40</v>
      </c>
      <c r="AO5" s="443">
        <v>38</v>
      </c>
      <c r="AP5" s="443">
        <v>35</v>
      </c>
      <c r="AQ5" s="443">
        <v>38</v>
      </c>
      <c r="AR5" s="443">
        <v>36</v>
      </c>
      <c r="AS5" s="443">
        <v>38</v>
      </c>
      <c r="AT5" s="443">
        <v>36</v>
      </c>
      <c r="AU5" s="443">
        <v>23</v>
      </c>
      <c r="AV5" s="443">
        <v>22</v>
      </c>
      <c r="AW5" s="443">
        <v>19</v>
      </c>
      <c r="AX5" s="443">
        <v>23</v>
      </c>
      <c r="AY5" s="443">
        <v>1</v>
      </c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</row>
    <row r="6" spans="1:70" ht="13.5" thickBot="1">
      <c r="A6" s="443"/>
      <c r="B6" s="424" t="s">
        <v>659</v>
      </c>
      <c r="C6" s="375"/>
      <c r="D6" s="345">
        <f aca="true" t="shared" si="0" ref="D6:AI6">SUM(D3:D5)</f>
        <v>5794</v>
      </c>
      <c r="E6" s="388">
        <f t="shared" si="0"/>
        <v>628</v>
      </c>
      <c r="F6" s="359">
        <f t="shared" si="0"/>
        <v>104</v>
      </c>
      <c r="G6" s="360">
        <f t="shared" si="0"/>
        <v>95</v>
      </c>
      <c r="H6" s="360">
        <f t="shared" si="0"/>
        <v>95</v>
      </c>
      <c r="I6" s="360">
        <f t="shared" si="0"/>
        <v>103</v>
      </c>
      <c r="J6" s="361">
        <f t="shared" si="0"/>
        <v>86</v>
      </c>
      <c r="K6" s="359">
        <f t="shared" si="0"/>
        <v>145</v>
      </c>
      <c r="L6" s="360">
        <f t="shared" si="0"/>
        <v>127</v>
      </c>
      <c r="M6" s="360">
        <f t="shared" si="0"/>
        <v>95</v>
      </c>
      <c r="N6" s="360">
        <f t="shared" si="0"/>
        <v>139</v>
      </c>
      <c r="O6" s="360">
        <f t="shared" si="0"/>
        <v>132</v>
      </c>
      <c r="P6" s="360">
        <f t="shared" si="0"/>
        <v>132</v>
      </c>
      <c r="Q6" s="360">
        <f t="shared" si="0"/>
        <v>139</v>
      </c>
      <c r="R6" s="360">
        <f t="shared" si="0"/>
        <v>132</v>
      </c>
      <c r="S6" s="360">
        <f t="shared" si="0"/>
        <v>132</v>
      </c>
      <c r="T6" s="360">
        <f t="shared" si="0"/>
        <v>139</v>
      </c>
      <c r="U6" s="360">
        <f t="shared" si="0"/>
        <v>132</v>
      </c>
      <c r="V6" s="361">
        <f t="shared" si="0"/>
        <v>131</v>
      </c>
      <c r="W6" s="21">
        <f t="shared" si="0"/>
        <v>159</v>
      </c>
      <c r="X6" s="21">
        <f t="shared" si="0"/>
        <v>126</v>
      </c>
      <c r="Y6" s="21">
        <f t="shared" si="0"/>
        <v>118</v>
      </c>
      <c r="Z6" s="21">
        <f t="shared" si="0"/>
        <v>146</v>
      </c>
      <c r="AA6" s="21">
        <f t="shared" si="0"/>
        <v>139</v>
      </c>
      <c r="AB6" s="21">
        <f t="shared" si="0"/>
        <v>152</v>
      </c>
      <c r="AC6" s="21">
        <f t="shared" si="0"/>
        <v>152</v>
      </c>
      <c r="AD6" s="21">
        <f t="shared" si="0"/>
        <v>139</v>
      </c>
      <c r="AE6" s="21">
        <f t="shared" si="0"/>
        <v>152</v>
      </c>
      <c r="AF6" s="21">
        <f t="shared" si="0"/>
        <v>152</v>
      </c>
      <c r="AG6" s="21">
        <f t="shared" si="0"/>
        <v>146</v>
      </c>
      <c r="AH6" s="21">
        <f t="shared" si="0"/>
        <v>142</v>
      </c>
      <c r="AI6" s="21">
        <f t="shared" si="0"/>
        <v>142</v>
      </c>
      <c r="AJ6" s="21">
        <f aca="true" t="shared" si="1" ref="AJ6:BO6">SUM(AJ3:AJ5)</f>
        <v>123</v>
      </c>
      <c r="AK6" s="21">
        <f t="shared" si="1"/>
        <v>104</v>
      </c>
      <c r="AL6" s="21">
        <f t="shared" si="1"/>
        <v>130</v>
      </c>
      <c r="AM6" s="21">
        <f t="shared" si="1"/>
        <v>130</v>
      </c>
      <c r="AN6" s="21">
        <f t="shared" si="1"/>
        <v>149</v>
      </c>
      <c r="AO6" s="21">
        <f t="shared" si="1"/>
        <v>142</v>
      </c>
      <c r="AP6" s="21">
        <f t="shared" si="1"/>
        <v>130</v>
      </c>
      <c r="AQ6" s="21">
        <f t="shared" si="1"/>
        <v>142</v>
      </c>
      <c r="AR6" s="21">
        <f t="shared" si="1"/>
        <v>136</v>
      </c>
      <c r="AS6" s="21">
        <f t="shared" si="1"/>
        <v>142</v>
      </c>
      <c r="AT6" s="21">
        <f t="shared" si="1"/>
        <v>136</v>
      </c>
      <c r="AU6" s="21">
        <f t="shared" si="1"/>
        <v>108</v>
      </c>
      <c r="AV6" s="21">
        <f t="shared" si="1"/>
        <v>103</v>
      </c>
      <c r="AW6" s="21">
        <f t="shared" si="1"/>
        <v>87</v>
      </c>
      <c r="AX6" s="21">
        <f t="shared" si="1"/>
        <v>108</v>
      </c>
      <c r="AY6" s="21">
        <f t="shared" si="1"/>
        <v>1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 t="shared" si="1"/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 t="shared" si="1"/>
        <v>0</v>
      </c>
      <c r="BN6" s="21">
        <f t="shared" si="1"/>
        <v>0</v>
      </c>
      <c r="BO6" s="21">
        <f t="shared" si="1"/>
        <v>0</v>
      </c>
      <c r="BP6" s="21">
        <f>SUM(BP3:BP5)</f>
        <v>0</v>
      </c>
      <c r="BQ6" s="21">
        <f>SUM(BQ3:BQ5)</f>
        <v>0</v>
      </c>
      <c r="BR6" s="21">
        <f>SUM(BR3:BR5)</f>
        <v>0</v>
      </c>
    </row>
    <row r="7" spans="1:64" ht="6.75" customHeight="1" thickBot="1">
      <c r="A7" s="443"/>
      <c r="B7" s="443"/>
      <c r="C7" s="443"/>
      <c r="D7" s="477"/>
      <c r="E7" s="478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</row>
    <row r="8" spans="1:64" ht="12.75">
      <c r="A8" s="432" t="s">
        <v>344</v>
      </c>
      <c r="B8" s="433" t="s">
        <v>373</v>
      </c>
      <c r="C8" s="443"/>
      <c r="D8" s="477">
        <f aca="true" t="shared" si="2" ref="D8:D32">SUM(F8:BO8)</f>
        <v>409</v>
      </c>
      <c r="E8" s="506">
        <f aca="true" t="shared" si="3" ref="E8:E32">SUM(F8:K8)</f>
        <v>73</v>
      </c>
      <c r="F8" s="432"/>
      <c r="G8" s="493">
        <v>17</v>
      </c>
      <c r="H8" s="493">
        <v>25</v>
      </c>
      <c r="I8" s="493">
        <v>4</v>
      </c>
      <c r="J8" s="433"/>
      <c r="K8" s="432">
        <v>27</v>
      </c>
      <c r="L8" s="493">
        <v>29</v>
      </c>
      <c r="M8" s="493">
        <v>2</v>
      </c>
      <c r="N8" s="493"/>
      <c r="O8" s="493"/>
      <c r="P8" s="493"/>
      <c r="Q8" s="493">
        <v>30</v>
      </c>
      <c r="R8" s="493">
        <v>27</v>
      </c>
      <c r="S8" s="493">
        <v>12</v>
      </c>
      <c r="T8" s="493">
        <v>12</v>
      </c>
      <c r="U8" s="493">
        <v>12</v>
      </c>
      <c r="V8" s="433">
        <v>12</v>
      </c>
      <c r="W8" s="443">
        <v>1</v>
      </c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>
        <v>60</v>
      </c>
      <c r="AJ8" s="443">
        <v>88</v>
      </c>
      <c r="AK8" s="443">
        <v>34</v>
      </c>
      <c r="AL8" s="443">
        <v>17</v>
      </c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</row>
    <row r="9" spans="1:64" ht="12.75">
      <c r="A9" s="490" t="s">
        <v>344</v>
      </c>
      <c r="B9" s="492" t="s">
        <v>374</v>
      </c>
      <c r="C9" s="443"/>
      <c r="D9" s="477">
        <f t="shared" si="2"/>
        <v>-252</v>
      </c>
      <c r="E9" s="502">
        <f t="shared" si="3"/>
        <v>-252</v>
      </c>
      <c r="F9" s="490">
        <v>-162</v>
      </c>
      <c r="G9" s="491"/>
      <c r="H9" s="491"/>
      <c r="I9" s="491">
        <v>-90</v>
      </c>
      <c r="J9" s="492"/>
      <c r="K9" s="490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2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</row>
    <row r="10" spans="1:64" ht="12.75">
      <c r="A10" s="490" t="s">
        <v>344</v>
      </c>
      <c r="B10" s="492" t="s">
        <v>375</v>
      </c>
      <c r="C10" s="443"/>
      <c r="D10" s="477">
        <f t="shared" si="2"/>
        <v>348</v>
      </c>
      <c r="E10" s="502">
        <f t="shared" si="3"/>
        <v>203</v>
      </c>
      <c r="F10" s="490">
        <v>17</v>
      </c>
      <c r="G10" s="491">
        <v>24</v>
      </c>
      <c r="H10" s="491">
        <v>51</v>
      </c>
      <c r="I10" s="491">
        <v>56</v>
      </c>
      <c r="J10" s="492">
        <v>29</v>
      </c>
      <c r="K10" s="490">
        <v>26</v>
      </c>
      <c r="L10" s="491">
        <v>22</v>
      </c>
      <c r="M10" s="491">
        <v>28</v>
      </c>
      <c r="N10" s="491">
        <v>41</v>
      </c>
      <c r="O10" s="491">
        <v>35</v>
      </c>
      <c r="P10" s="491">
        <v>11</v>
      </c>
      <c r="Q10" s="491">
        <v>5</v>
      </c>
      <c r="R10" s="491">
        <v>3</v>
      </c>
      <c r="S10" s="491"/>
      <c r="T10" s="491"/>
      <c r="U10" s="491"/>
      <c r="V10" s="492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</row>
    <row r="11" spans="1:64" ht="12.75">
      <c r="A11" s="490" t="s">
        <v>344</v>
      </c>
      <c r="B11" s="492" t="s">
        <v>378</v>
      </c>
      <c r="C11" s="443"/>
      <c r="D11" s="477">
        <f t="shared" si="2"/>
        <v>1039</v>
      </c>
      <c r="E11" s="502">
        <f t="shared" si="3"/>
        <v>815</v>
      </c>
      <c r="F11" s="490">
        <v>144</v>
      </c>
      <c r="G11" s="491">
        <v>7</v>
      </c>
      <c r="H11" s="491">
        <v>103</v>
      </c>
      <c r="I11" s="491">
        <v>82</v>
      </c>
      <c r="J11" s="492">
        <v>27</v>
      </c>
      <c r="K11" s="490">
        <v>452</v>
      </c>
      <c r="L11" s="491">
        <v>64</v>
      </c>
      <c r="M11" s="491">
        <v>22</v>
      </c>
      <c r="N11" s="491">
        <v>25</v>
      </c>
      <c r="O11" s="491">
        <v>23</v>
      </c>
      <c r="P11" s="491">
        <v>20</v>
      </c>
      <c r="Q11" s="491">
        <v>11</v>
      </c>
      <c r="R11" s="491">
        <v>10</v>
      </c>
      <c r="S11" s="491">
        <v>10</v>
      </c>
      <c r="T11" s="491">
        <v>10</v>
      </c>
      <c r="U11" s="491">
        <v>6</v>
      </c>
      <c r="V11" s="492">
        <v>6</v>
      </c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>
        <v>12</v>
      </c>
      <c r="AJ11" s="443">
        <v>4</v>
      </c>
      <c r="AK11" s="443">
        <v>1</v>
      </c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</row>
    <row r="12" spans="1:64" ht="12.75">
      <c r="A12" s="490" t="s">
        <v>344</v>
      </c>
      <c r="B12" s="492" t="s">
        <v>376</v>
      </c>
      <c r="C12" s="443"/>
      <c r="D12" s="477">
        <f t="shared" si="2"/>
        <v>2769</v>
      </c>
      <c r="E12" s="502">
        <f t="shared" si="3"/>
        <v>1170</v>
      </c>
      <c r="F12" s="490">
        <v>237</v>
      </c>
      <c r="G12" s="491">
        <v>171</v>
      </c>
      <c r="H12" s="491">
        <v>231</v>
      </c>
      <c r="I12" s="491">
        <v>182</v>
      </c>
      <c r="J12" s="492">
        <v>136</v>
      </c>
      <c r="K12" s="490">
        <v>213</v>
      </c>
      <c r="L12" s="491">
        <v>188</v>
      </c>
      <c r="M12" s="491">
        <v>133</v>
      </c>
      <c r="N12" s="491">
        <v>222</v>
      </c>
      <c r="O12" s="491">
        <v>211</v>
      </c>
      <c r="P12" s="491">
        <v>183</v>
      </c>
      <c r="Q12" s="491">
        <v>209</v>
      </c>
      <c r="R12" s="491">
        <v>193</v>
      </c>
      <c r="S12" s="491">
        <v>156</v>
      </c>
      <c r="T12" s="491">
        <v>87</v>
      </c>
      <c r="U12" s="491">
        <v>16</v>
      </c>
      <c r="V12" s="492">
        <v>1</v>
      </c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</row>
    <row r="13" spans="1:64" ht="12.75">
      <c r="A13" s="490" t="s">
        <v>344</v>
      </c>
      <c r="B13" s="492" t="s">
        <v>377</v>
      </c>
      <c r="C13" s="443"/>
      <c r="D13" s="477">
        <f t="shared" si="2"/>
        <v>501</v>
      </c>
      <c r="E13" s="502">
        <f t="shared" si="3"/>
        <v>147</v>
      </c>
      <c r="F13" s="490"/>
      <c r="G13" s="491">
        <v>4</v>
      </c>
      <c r="H13" s="491">
        <v>19</v>
      </c>
      <c r="I13" s="491">
        <v>20</v>
      </c>
      <c r="J13" s="492">
        <v>47</v>
      </c>
      <c r="K13" s="490">
        <v>57</v>
      </c>
      <c r="L13" s="491">
        <v>43</v>
      </c>
      <c r="M13" s="491">
        <v>26</v>
      </c>
      <c r="N13" s="491">
        <v>42</v>
      </c>
      <c r="O13" s="491">
        <v>43</v>
      </c>
      <c r="P13" s="491">
        <v>42</v>
      </c>
      <c r="Q13" s="491">
        <v>26</v>
      </c>
      <c r="R13" s="491">
        <v>24</v>
      </c>
      <c r="S13" s="491">
        <v>25</v>
      </c>
      <c r="T13" s="491">
        <v>26</v>
      </c>
      <c r="U13" s="491">
        <v>33</v>
      </c>
      <c r="V13" s="492">
        <v>24</v>
      </c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</row>
    <row r="14" spans="1:64" ht="12.75">
      <c r="A14" s="490" t="s">
        <v>344</v>
      </c>
      <c r="B14" s="492" t="s">
        <v>380</v>
      </c>
      <c r="C14" s="443"/>
      <c r="D14" s="477">
        <f t="shared" si="2"/>
        <v>1987</v>
      </c>
      <c r="E14" s="502">
        <f t="shared" si="3"/>
        <v>332</v>
      </c>
      <c r="F14" s="490">
        <v>64</v>
      </c>
      <c r="G14" s="491">
        <v>47</v>
      </c>
      <c r="H14" s="491">
        <v>47</v>
      </c>
      <c r="I14" s="491">
        <v>52</v>
      </c>
      <c r="J14" s="492">
        <v>43</v>
      </c>
      <c r="K14" s="490">
        <v>79</v>
      </c>
      <c r="L14" s="491">
        <v>58</v>
      </c>
      <c r="M14" s="491">
        <v>43</v>
      </c>
      <c r="N14" s="491">
        <v>63</v>
      </c>
      <c r="O14" s="491">
        <v>60</v>
      </c>
      <c r="P14" s="491">
        <v>86</v>
      </c>
      <c r="Q14" s="491">
        <v>71</v>
      </c>
      <c r="R14" s="491">
        <v>67</v>
      </c>
      <c r="S14" s="491">
        <v>66</v>
      </c>
      <c r="T14" s="491">
        <v>68</v>
      </c>
      <c r="U14" s="491">
        <v>64</v>
      </c>
      <c r="V14" s="492">
        <v>63</v>
      </c>
      <c r="W14" s="443">
        <v>89</v>
      </c>
      <c r="X14" s="443">
        <v>65</v>
      </c>
      <c r="Y14" s="443">
        <v>60</v>
      </c>
      <c r="Z14" s="443">
        <v>74</v>
      </c>
      <c r="AA14" s="443">
        <v>81</v>
      </c>
      <c r="AB14" s="443">
        <v>84</v>
      </c>
      <c r="AC14" s="443">
        <v>83</v>
      </c>
      <c r="AD14" s="443">
        <v>74</v>
      </c>
      <c r="AE14" s="443">
        <v>68</v>
      </c>
      <c r="AF14" s="443">
        <v>62</v>
      </c>
      <c r="AG14" s="443">
        <v>59</v>
      </c>
      <c r="AH14" s="443">
        <v>59</v>
      </c>
      <c r="AI14" s="443">
        <v>61</v>
      </c>
      <c r="AJ14" s="443">
        <v>27</v>
      </c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</row>
    <row r="15" spans="1:64" ht="12.75">
      <c r="A15" s="490" t="s">
        <v>344</v>
      </c>
      <c r="B15" s="492" t="s">
        <v>379</v>
      </c>
      <c r="C15" s="443"/>
      <c r="D15" s="477">
        <f t="shared" si="2"/>
        <v>522</v>
      </c>
      <c r="E15" s="502">
        <f t="shared" si="3"/>
        <v>160</v>
      </c>
      <c r="F15" s="490"/>
      <c r="G15" s="491">
        <v>11</v>
      </c>
      <c r="H15" s="491">
        <v>54</v>
      </c>
      <c r="I15" s="491">
        <v>42</v>
      </c>
      <c r="J15" s="492">
        <v>23</v>
      </c>
      <c r="K15" s="490">
        <v>30</v>
      </c>
      <c r="L15" s="491">
        <v>24</v>
      </c>
      <c r="M15" s="491">
        <v>35</v>
      </c>
      <c r="N15" s="491">
        <v>81</v>
      </c>
      <c r="O15" s="491">
        <v>46</v>
      </c>
      <c r="P15" s="491">
        <v>43</v>
      </c>
      <c r="Q15" s="491">
        <v>13</v>
      </c>
      <c r="R15" s="491">
        <v>9</v>
      </c>
      <c r="S15" s="491"/>
      <c r="T15" s="491"/>
      <c r="U15" s="491"/>
      <c r="V15" s="492">
        <v>36</v>
      </c>
      <c r="W15" s="443">
        <v>39</v>
      </c>
      <c r="X15" s="443">
        <v>31</v>
      </c>
      <c r="Y15" s="443">
        <v>5</v>
      </c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</row>
    <row r="16" spans="1:64" ht="12.75">
      <c r="A16" s="490" t="s">
        <v>344</v>
      </c>
      <c r="B16" s="492" t="s">
        <v>381</v>
      </c>
      <c r="C16" s="443"/>
      <c r="D16" s="477">
        <f t="shared" si="2"/>
        <v>5751.559999999999</v>
      </c>
      <c r="E16" s="502">
        <f t="shared" si="3"/>
        <v>1422.71</v>
      </c>
      <c r="F16" s="684">
        <v>190.37</v>
      </c>
      <c r="G16" s="685">
        <v>196.09</v>
      </c>
      <c r="H16" s="685">
        <v>293.87</v>
      </c>
      <c r="I16" s="685">
        <v>280.2</v>
      </c>
      <c r="J16" s="686">
        <v>203.57</v>
      </c>
      <c r="K16" s="684">
        <v>258.61</v>
      </c>
      <c r="L16" s="685">
        <v>185.57</v>
      </c>
      <c r="M16" s="685">
        <v>181.99</v>
      </c>
      <c r="N16" s="685">
        <v>245.18</v>
      </c>
      <c r="O16" s="685">
        <v>192.01</v>
      </c>
      <c r="P16" s="685">
        <v>210.26</v>
      </c>
      <c r="Q16" s="685">
        <v>195.74</v>
      </c>
      <c r="R16" s="685">
        <v>183.27</v>
      </c>
      <c r="S16" s="685">
        <v>168.47</v>
      </c>
      <c r="T16" s="685">
        <v>204.25</v>
      </c>
      <c r="U16" s="685">
        <v>192.9</v>
      </c>
      <c r="V16" s="686">
        <v>204.82</v>
      </c>
      <c r="W16" s="687">
        <v>221.28</v>
      </c>
      <c r="X16" s="687">
        <v>189.05</v>
      </c>
      <c r="Y16" s="687">
        <v>115.13</v>
      </c>
      <c r="Z16" s="687">
        <v>171.14</v>
      </c>
      <c r="AA16" s="687">
        <v>256.69</v>
      </c>
      <c r="AB16" s="687">
        <v>252.23</v>
      </c>
      <c r="AC16" s="687">
        <v>167.24</v>
      </c>
      <c r="AD16" s="687">
        <v>160.74</v>
      </c>
      <c r="AE16" s="687">
        <v>136.4</v>
      </c>
      <c r="AF16" s="687">
        <v>113.32</v>
      </c>
      <c r="AG16" s="687">
        <v>108.17</v>
      </c>
      <c r="AH16" s="687">
        <v>108.17</v>
      </c>
      <c r="AI16" s="687">
        <v>113.32</v>
      </c>
      <c r="AJ16" s="687">
        <v>51.51</v>
      </c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</row>
    <row r="17" spans="1:64" ht="12.75">
      <c r="A17" s="490" t="s">
        <v>344</v>
      </c>
      <c r="B17" s="492" t="s">
        <v>382</v>
      </c>
      <c r="C17" s="443"/>
      <c r="D17" s="477">
        <f t="shared" si="2"/>
        <v>1335</v>
      </c>
      <c r="E17" s="502">
        <f t="shared" si="3"/>
        <v>0</v>
      </c>
      <c r="F17" s="490"/>
      <c r="G17" s="491"/>
      <c r="H17" s="491"/>
      <c r="I17" s="491"/>
      <c r="J17" s="492"/>
      <c r="K17" s="490"/>
      <c r="L17" s="491"/>
      <c r="M17" s="491"/>
      <c r="N17" s="491"/>
      <c r="O17" s="491"/>
      <c r="P17" s="491"/>
      <c r="Q17" s="491"/>
      <c r="R17" s="491"/>
      <c r="S17" s="491"/>
      <c r="T17" s="491">
        <v>155</v>
      </c>
      <c r="U17" s="491">
        <v>55</v>
      </c>
      <c r="V17" s="492">
        <v>13</v>
      </c>
      <c r="W17" s="443">
        <v>3</v>
      </c>
      <c r="X17" s="443">
        <v>30</v>
      </c>
      <c r="Y17" s="443">
        <v>40</v>
      </c>
      <c r="Z17" s="443">
        <v>58</v>
      </c>
      <c r="AA17" s="443">
        <v>49</v>
      </c>
      <c r="AB17" s="443">
        <v>92</v>
      </c>
      <c r="AC17" s="443">
        <v>102</v>
      </c>
      <c r="AD17" s="443">
        <v>112</v>
      </c>
      <c r="AE17" s="443">
        <v>110</v>
      </c>
      <c r="AF17" s="443">
        <v>172</v>
      </c>
      <c r="AG17" s="443">
        <v>123</v>
      </c>
      <c r="AH17" s="443">
        <v>126</v>
      </c>
      <c r="AI17" s="443">
        <v>64</v>
      </c>
      <c r="AJ17" s="443">
        <v>31</v>
      </c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</row>
    <row r="18" spans="1:64" ht="12.75">
      <c r="A18" s="490" t="s">
        <v>344</v>
      </c>
      <c r="B18" s="492" t="s">
        <v>383</v>
      </c>
      <c r="C18" s="443"/>
      <c r="D18" s="477">
        <f t="shared" si="2"/>
        <v>69</v>
      </c>
      <c r="E18" s="502">
        <f t="shared" si="3"/>
        <v>0</v>
      </c>
      <c r="F18" s="490"/>
      <c r="G18" s="491"/>
      <c r="H18" s="491"/>
      <c r="I18" s="491"/>
      <c r="J18" s="492"/>
      <c r="K18" s="490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2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>
        <v>13</v>
      </c>
      <c r="AI18" s="443">
        <v>21</v>
      </c>
      <c r="AJ18" s="443">
        <v>3</v>
      </c>
      <c r="AK18" s="443">
        <v>2</v>
      </c>
      <c r="AL18" s="443">
        <v>3</v>
      </c>
      <c r="AM18" s="443">
        <v>2</v>
      </c>
      <c r="AN18" s="443">
        <v>0</v>
      </c>
      <c r="AO18" s="443">
        <v>2</v>
      </c>
      <c r="AP18" s="443">
        <v>12</v>
      </c>
      <c r="AQ18" s="443">
        <v>11</v>
      </c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</row>
    <row r="19" spans="1:64" ht="12.75">
      <c r="A19" s="490" t="s">
        <v>344</v>
      </c>
      <c r="B19" s="492" t="s">
        <v>384</v>
      </c>
      <c r="C19" s="443"/>
      <c r="D19" s="477">
        <f t="shared" si="2"/>
        <v>170</v>
      </c>
      <c r="E19" s="502">
        <f t="shared" si="3"/>
        <v>0</v>
      </c>
      <c r="F19" s="490"/>
      <c r="G19" s="491"/>
      <c r="H19" s="491"/>
      <c r="I19" s="491"/>
      <c r="J19" s="492"/>
      <c r="K19" s="490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2"/>
      <c r="W19" s="443"/>
      <c r="X19" s="443"/>
      <c r="Y19" s="443"/>
      <c r="Z19" s="443">
        <v>22</v>
      </c>
      <c r="AA19" s="443">
        <v>20</v>
      </c>
      <c r="AB19" s="443">
        <v>25</v>
      </c>
      <c r="AC19" s="443">
        <v>3</v>
      </c>
      <c r="AD19" s="443"/>
      <c r="AE19" s="443"/>
      <c r="AF19" s="443"/>
      <c r="AG19" s="443"/>
      <c r="AH19" s="443"/>
      <c r="AI19" s="443">
        <v>0</v>
      </c>
      <c r="AJ19" s="443">
        <v>7</v>
      </c>
      <c r="AK19" s="443">
        <v>15</v>
      </c>
      <c r="AL19" s="443">
        <v>19</v>
      </c>
      <c r="AM19" s="443">
        <v>19</v>
      </c>
      <c r="AN19" s="443">
        <v>22</v>
      </c>
      <c r="AO19" s="443">
        <v>16</v>
      </c>
      <c r="AP19" s="443">
        <v>2</v>
      </c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</row>
    <row r="20" spans="1:64" ht="12.75">
      <c r="A20" s="490" t="s">
        <v>344</v>
      </c>
      <c r="B20" s="492" t="s">
        <v>385</v>
      </c>
      <c r="C20" s="443"/>
      <c r="D20" s="477">
        <f t="shared" si="2"/>
        <v>290</v>
      </c>
      <c r="E20" s="502">
        <f t="shared" si="3"/>
        <v>239</v>
      </c>
      <c r="F20" s="490">
        <v>12</v>
      </c>
      <c r="G20" s="491">
        <v>15</v>
      </c>
      <c r="H20" s="491">
        <v>22</v>
      </c>
      <c r="I20" s="491">
        <v>96</v>
      </c>
      <c r="J20" s="492">
        <v>37</v>
      </c>
      <c r="K20" s="490">
        <v>57</v>
      </c>
      <c r="L20" s="491">
        <v>24</v>
      </c>
      <c r="M20" s="491">
        <v>17</v>
      </c>
      <c r="N20" s="491">
        <v>9</v>
      </c>
      <c r="O20" s="491">
        <v>1</v>
      </c>
      <c r="P20" s="491"/>
      <c r="Q20" s="491"/>
      <c r="R20" s="491"/>
      <c r="S20" s="491"/>
      <c r="T20" s="491"/>
      <c r="U20" s="491"/>
      <c r="V20" s="492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</row>
    <row r="21" spans="1:64" ht="12.75">
      <c r="A21" s="490" t="s">
        <v>344</v>
      </c>
      <c r="B21" s="492" t="s">
        <v>386</v>
      </c>
      <c r="C21" s="443"/>
      <c r="D21" s="477">
        <f t="shared" si="2"/>
        <v>31</v>
      </c>
      <c r="E21" s="502">
        <f t="shared" si="3"/>
        <v>0</v>
      </c>
      <c r="F21" s="490"/>
      <c r="G21" s="491"/>
      <c r="H21" s="491"/>
      <c r="I21" s="491"/>
      <c r="J21" s="492"/>
      <c r="K21" s="490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2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>
        <v>9</v>
      </c>
      <c r="AJ21" s="443">
        <v>8</v>
      </c>
      <c r="AK21" s="443">
        <v>1</v>
      </c>
      <c r="AL21" s="443">
        <v>2</v>
      </c>
      <c r="AM21" s="443">
        <v>2</v>
      </c>
      <c r="AN21" s="443">
        <v>7</v>
      </c>
      <c r="AO21" s="443">
        <v>2</v>
      </c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</row>
    <row r="22" spans="1:64" ht="12.75">
      <c r="A22" s="490" t="s">
        <v>344</v>
      </c>
      <c r="B22" s="492" t="s">
        <v>387</v>
      </c>
      <c r="C22" s="443"/>
      <c r="D22" s="477">
        <f t="shared" si="2"/>
        <v>263</v>
      </c>
      <c r="E22" s="502">
        <f t="shared" si="3"/>
        <v>0</v>
      </c>
      <c r="F22" s="490"/>
      <c r="G22" s="491"/>
      <c r="H22" s="491"/>
      <c r="I22" s="491"/>
      <c r="J22" s="492"/>
      <c r="K22" s="490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2"/>
      <c r="W22" s="443"/>
      <c r="X22" s="443"/>
      <c r="Y22" s="443"/>
      <c r="Z22" s="443"/>
      <c r="AA22" s="443"/>
      <c r="AB22" s="443">
        <v>25</v>
      </c>
      <c r="AC22" s="443">
        <v>24</v>
      </c>
      <c r="AD22" s="443">
        <v>28</v>
      </c>
      <c r="AE22" s="443">
        <v>24</v>
      </c>
      <c r="AF22" s="443"/>
      <c r="AG22" s="443"/>
      <c r="AH22" s="443"/>
      <c r="AI22" s="443">
        <v>23</v>
      </c>
      <c r="AJ22" s="443">
        <v>20</v>
      </c>
      <c r="AK22" s="443">
        <v>17</v>
      </c>
      <c r="AL22" s="443">
        <v>26</v>
      </c>
      <c r="AM22" s="443">
        <v>29</v>
      </c>
      <c r="AN22" s="443">
        <v>33</v>
      </c>
      <c r="AO22" s="443">
        <v>14</v>
      </c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</row>
    <row r="23" spans="1:64" ht="12.75">
      <c r="A23" s="490" t="s">
        <v>344</v>
      </c>
      <c r="B23" s="492" t="s">
        <v>388</v>
      </c>
      <c r="C23" s="443"/>
      <c r="D23" s="477">
        <f t="shared" si="2"/>
        <v>133</v>
      </c>
      <c r="E23" s="502">
        <f t="shared" si="3"/>
        <v>13</v>
      </c>
      <c r="F23" s="490">
        <v>2</v>
      </c>
      <c r="G23" s="491">
        <v>2</v>
      </c>
      <c r="H23" s="491">
        <v>2</v>
      </c>
      <c r="I23" s="491">
        <v>2</v>
      </c>
      <c r="J23" s="492">
        <v>2</v>
      </c>
      <c r="K23" s="490">
        <v>3</v>
      </c>
      <c r="L23" s="491">
        <v>2</v>
      </c>
      <c r="M23" s="491">
        <v>2</v>
      </c>
      <c r="N23" s="491">
        <v>3</v>
      </c>
      <c r="O23" s="491">
        <v>2</v>
      </c>
      <c r="P23" s="491">
        <v>2</v>
      </c>
      <c r="Q23" s="491">
        <v>3</v>
      </c>
      <c r="R23" s="491">
        <v>2</v>
      </c>
      <c r="S23" s="491">
        <v>2</v>
      </c>
      <c r="T23" s="491">
        <v>3</v>
      </c>
      <c r="U23" s="491">
        <v>2</v>
      </c>
      <c r="V23" s="492">
        <v>2</v>
      </c>
      <c r="W23" s="443">
        <v>3</v>
      </c>
      <c r="X23" s="443">
        <v>2</v>
      </c>
      <c r="Y23" s="443">
        <v>2</v>
      </c>
      <c r="Z23" s="443">
        <v>3</v>
      </c>
      <c r="AA23" s="443">
        <v>2</v>
      </c>
      <c r="AB23" s="443">
        <v>3</v>
      </c>
      <c r="AC23" s="443">
        <v>3</v>
      </c>
      <c r="AD23" s="443">
        <v>2</v>
      </c>
      <c r="AE23" s="443">
        <v>3</v>
      </c>
      <c r="AF23" s="443">
        <v>3</v>
      </c>
      <c r="AG23" s="443">
        <v>3</v>
      </c>
      <c r="AH23" s="443">
        <v>2</v>
      </c>
      <c r="AI23" s="443">
        <v>6</v>
      </c>
      <c r="AJ23" s="443">
        <v>5</v>
      </c>
      <c r="AK23" s="443">
        <v>4</v>
      </c>
      <c r="AL23" s="443">
        <v>5</v>
      </c>
      <c r="AM23" s="443">
        <v>5</v>
      </c>
      <c r="AN23" s="443">
        <v>6</v>
      </c>
      <c r="AO23" s="443">
        <v>6</v>
      </c>
      <c r="AP23" s="443">
        <v>5</v>
      </c>
      <c r="AQ23" s="443">
        <v>6</v>
      </c>
      <c r="AR23" s="443">
        <v>5</v>
      </c>
      <c r="AS23" s="443">
        <v>6</v>
      </c>
      <c r="AT23" s="443">
        <v>5</v>
      </c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</row>
    <row r="24" spans="1:64" ht="12.75">
      <c r="A24" s="490" t="s">
        <v>344</v>
      </c>
      <c r="B24" s="492" t="s">
        <v>389</v>
      </c>
      <c r="C24" s="443"/>
      <c r="D24" s="477">
        <f t="shared" si="2"/>
        <v>46</v>
      </c>
      <c r="E24" s="502">
        <f t="shared" si="3"/>
        <v>0</v>
      </c>
      <c r="F24" s="490"/>
      <c r="G24" s="491"/>
      <c r="H24" s="491"/>
      <c r="I24" s="491"/>
      <c r="J24" s="492"/>
      <c r="K24" s="490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2"/>
      <c r="W24" s="443">
        <v>13</v>
      </c>
      <c r="X24" s="443">
        <v>1</v>
      </c>
      <c r="Y24" s="443">
        <v>1</v>
      </c>
      <c r="Z24" s="443">
        <v>2</v>
      </c>
      <c r="AA24" s="443">
        <v>2</v>
      </c>
      <c r="AB24" s="443">
        <v>1</v>
      </c>
      <c r="AC24" s="443">
        <v>5</v>
      </c>
      <c r="AD24" s="443">
        <v>11</v>
      </c>
      <c r="AE24" s="443">
        <v>8</v>
      </c>
      <c r="AF24" s="443">
        <v>2</v>
      </c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</row>
    <row r="25" spans="1:64" ht="12.75">
      <c r="A25" s="490" t="s">
        <v>344</v>
      </c>
      <c r="B25" s="492" t="s">
        <v>390</v>
      </c>
      <c r="C25" s="443"/>
      <c r="D25" s="477">
        <f t="shared" si="2"/>
        <v>654</v>
      </c>
      <c r="E25" s="502">
        <f t="shared" si="3"/>
        <v>0</v>
      </c>
      <c r="F25" s="490"/>
      <c r="G25" s="491"/>
      <c r="H25" s="491"/>
      <c r="I25" s="491"/>
      <c r="J25" s="492"/>
      <c r="K25" s="490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2"/>
      <c r="W25" s="443">
        <v>23</v>
      </c>
      <c r="X25" s="443">
        <v>18</v>
      </c>
      <c r="Y25" s="443"/>
      <c r="Z25" s="443">
        <v>59</v>
      </c>
      <c r="AA25" s="443">
        <v>35</v>
      </c>
      <c r="AB25" s="443">
        <v>21</v>
      </c>
      <c r="AC25" s="443">
        <v>23</v>
      </c>
      <c r="AD25" s="443">
        <v>17</v>
      </c>
      <c r="AE25" s="443"/>
      <c r="AF25" s="443"/>
      <c r="AG25" s="443">
        <v>30</v>
      </c>
      <c r="AH25" s="443">
        <v>44</v>
      </c>
      <c r="AI25" s="443">
        <v>61</v>
      </c>
      <c r="AJ25" s="443">
        <v>57</v>
      </c>
      <c r="AK25" s="443">
        <v>49</v>
      </c>
      <c r="AL25" s="443">
        <v>55</v>
      </c>
      <c r="AM25" s="443">
        <v>42</v>
      </c>
      <c r="AN25" s="443">
        <v>32</v>
      </c>
      <c r="AO25" s="443">
        <v>29</v>
      </c>
      <c r="AP25" s="443">
        <v>26</v>
      </c>
      <c r="AQ25" s="443">
        <v>30</v>
      </c>
      <c r="AR25" s="443">
        <v>2</v>
      </c>
      <c r="AS25" s="443">
        <v>1</v>
      </c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</row>
    <row r="26" spans="1:64" ht="12.75">
      <c r="A26" s="490" t="s">
        <v>344</v>
      </c>
      <c r="B26" s="492" t="s">
        <v>391</v>
      </c>
      <c r="C26" s="443"/>
      <c r="D26" s="477">
        <f t="shared" si="2"/>
        <v>105</v>
      </c>
      <c r="E26" s="502">
        <f t="shared" si="3"/>
        <v>0</v>
      </c>
      <c r="F26" s="490"/>
      <c r="G26" s="491"/>
      <c r="H26" s="491"/>
      <c r="I26" s="491"/>
      <c r="J26" s="492"/>
      <c r="K26" s="490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2"/>
      <c r="W26" s="443">
        <v>18</v>
      </c>
      <c r="X26" s="443">
        <v>18</v>
      </c>
      <c r="Y26" s="443">
        <v>11</v>
      </c>
      <c r="Z26" s="443">
        <v>13</v>
      </c>
      <c r="AA26" s="443">
        <v>10</v>
      </c>
      <c r="AB26" s="443"/>
      <c r="AC26" s="443"/>
      <c r="AD26" s="443">
        <v>15</v>
      </c>
      <c r="AE26" s="443">
        <v>16</v>
      </c>
      <c r="AF26" s="443">
        <v>4</v>
      </c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</row>
    <row r="27" spans="1:64" ht="12.75">
      <c r="A27" s="490" t="s">
        <v>344</v>
      </c>
      <c r="B27" s="492" t="s">
        <v>392</v>
      </c>
      <c r="C27" s="443"/>
      <c r="D27" s="477">
        <f t="shared" si="2"/>
        <v>573</v>
      </c>
      <c r="E27" s="502">
        <f t="shared" si="3"/>
        <v>0</v>
      </c>
      <c r="F27" s="490"/>
      <c r="G27" s="491"/>
      <c r="H27" s="491"/>
      <c r="I27" s="491"/>
      <c r="J27" s="492"/>
      <c r="K27" s="490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2"/>
      <c r="W27" s="443"/>
      <c r="X27" s="443"/>
      <c r="Y27" s="443"/>
      <c r="Z27" s="443"/>
      <c r="AA27" s="443"/>
      <c r="AB27" s="443"/>
      <c r="AC27" s="443">
        <v>7</v>
      </c>
      <c r="AD27" s="443">
        <v>8</v>
      </c>
      <c r="AE27" s="443">
        <v>23</v>
      </c>
      <c r="AF27" s="443">
        <v>24</v>
      </c>
      <c r="AG27" s="443">
        <v>21</v>
      </c>
      <c r="AH27" s="443">
        <v>23</v>
      </c>
      <c r="AI27" s="443">
        <v>25</v>
      </c>
      <c r="AJ27" s="443">
        <v>57</v>
      </c>
      <c r="AK27" s="443">
        <v>58</v>
      </c>
      <c r="AL27" s="443">
        <v>73</v>
      </c>
      <c r="AM27" s="443">
        <v>68</v>
      </c>
      <c r="AN27" s="443">
        <v>60</v>
      </c>
      <c r="AO27" s="443">
        <v>57</v>
      </c>
      <c r="AP27" s="443">
        <v>45</v>
      </c>
      <c r="AQ27" s="443">
        <v>24</v>
      </c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</row>
    <row r="28" spans="1:64" ht="12.75">
      <c r="A28" s="490" t="s">
        <v>344</v>
      </c>
      <c r="B28" s="492" t="s">
        <v>393</v>
      </c>
      <c r="C28" s="443"/>
      <c r="D28" s="477">
        <f t="shared" si="2"/>
        <v>202</v>
      </c>
      <c r="E28" s="502">
        <f t="shared" si="3"/>
        <v>0</v>
      </c>
      <c r="F28" s="490"/>
      <c r="G28" s="491"/>
      <c r="H28" s="491"/>
      <c r="I28" s="491"/>
      <c r="J28" s="492"/>
      <c r="K28" s="490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2">
        <v>5</v>
      </c>
      <c r="W28" s="443">
        <v>43</v>
      </c>
      <c r="X28" s="443">
        <v>74</v>
      </c>
      <c r="Y28" s="443">
        <v>68</v>
      </c>
      <c r="Z28" s="443">
        <v>12</v>
      </c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</row>
    <row r="29" spans="1:64" ht="12.75">
      <c r="A29" s="490" t="s">
        <v>344</v>
      </c>
      <c r="B29" s="492" t="s">
        <v>394</v>
      </c>
      <c r="C29" s="443"/>
      <c r="D29" s="477">
        <f t="shared" si="2"/>
        <v>1416</v>
      </c>
      <c r="E29" s="502">
        <f t="shared" si="3"/>
        <v>-306</v>
      </c>
      <c r="F29" s="490">
        <v>-308</v>
      </c>
      <c r="G29" s="491"/>
      <c r="H29" s="491"/>
      <c r="I29" s="491"/>
      <c r="J29" s="492"/>
      <c r="K29" s="490">
        <v>2</v>
      </c>
      <c r="L29" s="491">
        <v>2</v>
      </c>
      <c r="M29" s="491">
        <v>1</v>
      </c>
      <c r="N29" s="491">
        <v>2</v>
      </c>
      <c r="O29" s="491">
        <v>2</v>
      </c>
      <c r="P29" s="491">
        <v>2</v>
      </c>
      <c r="Q29" s="491">
        <v>2</v>
      </c>
      <c r="R29" s="491">
        <v>2</v>
      </c>
      <c r="S29" s="491">
        <v>2</v>
      </c>
      <c r="T29" s="491">
        <v>2</v>
      </c>
      <c r="U29" s="491">
        <v>2</v>
      </c>
      <c r="V29" s="492">
        <v>2</v>
      </c>
      <c r="W29" s="443">
        <v>14</v>
      </c>
      <c r="X29" s="443">
        <v>12</v>
      </c>
      <c r="Y29" s="443">
        <v>5</v>
      </c>
      <c r="Z29" s="443">
        <v>71</v>
      </c>
      <c r="AA29" s="443">
        <v>63</v>
      </c>
      <c r="AB29" s="443">
        <v>68</v>
      </c>
      <c r="AC29" s="443">
        <v>66</v>
      </c>
      <c r="AD29" s="443">
        <v>60</v>
      </c>
      <c r="AE29" s="443">
        <v>66</v>
      </c>
      <c r="AF29" s="443">
        <v>66</v>
      </c>
      <c r="AG29" s="443">
        <v>62</v>
      </c>
      <c r="AH29" s="443">
        <v>61</v>
      </c>
      <c r="AI29" s="443">
        <v>64</v>
      </c>
      <c r="AJ29" s="443">
        <v>54</v>
      </c>
      <c r="AK29" s="443">
        <v>45</v>
      </c>
      <c r="AL29" s="443">
        <v>56</v>
      </c>
      <c r="AM29" s="443">
        <v>55</v>
      </c>
      <c r="AN29" s="443">
        <v>86</v>
      </c>
      <c r="AO29" s="443">
        <v>85</v>
      </c>
      <c r="AP29" s="443">
        <v>79</v>
      </c>
      <c r="AQ29" s="443">
        <v>85</v>
      </c>
      <c r="AR29" s="443">
        <v>83</v>
      </c>
      <c r="AS29" s="443">
        <v>84</v>
      </c>
      <c r="AT29" s="443">
        <v>81</v>
      </c>
      <c r="AU29" s="443">
        <v>79</v>
      </c>
      <c r="AV29" s="443">
        <v>77</v>
      </c>
      <c r="AW29" s="443">
        <v>70</v>
      </c>
      <c r="AX29" s="443">
        <v>4</v>
      </c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</row>
    <row r="30" spans="1:64" ht="12.75">
      <c r="A30" s="490" t="s">
        <v>344</v>
      </c>
      <c r="B30" s="492" t="s">
        <v>395</v>
      </c>
      <c r="C30" s="443"/>
      <c r="D30" s="477">
        <f t="shared" si="2"/>
        <v>1406</v>
      </c>
      <c r="E30" s="502">
        <f t="shared" si="3"/>
        <v>0</v>
      </c>
      <c r="F30" s="490"/>
      <c r="G30" s="491"/>
      <c r="H30" s="491"/>
      <c r="I30" s="491"/>
      <c r="J30" s="492"/>
      <c r="K30" s="490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2"/>
      <c r="W30" s="443"/>
      <c r="X30" s="443"/>
      <c r="Y30" s="443"/>
      <c r="Z30" s="443">
        <v>10</v>
      </c>
      <c r="AA30" s="443">
        <v>38</v>
      </c>
      <c r="AB30" s="443">
        <v>42</v>
      </c>
      <c r="AC30" s="443">
        <v>42</v>
      </c>
      <c r="AD30" s="443">
        <v>38</v>
      </c>
      <c r="AE30" s="443">
        <v>42</v>
      </c>
      <c r="AF30" s="443">
        <v>42</v>
      </c>
      <c r="AG30" s="443">
        <v>40</v>
      </c>
      <c r="AH30" s="443">
        <v>42</v>
      </c>
      <c r="AI30" s="443">
        <v>42</v>
      </c>
      <c r="AJ30" s="443">
        <v>40</v>
      </c>
      <c r="AK30" s="443">
        <v>44</v>
      </c>
      <c r="AL30" s="443">
        <v>40</v>
      </c>
      <c r="AM30" s="443">
        <v>38</v>
      </c>
      <c r="AN30" s="443">
        <v>83</v>
      </c>
      <c r="AO30" s="443">
        <v>87</v>
      </c>
      <c r="AP30" s="443">
        <v>83</v>
      </c>
      <c r="AQ30" s="443">
        <v>87</v>
      </c>
      <c r="AR30" s="443">
        <v>87</v>
      </c>
      <c r="AS30" s="443">
        <v>87</v>
      </c>
      <c r="AT30" s="443">
        <v>87</v>
      </c>
      <c r="AU30" s="443">
        <v>83</v>
      </c>
      <c r="AV30" s="443">
        <v>87</v>
      </c>
      <c r="AW30" s="443">
        <v>91</v>
      </c>
      <c r="AX30" s="443">
        <v>4</v>
      </c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</row>
    <row r="31" spans="1:64" ht="12.75">
      <c r="A31" s="490" t="s">
        <v>344</v>
      </c>
      <c r="B31" s="492" t="s">
        <v>396</v>
      </c>
      <c r="C31" s="443"/>
      <c r="D31" s="477">
        <f t="shared" si="2"/>
        <v>4511</v>
      </c>
      <c r="E31" s="502">
        <f t="shared" si="3"/>
        <v>0</v>
      </c>
      <c r="F31" s="490"/>
      <c r="G31" s="491"/>
      <c r="H31" s="491"/>
      <c r="I31" s="491"/>
      <c r="J31" s="492"/>
      <c r="K31" s="490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2"/>
      <c r="W31" s="443"/>
      <c r="X31" s="443">
        <v>59</v>
      </c>
      <c r="Y31" s="443">
        <v>393</v>
      </c>
      <c r="Z31" s="443">
        <v>369</v>
      </c>
      <c r="AA31" s="443">
        <v>129</v>
      </c>
      <c r="AB31" s="443">
        <v>103</v>
      </c>
      <c r="AC31" s="443">
        <v>102</v>
      </c>
      <c r="AD31" s="443">
        <v>108</v>
      </c>
      <c r="AE31" s="443">
        <v>147</v>
      </c>
      <c r="AF31" s="443">
        <v>75</v>
      </c>
      <c r="AG31" s="443">
        <v>74</v>
      </c>
      <c r="AH31" s="443">
        <v>107</v>
      </c>
      <c r="AI31" s="443">
        <v>243</v>
      </c>
      <c r="AJ31" s="443">
        <v>98</v>
      </c>
      <c r="AK31" s="443">
        <v>128</v>
      </c>
      <c r="AL31" s="443">
        <v>224</v>
      </c>
      <c r="AM31" s="443">
        <v>105</v>
      </c>
      <c r="AN31" s="443">
        <v>206</v>
      </c>
      <c r="AO31" s="443">
        <v>295</v>
      </c>
      <c r="AP31" s="443">
        <v>206</v>
      </c>
      <c r="AQ31" s="443">
        <v>172</v>
      </c>
      <c r="AR31" s="443">
        <v>181</v>
      </c>
      <c r="AS31" s="443">
        <v>197</v>
      </c>
      <c r="AT31" s="443">
        <v>151</v>
      </c>
      <c r="AU31" s="443">
        <v>248</v>
      </c>
      <c r="AV31" s="443">
        <v>211</v>
      </c>
      <c r="AW31" s="443">
        <v>157</v>
      </c>
      <c r="AX31" s="443">
        <v>23</v>
      </c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</row>
    <row r="32" spans="1:64" ht="13.5" thickBot="1">
      <c r="A32" s="494" t="s">
        <v>344</v>
      </c>
      <c r="B32" s="436" t="s">
        <v>397</v>
      </c>
      <c r="C32" s="443"/>
      <c r="D32" s="477">
        <f t="shared" si="2"/>
        <v>414</v>
      </c>
      <c r="E32" s="505">
        <f t="shared" si="3"/>
        <v>0</v>
      </c>
      <c r="F32" s="494"/>
      <c r="G32" s="495"/>
      <c r="H32" s="495"/>
      <c r="I32" s="495"/>
      <c r="J32" s="436"/>
      <c r="K32" s="434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500"/>
      <c r="W32" s="443"/>
      <c r="X32" s="443"/>
      <c r="Y32" s="443"/>
      <c r="Z32" s="443">
        <v>6</v>
      </c>
      <c r="AA32" s="443">
        <v>24</v>
      </c>
      <c r="AB32" s="443">
        <v>26</v>
      </c>
      <c r="AC32" s="443">
        <v>26</v>
      </c>
      <c r="AD32" s="443">
        <v>24</v>
      </c>
      <c r="AE32" s="443">
        <v>26</v>
      </c>
      <c r="AF32" s="443">
        <v>26</v>
      </c>
      <c r="AG32" s="443">
        <v>25</v>
      </c>
      <c r="AH32" s="443">
        <v>25</v>
      </c>
      <c r="AI32" s="443">
        <v>26</v>
      </c>
      <c r="AJ32" s="443">
        <v>23</v>
      </c>
      <c r="AK32" s="443">
        <v>19</v>
      </c>
      <c r="AL32" s="443">
        <v>24</v>
      </c>
      <c r="AM32" s="443">
        <v>24</v>
      </c>
      <c r="AN32" s="443">
        <v>27</v>
      </c>
      <c r="AO32" s="443">
        <v>26</v>
      </c>
      <c r="AP32" s="443">
        <v>24</v>
      </c>
      <c r="AQ32" s="443">
        <v>13</v>
      </c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</row>
    <row r="33" spans="1:64" ht="13.5" thickBot="1">
      <c r="A33" s="443"/>
      <c r="B33" s="424" t="s">
        <v>664</v>
      </c>
      <c r="C33" s="375"/>
      <c r="D33" s="345">
        <f aca="true" t="shared" si="4" ref="D33:AI33">SUM(D8:D32)</f>
        <v>24692.559999999998</v>
      </c>
      <c r="E33" s="388">
        <f t="shared" si="4"/>
        <v>4016.71</v>
      </c>
      <c r="F33" s="359">
        <f t="shared" si="4"/>
        <v>196.37</v>
      </c>
      <c r="G33" s="360">
        <f t="shared" si="4"/>
        <v>494.09000000000003</v>
      </c>
      <c r="H33" s="360">
        <f t="shared" si="4"/>
        <v>847.87</v>
      </c>
      <c r="I33" s="360">
        <f t="shared" si="4"/>
        <v>726.2</v>
      </c>
      <c r="J33" s="361">
        <f t="shared" si="4"/>
        <v>547.5699999999999</v>
      </c>
      <c r="K33" s="359">
        <f t="shared" si="4"/>
        <v>1204.6100000000001</v>
      </c>
      <c r="L33" s="360">
        <f t="shared" si="4"/>
        <v>641.5699999999999</v>
      </c>
      <c r="M33" s="360">
        <f t="shared" si="4"/>
        <v>490.99</v>
      </c>
      <c r="N33" s="360">
        <f t="shared" si="4"/>
        <v>733.1800000000001</v>
      </c>
      <c r="O33" s="360">
        <f t="shared" si="4"/>
        <v>615.01</v>
      </c>
      <c r="P33" s="360">
        <f t="shared" si="4"/>
        <v>599.26</v>
      </c>
      <c r="Q33" s="360">
        <f t="shared" si="4"/>
        <v>565.74</v>
      </c>
      <c r="R33" s="360">
        <f t="shared" si="4"/>
        <v>520.27</v>
      </c>
      <c r="S33" s="360">
        <f t="shared" si="4"/>
        <v>441.47</v>
      </c>
      <c r="T33" s="360">
        <f t="shared" si="4"/>
        <v>567.25</v>
      </c>
      <c r="U33" s="360">
        <f t="shared" si="4"/>
        <v>382.9</v>
      </c>
      <c r="V33" s="361">
        <f t="shared" si="4"/>
        <v>368.82</v>
      </c>
      <c r="W33" s="21">
        <f t="shared" si="4"/>
        <v>467.28</v>
      </c>
      <c r="X33" s="21">
        <f t="shared" si="4"/>
        <v>499.05</v>
      </c>
      <c r="Y33" s="21">
        <f t="shared" si="4"/>
        <v>700.13</v>
      </c>
      <c r="Z33" s="21">
        <f t="shared" si="4"/>
        <v>870.14</v>
      </c>
      <c r="AA33" s="21">
        <f t="shared" si="4"/>
        <v>709.69</v>
      </c>
      <c r="AB33" s="21">
        <f t="shared" si="4"/>
        <v>742.23</v>
      </c>
      <c r="AC33" s="21">
        <f t="shared" si="4"/>
        <v>653.24</v>
      </c>
      <c r="AD33" s="21">
        <f t="shared" si="4"/>
        <v>657.74</v>
      </c>
      <c r="AE33" s="21">
        <f t="shared" si="4"/>
        <v>669.4</v>
      </c>
      <c r="AF33" s="21">
        <f t="shared" si="4"/>
        <v>589.3199999999999</v>
      </c>
      <c r="AG33" s="21">
        <f t="shared" si="4"/>
        <v>545.1700000000001</v>
      </c>
      <c r="AH33" s="21">
        <f t="shared" si="4"/>
        <v>610.1700000000001</v>
      </c>
      <c r="AI33" s="21">
        <f t="shared" si="4"/>
        <v>830.3199999999999</v>
      </c>
      <c r="AJ33" s="21">
        <f aca="true" t="shared" si="5" ref="AJ33:BD33">SUM(AJ8:AJ32)</f>
        <v>573.51</v>
      </c>
      <c r="AK33" s="21">
        <f t="shared" si="5"/>
        <v>417</v>
      </c>
      <c r="AL33" s="21">
        <f t="shared" si="5"/>
        <v>544</v>
      </c>
      <c r="AM33" s="21">
        <f t="shared" si="5"/>
        <v>389</v>
      </c>
      <c r="AN33" s="21">
        <f t="shared" si="5"/>
        <v>562</v>
      </c>
      <c r="AO33" s="21">
        <f t="shared" si="5"/>
        <v>619</v>
      </c>
      <c r="AP33" s="21">
        <f t="shared" si="5"/>
        <v>482</v>
      </c>
      <c r="AQ33" s="21">
        <f t="shared" si="5"/>
        <v>428</v>
      </c>
      <c r="AR33" s="21">
        <f t="shared" si="5"/>
        <v>358</v>
      </c>
      <c r="AS33" s="21">
        <f t="shared" si="5"/>
        <v>375</v>
      </c>
      <c r="AT33" s="21">
        <f t="shared" si="5"/>
        <v>324</v>
      </c>
      <c r="AU33" s="21">
        <f t="shared" si="5"/>
        <v>410</v>
      </c>
      <c r="AV33" s="21">
        <f t="shared" si="5"/>
        <v>375</v>
      </c>
      <c r="AW33" s="21">
        <f t="shared" si="5"/>
        <v>318</v>
      </c>
      <c r="AX33" s="21">
        <f t="shared" si="5"/>
        <v>31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21">
        <f t="shared" si="5"/>
        <v>0</v>
      </c>
      <c r="BC33" s="21">
        <f t="shared" si="5"/>
        <v>0</v>
      </c>
      <c r="BD33" s="21">
        <f t="shared" si="5"/>
        <v>0</v>
      </c>
      <c r="BE33" s="443"/>
      <c r="BF33" s="443"/>
      <c r="BG33" s="443"/>
      <c r="BH33" s="443"/>
      <c r="BI33" s="443"/>
      <c r="BJ33" s="443"/>
      <c r="BK33" s="443"/>
      <c r="BL33" s="443"/>
    </row>
    <row r="34" spans="1:64" ht="6" customHeight="1" thickBot="1">
      <c r="A34" s="443"/>
      <c r="B34" s="443"/>
      <c r="C34" s="443"/>
      <c r="D34" s="477"/>
      <c r="E34" s="478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</row>
    <row r="35" spans="1:64" ht="12.75">
      <c r="A35" s="432" t="s">
        <v>345</v>
      </c>
      <c r="B35" s="433" t="s">
        <v>348</v>
      </c>
      <c r="C35" s="443"/>
      <c r="D35" s="477">
        <f aca="true" t="shared" si="6" ref="D35:D60">SUM(F35:BO35)</f>
        <v>258</v>
      </c>
      <c r="E35" s="506">
        <f aca="true" t="shared" si="7" ref="E35:E60">SUM(F35:K35)</f>
        <v>79</v>
      </c>
      <c r="F35" s="432">
        <v>5</v>
      </c>
      <c r="G35" s="493"/>
      <c r="H35" s="493"/>
      <c r="I35" s="493">
        <v>9</v>
      </c>
      <c r="J35" s="433">
        <v>30</v>
      </c>
      <c r="K35" s="432">
        <v>35</v>
      </c>
      <c r="L35" s="493">
        <v>25</v>
      </c>
      <c r="M35" s="493">
        <v>30</v>
      </c>
      <c r="N35" s="493">
        <v>48</v>
      </c>
      <c r="O35" s="493">
        <v>32</v>
      </c>
      <c r="P35" s="493">
        <v>33</v>
      </c>
      <c r="Q35" s="493">
        <v>11</v>
      </c>
      <c r="R35" s="493"/>
      <c r="S35" s="493"/>
      <c r="T35" s="493"/>
      <c r="U35" s="493"/>
      <c r="V35" s="43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</row>
    <row r="36" spans="1:64" ht="12.75">
      <c r="A36" s="490" t="s">
        <v>345</v>
      </c>
      <c r="B36" s="492" t="s">
        <v>349</v>
      </c>
      <c r="C36" s="443"/>
      <c r="D36" s="477">
        <f t="shared" si="6"/>
        <v>1629</v>
      </c>
      <c r="E36" s="502">
        <f t="shared" si="7"/>
        <v>0</v>
      </c>
      <c r="F36" s="490"/>
      <c r="G36" s="491"/>
      <c r="H36" s="491"/>
      <c r="I36" s="491"/>
      <c r="J36" s="492"/>
      <c r="K36" s="490"/>
      <c r="L36" s="491"/>
      <c r="M36" s="491"/>
      <c r="N36" s="491"/>
      <c r="O36" s="491"/>
      <c r="P36" s="491">
        <v>4</v>
      </c>
      <c r="Q36" s="491">
        <v>20</v>
      </c>
      <c r="R36" s="491">
        <v>40</v>
      </c>
      <c r="S36" s="491">
        <v>136</v>
      </c>
      <c r="T36" s="491">
        <v>173</v>
      </c>
      <c r="U36" s="491">
        <v>325</v>
      </c>
      <c r="V36" s="492">
        <v>270</v>
      </c>
      <c r="W36" s="443">
        <v>183</v>
      </c>
      <c r="X36" s="443">
        <v>101</v>
      </c>
      <c r="Y36" s="443">
        <v>56</v>
      </c>
      <c r="Z36" s="443">
        <v>63</v>
      </c>
      <c r="AA36" s="443">
        <v>65</v>
      </c>
      <c r="AB36" s="443">
        <v>64</v>
      </c>
      <c r="AC36" s="443">
        <v>69</v>
      </c>
      <c r="AD36" s="443">
        <v>32</v>
      </c>
      <c r="AE36" s="443"/>
      <c r="AF36" s="443"/>
      <c r="AG36" s="443"/>
      <c r="AH36" s="443"/>
      <c r="AI36" s="443"/>
      <c r="AJ36" s="443"/>
      <c r="AK36" s="443"/>
      <c r="AL36" s="443"/>
      <c r="AM36" s="443">
        <v>2</v>
      </c>
      <c r="AN36" s="443">
        <v>12</v>
      </c>
      <c r="AO36" s="443">
        <v>14</v>
      </c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</row>
    <row r="37" spans="1:64" ht="12.75">
      <c r="A37" s="490" t="s">
        <v>345</v>
      </c>
      <c r="B37" s="492" t="s">
        <v>350</v>
      </c>
      <c r="C37" s="443"/>
      <c r="D37" s="477">
        <f t="shared" si="6"/>
        <v>339</v>
      </c>
      <c r="E37" s="502">
        <f t="shared" si="7"/>
        <v>0</v>
      </c>
      <c r="F37" s="490"/>
      <c r="G37" s="491"/>
      <c r="H37" s="491"/>
      <c r="I37" s="491"/>
      <c r="J37" s="492"/>
      <c r="K37" s="490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2"/>
      <c r="W37" s="443"/>
      <c r="X37" s="443"/>
      <c r="Y37" s="443"/>
      <c r="Z37" s="443"/>
      <c r="AA37" s="443"/>
      <c r="AB37" s="443"/>
      <c r="AC37" s="443">
        <v>4</v>
      </c>
      <c r="AD37" s="443">
        <v>8</v>
      </c>
      <c r="AE37" s="443">
        <v>16</v>
      </c>
      <c r="AF37" s="443">
        <v>2</v>
      </c>
      <c r="AG37" s="443">
        <v>2</v>
      </c>
      <c r="AH37" s="443">
        <v>47</v>
      </c>
      <c r="AI37" s="443">
        <v>52</v>
      </c>
      <c r="AJ37" s="443">
        <v>45</v>
      </c>
      <c r="AK37" s="443">
        <v>38</v>
      </c>
      <c r="AL37" s="443">
        <v>47</v>
      </c>
      <c r="AM37" s="443">
        <v>47</v>
      </c>
      <c r="AN37" s="443">
        <v>31</v>
      </c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</row>
    <row r="38" spans="1:64" ht="39">
      <c r="A38" s="490" t="s">
        <v>345</v>
      </c>
      <c r="B38" s="838" t="s">
        <v>351</v>
      </c>
      <c r="C38" s="839" t="s">
        <v>818</v>
      </c>
      <c r="D38" s="477">
        <f t="shared" si="6"/>
        <v>1867.7</v>
      </c>
      <c r="E38" s="502">
        <f t="shared" si="7"/>
        <v>0</v>
      </c>
      <c r="F38" s="490"/>
      <c r="G38" s="491"/>
      <c r="H38" s="491"/>
      <c r="I38" s="491"/>
      <c r="J38" s="492"/>
      <c r="K38" s="490"/>
      <c r="L38" s="491">
        <v>29.6</v>
      </c>
      <c r="M38" s="491">
        <v>44.9</v>
      </c>
      <c r="N38" s="491">
        <v>71.2</v>
      </c>
      <c r="O38" s="491">
        <v>45.8</v>
      </c>
      <c r="P38" s="491">
        <v>67.8</v>
      </c>
      <c r="Q38" s="491">
        <v>67.7</v>
      </c>
      <c r="R38" s="491">
        <v>28.5</v>
      </c>
      <c r="S38" s="491">
        <v>163.8</v>
      </c>
      <c r="T38" s="491">
        <v>213.7</v>
      </c>
      <c r="U38" s="491">
        <v>225.1</v>
      </c>
      <c r="V38" s="492">
        <v>214.7</v>
      </c>
      <c r="W38" s="443">
        <v>168.4</v>
      </c>
      <c r="X38" s="443">
        <v>90</v>
      </c>
      <c r="Y38" s="443">
        <v>57.6</v>
      </c>
      <c r="Z38" s="443">
        <v>95.4</v>
      </c>
      <c r="AA38" s="443">
        <v>87.3</v>
      </c>
      <c r="AB38" s="443">
        <v>41.7</v>
      </c>
      <c r="AC38" s="443">
        <v>23.6</v>
      </c>
      <c r="AD38" s="443">
        <v>1.5</v>
      </c>
      <c r="AE38" s="443">
        <v>64.7</v>
      </c>
      <c r="AF38" s="443">
        <v>64.7</v>
      </c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</row>
    <row r="39" spans="1:64" ht="12.75">
      <c r="A39" s="490" t="s">
        <v>345</v>
      </c>
      <c r="B39" s="492" t="s">
        <v>352</v>
      </c>
      <c r="C39" s="443"/>
      <c r="D39" s="477">
        <f t="shared" si="6"/>
        <v>73</v>
      </c>
      <c r="E39" s="502">
        <f t="shared" si="7"/>
        <v>0</v>
      </c>
      <c r="F39" s="490"/>
      <c r="G39" s="491"/>
      <c r="H39" s="491"/>
      <c r="I39" s="491"/>
      <c r="J39" s="492"/>
      <c r="K39" s="490"/>
      <c r="L39" s="491"/>
      <c r="M39" s="491"/>
      <c r="N39" s="491"/>
      <c r="O39" s="491">
        <v>4</v>
      </c>
      <c r="P39" s="491">
        <v>4</v>
      </c>
      <c r="Q39" s="491">
        <v>4</v>
      </c>
      <c r="R39" s="491">
        <v>5</v>
      </c>
      <c r="S39" s="491">
        <v>3</v>
      </c>
      <c r="T39" s="491">
        <v>7</v>
      </c>
      <c r="U39" s="491">
        <v>4</v>
      </c>
      <c r="V39" s="492"/>
      <c r="W39" s="443">
        <v>15</v>
      </c>
      <c r="X39" s="443">
        <v>12</v>
      </c>
      <c r="Y39" s="443">
        <v>3</v>
      </c>
      <c r="Z39" s="443">
        <v>6</v>
      </c>
      <c r="AA39" s="443">
        <v>4</v>
      </c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>
        <v>2</v>
      </c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</row>
    <row r="40" spans="1:64" ht="12.75">
      <c r="A40" s="490" t="s">
        <v>345</v>
      </c>
      <c r="B40" s="492" t="s">
        <v>347</v>
      </c>
      <c r="C40" s="443"/>
      <c r="D40" s="477">
        <f t="shared" si="6"/>
        <v>1004</v>
      </c>
      <c r="E40" s="502">
        <f t="shared" si="7"/>
        <v>289</v>
      </c>
      <c r="F40" s="490">
        <v>8</v>
      </c>
      <c r="G40" s="491">
        <v>65</v>
      </c>
      <c r="H40" s="491">
        <v>60</v>
      </c>
      <c r="I40" s="491">
        <v>35</v>
      </c>
      <c r="J40" s="492">
        <v>60</v>
      </c>
      <c r="K40" s="490">
        <v>61</v>
      </c>
      <c r="L40" s="491">
        <v>59</v>
      </c>
      <c r="M40" s="491">
        <v>56</v>
      </c>
      <c r="N40" s="491">
        <v>59</v>
      </c>
      <c r="O40" s="491">
        <v>58</v>
      </c>
      <c r="P40" s="491">
        <v>104</v>
      </c>
      <c r="Q40" s="491">
        <v>57</v>
      </c>
      <c r="R40" s="491">
        <v>57</v>
      </c>
      <c r="S40" s="491">
        <v>56</v>
      </c>
      <c r="T40" s="491">
        <v>103</v>
      </c>
      <c r="U40" s="491">
        <v>54</v>
      </c>
      <c r="V40" s="492">
        <v>52</v>
      </c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</row>
    <row r="41" spans="1:64" ht="12.75">
      <c r="A41" s="490" t="s">
        <v>345</v>
      </c>
      <c r="B41" s="492" t="s">
        <v>353</v>
      </c>
      <c r="C41" s="443"/>
      <c r="D41" s="477">
        <f t="shared" si="6"/>
        <v>-36</v>
      </c>
      <c r="E41" s="502">
        <f t="shared" si="7"/>
        <v>-36</v>
      </c>
      <c r="F41" s="490">
        <v>-36</v>
      </c>
      <c r="G41" s="491"/>
      <c r="H41" s="491"/>
      <c r="I41" s="491"/>
      <c r="J41" s="492"/>
      <c r="K41" s="490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2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</row>
    <row r="42" spans="1:64" s="22" customFormat="1" ht="12.75">
      <c r="A42" s="490" t="s">
        <v>345</v>
      </c>
      <c r="B42" s="492" t="s">
        <v>355</v>
      </c>
      <c r="C42" s="443"/>
      <c r="D42" s="477">
        <f t="shared" si="6"/>
        <v>-84</v>
      </c>
      <c r="E42" s="502">
        <f t="shared" si="7"/>
        <v>-84</v>
      </c>
      <c r="F42" s="490">
        <v>5</v>
      </c>
      <c r="G42" s="491">
        <v>1</v>
      </c>
      <c r="H42" s="491"/>
      <c r="I42" s="491">
        <v>-90</v>
      </c>
      <c r="J42" s="492"/>
      <c r="K42" s="490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2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</row>
    <row r="43" spans="1:64" ht="12.75">
      <c r="A43" s="490" t="s">
        <v>345</v>
      </c>
      <c r="B43" s="492" t="s">
        <v>354</v>
      </c>
      <c r="C43" s="443"/>
      <c r="D43" s="477">
        <f t="shared" si="6"/>
        <v>280</v>
      </c>
      <c r="E43" s="502">
        <f t="shared" si="7"/>
        <v>186</v>
      </c>
      <c r="F43" s="490">
        <v>12</v>
      </c>
      <c r="G43" s="491">
        <v>23</v>
      </c>
      <c r="H43" s="491">
        <v>8</v>
      </c>
      <c r="I43" s="491">
        <v>15</v>
      </c>
      <c r="J43" s="492">
        <v>12</v>
      </c>
      <c r="K43" s="490">
        <v>116</v>
      </c>
      <c r="L43" s="491">
        <v>56</v>
      </c>
      <c r="M43" s="491">
        <v>19</v>
      </c>
      <c r="N43" s="491">
        <v>17</v>
      </c>
      <c r="O43" s="491">
        <v>2</v>
      </c>
      <c r="P43" s="491"/>
      <c r="Q43" s="491"/>
      <c r="R43" s="491"/>
      <c r="S43" s="491"/>
      <c r="T43" s="491"/>
      <c r="U43" s="491"/>
      <c r="V43" s="492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</row>
    <row r="44" spans="1:64" ht="12.75">
      <c r="A44" s="490" t="s">
        <v>345</v>
      </c>
      <c r="B44" s="492" t="s">
        <v>356</v>
      </c>
      <c r="C44" s="443"/>
      <c r="D44" s="477">
        <f t="shared" si="6"/>
        <v>1208</v>
      </c>
      <c r="E44" s="502">
        <f t="shared" si="7"/>
        <v>1114</v>
      </c>
      <c r="F44" s="490">
        <v>177</v>
      </c>
      <c r="G44" s="491">
        <v>276</v>
      </c>
      <c r="H44" s="491">
        <v>250</v>
      </c>
      <c r="I44" s="491">
        <v>191</v>
      </c>
      <c r="J44" s="492">
        <v>102</v>
      </c>
      <c r="K44" s="490">
        <v>118</v>
      </c>
      <c r="L44" s="491">
        <v>26</v>
      </c>
      <c r="M44" s="491">
        <v>19</v>
      </c>
      <c r="N44" s="491">
        <v>25</v>
      </c>
      <c r="O44" s="491">
        <v>24</v>
      </c>
      <c r="P44" s="491"/>
      <c r="Q44" s="491"/>
      <c r="R44" s="491"/>
      <c r="S44" s="491"/>
      <c r="T44" s="491"/>
      <c r="U44" s="491"/>
      <c r="V44" s="492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</row>
    <row r="45" spans="1:64" ht="12.75">
      <c r="A45" s="490" t="s">
        <v>345</v>
      </c>
      <c r="B45" s="492" t="s">
        <v>357</v>
      </c>
      <c r="C45" s="443"/>
      <c r="D45" s="477">
        <f t="shared" si="6"/>
        <v>118</v>
      </c>
      <c r="E45" s="502">
        <f t="shared" si="7"/>
        <v>118</v>
      </c>
      <c r="F45" s="490">
        <v>30</v>
      </c>
      <c r="G45" s="491"/>
      <c r="H45" s="491">
        <v>51</v>
      </c>
      <c r="I45" s="491">
        <v>37</v>
      </c>
      <c r="J45" s="492"/>
      <c r="K45" s="490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2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</row>
    <row r="46" spans="1:64" ht="12.75">
      <c r="A46" s="490" t="s">
        <v>345</v>
      </c>
      <c r="B46" s="492" t="s">
        <v>363</v>
      </c>
      <c r="C46" s="443"/>
      <c r="D46" s="477">
        <f t="shared" si="6"/>
        <v>186</v>
      </c>
      <c r="E46" s="502">
        <f t="shared" si="7"/>
        <v>186</v>
      </c>
      <c r="F46" s="490">
        <v>7</v>
      </c>
      <c r="G46" s="491">
        <v>31</v>
      </c>
      <c r="H46" s="491">
        <v>32</v>
      </c>
      <c r="I46" s="491">
        <v>58</v>
      </c>
      <c r="J46" s="492">
        <v>36</v>
      </c>
      <c r="K46" s="490">
        <v>22</v>
      </c>
      <c r="L46" s="491">
        <v>0</v>
      </c>
      <c r="M46" s="491"/>
      <c r="N46" s="491"/>
      <c r="O46" s="491"/>
      <c r="P46" s="491"/>
      <c r="Q46" s="491"/>
      <c r="R46" s="491"/>
      <c r="S46" s="491"/>
      <c r="T46" s="491"/>
      <c r="U46" s="491"/>
      <c r="V46" s="492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</row>
    <row r="47" spans="1:64" ht="12.75">
      <c r="A47" s="490" t="s">
        <v>345</v>
      </c>
      <c r="B47" s="492" t="s">
        <v>364</v>
      </c>
      <c r="C47" s="443"/>
      <c r="D47" s="477">
        <f t="shared" si="6"/>
        <v>1074</v>
      </c>
      <c r="E47" s="502">
        <f t="shared" si="7"/>
        <v>0</v>
      </c>
      <c r="F47" s="490"/>
      <c r="G47" s="491"/>
      <c r="H47" s="491"/>
      <c r="I47" s="491"/>
      <c r="J47" s="492"/>
      <c r="K47" s="490"/>
      <c r="L47" s="491"/>
      <c r="M47" s="491"/>
      <c r="N47" s="491"/>
      <c r="O47" s="491"/>
      <c r="P47" s="491"/>
      <c r="Q47" s="491"/>
      <c r="R47" s="491"/>
      <c r="S47" s="491">
        <v>32</v>
      </c>
      <c r="T47" s="491">
        <v>109</v>
      </c>
      <c r="U47" s="491">
        <v>131</v>
      </c>
      <c r="V47" s="492">
        <v>131</v>
      </c>
      <c r="W47" s="443">
        <v>143</v>
      </c>
      <c r="X47" s="443">
        <v>93</v>
      </c>
      <c r="Y47" s="443">
        <v>51</v>
      </c>
      <c r="Z47" s="443">
        <v>63</v>
      </c>
      <c r="AA47" s="443">
        <v>60</v>
      </c>
      <c r="AB47" s="443">
        <v>66</v>
      </c>
      <c r="AC47" s="443">
        <v>66</v>
      </c>
      <c r="AD47" s="443">
        <v>60</v>
      </c>
      <c r="AE47" s="443">
        <v>66</v>
      </c>
      <c r="AF47" s="443">
        <v>3</v>
      </c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</row>
    <row r="48" spans="1:64" ht="12.75">
      <c r="A48" s="490" t="s">
        <v>345</v>
      </c>
      <c r="B48" s="492" t="s">
        <v>365</v>
      </c>
      <c r="C48" s="443"/>
      <c r="D48" s="477">
        <f t="shared" si="6"/>
        <v>861</v>
      </c>
      <c r="E48" s="502">
        <f t="shared" si="7"/>
        <v>6</v>
      </c>
      <c r="F48" s="490">
        <v>6</v>
      </c>
      <c r="G48" s="491"/>
      <c r="H48" s="491"/>
      <c r="I48" s="491"/>
      <c r="J48" s="492"/>
      <c r="K48" s="490"/>
      <c r="L48" s="491"/>
      <c r="M48" s="491"/>
      <c r="N48" s="491">
        <v>28</v>
      </c>
      <c r="O48" s="491">
        <v>27</v>
      </c>
      <c r="P48" s="491">
        <v>27</v>
      </c>
      <c r="Q48" s="491">
        <v>28</v>
      </c>
      <c r="R48" s="491">
        <v>27</v>
      </c>
      <c r="S48" s="491">
        <v>48</v>
      </c>
      <c r="T48" s="491">
        <v>31</v>
      </c>
      <c r="U48" s="491">
        <v>47</v>
      </c>
      <c r="V48" s="492">
        <v>58</v>
      </c>
      <c r="W48" s="443">
        <v>77</v>
      </c>
      <c r="X48" s="443">
        <v>61</v>
      </c>
      <c r="Y48" s="443">
        <v>53</v>
      </c>
      <c r="Z48" s="443">
        <v>26</v>
      </c>
      <c r="AA48" s="443">
        <v>20</v>
      </c>
      <c r="AB48" s="443">
        <v>23</v>
      </c>
      <c r="AC48" s="443">
        <v>23</v>
      </c>
      <c r="AD48" s="443">
        <v>20</v>
      </c>
      <c r="AE48" s="443">
        <v>23</v>
      </c>
      <c r="AF48" s="443">
        <v>23</v>
      </c>
      <c r="AG48" s="443">
        <v>21</v>
      </c>
      <c r="AH48" s="443">
        <v>4</v>
      </c>
      <c r="AI48" s="443">
        <v>42</v>
      </c>
      <c r="AJ48" s="443">
        <v>42</v>
      </c>
      <c r="AK48" s="443">
        <v>39</v>
      </c>
      <c r="AL48" s="443">
        <v>34</v>
      </c>
      <c r="AM48" s="443">
        <v>3</v>
      </c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3"/>
      <c r="BF48" s="443"/>
      <c r="BG48" s="443"/>
      <c r="BH48" s="443"/>
      <c r="BI48" s="443"/>
      <c r="BJ48" s="443"/>
      <c r="BK48" s="443"/>
      <c r="BL48" s="443"/>
    </row>
    <row r="49" spans="1:64" ht="12.75">
      <c r="A49" s="490" t="s">
        <v>345</v>
      </c>
      <c r="B49" s="492" t="s">
        <v>360</v>
      </c>
      <c r="C49" s="443"/>
      <c r="D49" s="477">
        <f t="shared" si="6"/>
        <v>207</v>
      </c>
      <c r="E49" s="502">
        <f t="shared" si="7"/>
        <v>0</v>
      </c>
      <c r="F49" s="490"/>
      <c r="G49" s="491"/>
      <c r="H49" s="491"/>
      <c r="I49" s="491"/>
      <c r="J49" s="492"/>
      <c r="K49" s="490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2"/>
      <c r="W49" s="443">
        <v>6</v>
      </c>
      <c r="X49" s="443">
        <v>4</v>
      </c>
      <c r="Y49" s="443">
        <v>4</v>
      </c>
      <c r="Z49" s="443">
        <v>10</v>
      </c>
      <c r="AA49" s="443">
        <v>22</v>
      </c>
      <c r="AB49" s="443">
        <v>43</v>
      </c>
      <c r="AC49" s="443">
        <v>44</v>
      </c>
      <c r="AD49" s="443">
        <v>21</v>
      </c>
      <c r="AE49" s="443">
        <v>23</v>
      </c>
      <c r="AF49" s="443">
        <v>23</v>
      </c>
      <c r="AG49" s="443">
        <v>7</v>
      </c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/>
      <c r="BG49" s="443"/>
      <c r="BH49" s="443"/>
      <c r="BI49" s="443"/>
      <c r="BJ49" s="443"/>
      <c r="BK49" s="443"/>
      <c r="BL49" s="443"/>
    </row>
    <row r="50" spans="1:64" ht="12.75">
      <c r="A50" s="490" t="s">
        <v>345</v>
      </c>
      <c r="B50" s="492" t="s">
        <v>358</v>
      </c>
      <c r="C50" s="443"/>
      <c r="D50" s="477">
        <f t="shared" si="6"/>
        <v>164</v>
      </c>
      <c r="E50" s="502">
        <f t="shared" si="7"/>
        <v>43</v>
      </c>
      <c r="F50" s="490"/>
      <c r="G50" s="491"/>
      <c r="H50" s="491"/>
      <c r="I50" s="491"/>
      <c r="J50" s="492"/>
      <c r="K50" s="490">
        <v>43</v>
      </c>
      <c r="L50" s="491">
        <v>36</v>
      </c>
      <c r="M50" s="491">
        <v>28</v>
      </c>
      <c r="N50" s="491">
        <v>41</v>
      </c>
      <c r="O50" s="491">
        <v>15</v>
      </c>
      <c r="P50" s="491">
        <v>1</v>
      </c>
      <c r="Q50" s="491"/>
      <c r="R50" s="491"/>
      <c r="S50" s="491"/>
      <c r="T50" s="491"/>
      <c r="U50" s="491"/>
      <c r="V50" s="492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3"/>
      <c r="BJ50" s="443"/>
      <c r="BK50" s="443"/>
      <c r="BL50" s="443"/>
    </row>
    <row r="51" spans="1:64" ht="12.75">
      <c r="A51" s="490" t="s">
        <v>345</v>
      </c>
      <c r="B51" s="492" t="s">
        <v>361</v>
      </c>
      <c r="C51" s="443"/>
      <c r="D51" s="477">
        <f t="shared" si="6"/>
        <v>325</v>
      </c>
      <c r="E51" s="502">
        <f t="shared" si="7"/>
        <v>0</v>
      </c>
      <c r="F51" s="490"/>
      <c r="G51" s="491"/>
      <c r="H51" s="491"/>
      <c r="I51" s="491"/>
      <c r="J51" s="492"/>
      <c r="K51" s="490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2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>
        <v>74</v>
      </c>
      <c r="AJ51" s="443">
        <v>64</v>
      </c>
      <c r="AK51" s="443">
        <v>54</v>
      </c>
      <c r="AL51" s="443">
        <v>52</v>
      </c>
      <c r="AM51" s="443">
        <v>36</v>
      </c>
      <c r="AN51" s="443">
        <v>31</v>
      </c>
      <c r="AO51" s="443">
        <v>14</v>
      </c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</row>
    <row r="52" spans="1:64" ht="12.75">
      <c r="A52" s="490" t="s">
        <v>345</v>
      </c>
      <c r="B52" s="492" t="s">
        <v>359</v>
      </c>
      <c r="C52" s="443"/>
      <c r="D52" s="477">
        <f t="shared" si="6"/>
        <v>91</v>
      </c>
      <c r="E52" s="502">
        <f t="shared" si="7"/>
        <v>0</v>
      </c>
      <c r="F52" s="490"/>
      <c r="G52" s="491"/>
      <c r="H52" s="491"/>
      <c r="I52" s="491"/>
      <c r="J52" s="492"/>
      <c r="K52" s="490"/>
      <c r="L52" s="491"/>
      <c r="M52" s="491"/>
      <c r="N52" s="491"/>
      <c r="O52" s="491"/>
      <c r="P52" s="491">
        <v>1</v>
      </c>
      <c r="Q52" s="491">
        <v>1</v>
      </c>
      <c r="R52" s="491">
        <v>1</v>
      </c>
      <c r="S52" s="491">
        <v>6</v>
      </c>
      <c r="T52" s="491">
        <v>18</v>
      </c>
      <c r="U52" s="491">
        <v>17</v>
      </c>
      <c r="V52" s="492">
        <v>18</v>
      </c>
      <c r="W52" s="443">
        <v>20</v>
      </c>
      <c r="X52" s="443">
        <v>6</v>
      </c>
      <c r="Y52" s="443">
        <v>1</v>
      </c>
      <c r="Z52" s="443">
        <v>1</v>
      </c>
      <c r="AA52" s="443">
        <v>1</v>
      </c>
      <c r="AB52" s="443">
        <v>0</v>
      </c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</row>
    <row r="53" spans="1:64" ht="12.75">
      <c r="A53" s="490" t="s">
        <v>345</v>
      </c>
      <c r="B53" s="492" t="s">
        <v>362</v>
      </c>
      <c r="C53" s="443"/>
      <c r="D53" s="477">
        <f t="shared" si="6"/>
        <v>517</v>
      </c>
      <c r="E53" s="502">
        <f t="shared" si="7"/>
        <v>120</v>
      </c>
      <c r="F53" s="490">
        <v>9</v>
      </c>
      <c r="G53" s="491">
        <v>15</v>
      </c>
      <c r="H53" s="491">
        <v>17</v>
      </c>
      <c r="I53" s="491">
        <v>26</v>
      </c>
      <c r="J53" s="492">
        <v>25</v>
      </c>
      <c r="K53" s="490">
        <v>28</v>
      </c>
      <c r="L53" s="491">
        <v>19</v>
      </c>
      <c r="M53" s="491">
        <v>25</v>
      </c>
      <c r="N53" s="491">
        <v>37</v>
      </c>
      <c r="O53" s="491">
        <v>35</v>
      </c>
      <c r="P53" s="491">
        <v>35</v>
      </c>
      <c r="Q53" s="491">
        <v>36</v>
      </c>
      <c r="R53" s="491">
        <v>32</v>
      </c>
      <c r="S53" s="491">
        <v>32</v>
      </c>
      <c r="T53" s="491">
        <v>33</v>
      </c>
      <c r="U53" s="491">
        <v>34</v>
      </c>
      <c r="V53" s="492">
        <v>39</v>
      </c>
      <c r="W53" s="443">
        <v>19</v>
      </c>
      <c r="X53" s="443">
        <v>7</v>
      </c>
      <c r="Y53" s="443">
        <v>7</v>
      </c>
      <c r="Z53" s="443">
        <v>7</v>
      </c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</row>
    <row r="54" spans="1:64" ht="12.75">
      <c r="A54" s="490" t="s">
        <v>345</v>
      </c>
      <c r="B54" s="492" t="s">
        <v>366</v>
      </c>
      <c r="C54" s="443"/>
      <c r="D54" s="477">
        <f t="shared" si="6"/>
        <v>1618</v>
      </c>
      <c r="E54" s="502">
        <f t="shared" si="7"/>
        <v>200</v>
      </c>
      <c r="F54" s="490">
        <v>34</v>
      </c>
      <c r="G54" s="491">
        <v>32</v>
      </c>
      <c r="H54" s="491">
        <v>32</v>
      </c>
      <c r="I54" s="491">
        <v>35</v>
      </c>
      <c r="J54" s="492">
        <v>29</v>
      </c>
      <c r="K54" s="490">
        <v>38</v>
      </c>
      <c r="L54" s="491">
        <v>33</v>
      </c>
      <c r="M54" s="491">
        <v>25</v>
      </c>
      <c r="N54" s="491">
        <v>36</v>
      </c>
      <c r="O54" s="491">
        <v>34</v>
      </c>
      <c r="P54" s="491">
        <v>34</v>
      </c>
      <c r="Q54" s="491">
        <v>36</v>
      </c>
      <c r="R54" s="491">
        <v>34</v>
      </c>
      <c r="S54" s="491">
        <v>34</v>
      </c>
      <c r="T54" s="491">
        <v>36</v>
      </c>
      <c r="U54" s="491">
        <v>34</v>
      </c>
      <c r="V54" s="492">
        <v>33</v>
      </c>
      <c r="W54" s="443">
        <v>40</v>
      </c>
      <c r="X54" s="443">
        <v>31</v>
      </c>
      <c r="Y54" s="443">
        <v>30</v>
      </c>
      <c r="Z54" s="443">
        <v>37</v>
      </c>
      <c r="AA54" s="443">
        <v>35</v>
      </c>
      <c r="AB54" s="443">
        <v>38</v>
      </c>
      <c r="AC54" s="443">
        <v>38</v>
      </c>
      <c r="AD54" s="443">
        <v>35</v>
      </c>
      <c r="AE54" s="443">
        <v>38</v>
      </c>
      <c r="AF54" s="443">
        <v>38</v>
      </c>
      <c r="AG54" s="443">
        <v>37</v>
      </c>
      <c r="AH54" s="443">
        <v>33</v>
      </c>
      <c r="AI54" s="443">
        <v>40</v>
      </c>
      <c r="AJ54" s="443">
        <v>34</v>
      </c>
      <c r="AK54" s="443">
        <v>29</v>
      </c>
      <c r="AL54" s="443">
        <v>36</v>
      </c>
      <c r="AM54" s="443">
        <v>36</v>
      </c>
      <c r="AN54" s="443">
        <v>42</v>
      </c>
      <c r="AO54" s="443">
        <v>40</v>
      </c>
      <c r="AP54" s="443">
        <v>36</v>
      </c>
      <c r="AQ54" s="443">
        <v>40</v>
      </c>
      <c r="AR54" s="443">
        <v>38</v>
      </c>
      <c r="AS54" s="443">
        <v>40</v>
      </c>
      <c r="AT54" s="443">
        <v>38</v>
      </c>
      <c r="AU54" s="443">
        <v>45</v>
      </c>
      <c r="AV54" s="443">
        <v>43</v>
      </c>
      <c r="AW54" s="443">
        <v>37</v>
      </c>
      <c r="AX54" s="443">
        <v>45</v>
      </c>
      <c r="AY54" s="443"/>
      <c r="AZ54" s="443"/>
      <c r="BA54" s="443"/>
      <c r="BB54" s="443"/>
      <c r="BC54" s="443"/>
      <c r="BD54" s="443"/>
      <c r="BE54" s="443"/>
      <c r="BF54" s="443"/>
      <c r="BG54" s="443"/>
      <c r="BH54" s="443"/>
      <c r="BI54" s="443"/>
      <c r="BJ54" s="443"/>
      <c r="BK54" s="443"/>
      <c r="BL54" s="443"/>
    </row>
    <row r="55" spans="1:64" ht="12.75">
      <c r="A55" s="490" t="s">
        <v>345</v>
      </c>
      <c r="B55" s="492" t="s">
        <v>367</v>
      </c>
      <c r="C55" s="443"/>
      <c r="D55" s="477">
        <f t="shared" si="6"/>
        <v>2519</v>
      </c>
      <c r="E55" s="502">
        <f t="shared" si="7"/>
        <v>404</v>
      </c>
      <c r="F55" s="496">
        <v>82</v>
      </c>
      <c r="G55" s="497">
        <v>76</v>
      </c>
      <c r="H55" s="497">
        <v>63</v>
      </c>
      <c r="I55" s="497">
        <v>69</v>
      </c>
      <c r="J55" s="498">
        <v>53</v>
      </c>
      <c r="K55" s="490">
        <v>61</v>
      </c>
      <c r="L55" s="491">
        <v>53</v>
      </c>
      <c r="M55" s="491">
        <v>40</v>
      </c>
      <c r="N55" s="491">
        <v>59</v>
      </c>
      <c r="O55" s="491">
        <v>56</v>
      </c>
      <c r="P55" s="491">
        <v>56</v>
      </c>
      <c r="Q55" s="491">
        <v>59</v>
      </c>
      <c r="R55" s="491">
        <v>56</v>
      </c>
      <c r="S55" s="491">
        <v>56</v>
      </c>
      <c r="T55" s="491">
        <v>59</v>
      </c>
      <c r="U55" s="491">
        <v>56</v>
      </c>
      <c r="V55" s="492">
        <v>56</v>
      </c>
      <c r="W55" s="443">
        <v>61</v>
      </c>
      <c r="X55" s="443">
        <v>48</v>
      </c>
      <c r="Y55" s="443">
        <v>45</v>
      </c>
      <c r="Z55" s="443">
        <v>56</v>
      </c>
      <c r="AA55" s="443">
        <v>53</v>
      </c>
      <c r="AB55" s="443">
        <v>59</v>
      </c>
      <c r="AC55" s="443">
        <v>59</v>
      </c>
      <c r="AD55" s="443">
        <v>53</v>
      </c>
      <c r="AE55" s="443">
        <v>59</v>
      </c>
      <c r="AF55" s="443">
        <v>59</v>
      </c>
      <c r="AG55" s="443">
        <v>56</v>
      </c>
      <c r="AH55" s="443">
        <v>56</v>
      </c>
      <c r="AI55" s="443">
        <v>59</v>
      </c>
      <c r="AJ55" s="443">
        <v>51</v>
      </c>
      <c r="AK55" s="443">
        <v>43</v>
      </c>
      <c r="AL55" s="443">
        <v>53</v>
      </c>
      <c r="AM55" s="443">
        <v>53</v>
      </c>
      <c r="AN55" s="443">
        <v>61</v>
      </c>
      <c r="AO55" s="443">
        <v>59</v>
      </c>
      <c r="AP55" s="443">
        <v>53</v>
      </c>
      <c r="AQ55" s="443">
        <v>59</v>
      </c>
      <c r="AR55" s="443">
        <v>56</v>
      </c>
      <c r="AS55" s="443">
        <v>59</v>
      </c>
      <c r="AT55" s="443">
        <v>56</v>
      </c>
      <c r="AU55" s="443">
        <v>48</v>
      </c>
      <c r="AV55" s="443">
        <v>46</v>
      </c>
      <c r="AW55" s="443">
        <v>39</v>
      </c>
      <c r="AX55" s="443">
        <v>48</v>
      </c>
      <c r="AY55" s="443">
        <v>2</v>
      </c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</row>
    <row r="56" spans="1:64" ht="12.75">
      <c r="A56" s="490" t="s">
        <v>345</v>
      </c>
      <c r="B56" s="492" t="s">
        <v>368</v>
      </c>
      <c r="C56" s="443"/>
      <c r="D56" s="477">
        <f t="shared" si="6"/>
        <v>1412</v>
      </c>
      <c r="E56" s="502">
        <f t="shared" si="7"/>
        <v>196</v>
      </c>
      <c r="F56" s="490">
        <v>33</v>
      </c>
      <c r="G56" s="491">
        <v>32</v>
      </c>
      <c r="H56" s="491">
        <v>32</v>
      </c>
      <c r="I56" s="491">
        <v>35</v>
      </c>
      <c r="J56" s="492">
        <v>29</v>
      </c>
      <c r="K56" s="490">
        <v>35</v>
      </c>
      <c r="L56" s="491">
        <v>30</v>
      </c>
      <c r="M56" s="491">
        <v>23</v>
      </c>
      <c r="N56" s="491">
        <v>33</v>
      </c>
      <c r="O56" s="491">
        <v>32</v>
      </c>
      <c r="P56" s="491">
        <v>32</v>
      </c>
      <c r="Q56" s="491">
        <v>33</v>
      </c>
      <c r="R56" s="491">
        <v>32</v>
      </c>
      <c r="S56" s="491">
        <v>32</v>
      </c>
      <c r="T56" s="491">
        <v>33</v>
      </c>
      <c r="U56" s="491">
        <v>32</v>
      </c>
      <c r="V56" s="492">
        <v>32</v>
      </c>
      <c r="W56" s="443">
        <v>35</v>
      </c>
      <c r="X56" s="443">
        <v>27</v>
      </c>
      <c r="Y56" s="443">
        <v>26</v>
      </c>
      <c r="Z56" s="443">
        <v>32</v>
      </c>
      <c r="AA56" s="443">
        <v>30</v>
      </c>
      <c r="AB56" s="443">
        <v>33</v>
      </c>
      <c r="AC56" s="443">
        <v>33</v>
      </c>
      <c r="AD56" s="443">
        <v>30</v>
      </c>
      <c r="AE56" s="443">
        <v>33</v>
      </c>
      <c r="AF56" s="443">
        <v>33</v>
      </c>
      <c r="AG56" s="443">
        <v>32</v>
      </c>
      <c r="AH56" s="443">
        <v>32</v>
      </c>
      <c r="AI56" s="443">
        <v>33</v>
      </c>
      <c r="AJ56" s="443">
        <v>29</v>
      </c>
      <c r="AK56" s="443">
        <v>24</v>
      </c>
      <c r="AL56" s="443">
        <v>30</v>
      </c>
      <c r="AM56" s="443">
        <v>30</v>
      </c>
      <c r="AN56" s="443">
        <v>35</v>
      </c>
      <c r="AO56" s="443">
        <v>33</v>
      </c>
      <c r="AP56" s="443">
        <v>30</v>
      </c>
      <c r="AQ56" s="443">
        <v>33</v>
      </c>
      <c r="AR56" s="443">
        <v>32</v>
      </c>
      <c r="AS56" s="443">
        <v>33</v>
      </c>
      <c r="AT56" s="443">
        <v>32</v>
      </c>
      <c r="AU56" s="443">
        <v>32</v>
      </c>
      <c r="AV56" s="443">
        <v>30</v>
      </c>
      <c r="AW56" s="443">
        <v>26</v>
      </c>
      <c r="AX56" s="443">
        <v>32</v>
      </c>
      <c r="AY56" s="443">
        <v>2</v>
      </c>
      <c r="AZ56" s="443"/>
      <c r="BA56" s="443"/>
      <c r="BB56" s="443"/>
      <c r="BC56" s="443"/>
      <c r="BD56" s="443"/>
      <c r="BE56" s="443"/>
      <c r="BF56" s="443"/>
      <c r="BG56" s="443"/>
      <c r="BH56" s="443"/>
      <c r="BI56" s="443"/>
      <c r="BJ56" s="443"/>
      <c r="BK56" s="443"/>
      <c r="BL56" s="443"/>
    </row>
    <row r="57" spans="1:64" ht="12.75">
      <c r="A57" s="490" t="s">
        <v>345</v>
      </c>
      <c r="B57" s="492" t="s">
        <v>369</v>
      </c>
      <c r="C57" s="443"/>
      <c r="D57" s="477">
        <f t="shared" si="6"/>
        <v>1160</v>
      </c>
      <c r="E57" s="502">
        <f t="shared" si="7"/>
        <v>207</v>
      </c>
      <c r="F57" s="490">
        <v>37</v>
      </c>
      <c r="G57" s="491">
        <v>36</v>
      </c>
      <c r="H57" s="491">
        <v>36</v>
      </c>
      <c r="I57" s="491">
        <v>39</v>
      </c>
      <c r="J57" s="492">
        <v>32</v>
      </c>
      <c r="K57" s="490">
        <v>27</v>
      </c>
      <c r="L57" s="491">
        <v>24</v>
      </c>
      <c r="M57" s="491">
        <v>18</v>
      </c>
      <c r="N57" s="491">
        <v>26</v>
      </c>
      <c r="O57" s="491">
        <v>25</v>
      </c>
      <c r="P57" s="491">
        <v>25</v>
      </c>
      <c r="Q57" s="491">
        <v>26</v>
      </c>
      <c r="R57" s="491">
        <v>25</v>
      </c>
      <c r="S57" s="491">
        <v>25</v>
      </c>
      <c r="T57" s="491">
        <v>26</v>
      </c>
      <c r="U57" s="491">
        <v>25</v>
      </c>
      <c r="V57" s="492">
        <v>25</v>
      </c>
      <c r="W57" s="443">
        <v>27</v>
      </c>
      <c r="X57" s="443">
        <v>21</v>
      </c>
      <c r="Y57" s="443">
        <v>20</v>
      </c>
      <c r="Z57" s="443">
        <v>25</v>
      </c>
      <c r="AA57" s="443">
        <v>24</v>
      </c>
      <c r="AB57" s="443">
        <v>26</v>
      </c>
      <c r="AC57" s="443">
        <v>26</v>
      </c>
      <c r="AD57" s="443">
        <v>24</v>
      </c>
      <c r="AE57" s="443">
        <v>26</v>
      </c>
      <c r="AF57" s="443">
        <v>26</v>
      </c>
      <c r="AG57" s="443">
        <v>25</v>
      </c>
      <c r="AH57" s="443">
        <v>25</v>
      </c>
      <c r="AI57" s="443">
        <v>26</v>
      </c>
      <c r="AJ57" s="443">
        <v>22</v>
      </c>
      <c r="AK57" s="443">
        <v>19</v>
      </c>
      <c r="AL57" s="443">
        <v>24</v>
      </c>
      <c r="AM57" s="443">
        <v>24</v>
      </c>
      <c r="AN57" s="443">
        <v>27</v>
      </c>
      <c r="AO57" s="443">
        <v>26</v>
      </c>
      <c r="AP57" s="443">
        <v>24</v>
      </c>
      <c r="AQ57" s="443">
        <v>26</v>
      </c>
      <c r="AR57" s="443">
        <v>25</v>
      </c>
      <c r="AS57" s="443">
        <v>26</v>
      </c>
      <c r="AT57" s="443">
        <v>25</v>
      </c>
      <c r="AU57" s="443">
        <v>25</v>
      </c>
      <c r="AV57" s="443">
        <v>24</v>
      </c>
      <c r="AW57" s="443">
        <v>20</v>
      </c>
      <c r="AX57" s="443">
        <v>25</v>
      </c>
      <c r="AY57" s="443"/>
      <c r="AZ57" s="443"/>
      <c r="BA57" s="443"/>
      <c r="BB57" s="443"/>
      <c r="BC57" s="443"/>
      <c r="BD57" s="443"/>
      <c r="BE57" s="443"/>
      <c r="BF57" s="443"/>
      <c r="BG57" s="443"/>
      <c r="BH57" s="443"/>
      <c r="BI57" s="443"/>
      <c r="BJ57" s="443"/>
      <c r="BK57" s="443"/>
      <c r="BL57" s="443"/>
    </row>
    <row r="58" spans="1:64" ht="12.75">
      <c r="A58" s="490" t="s">
        <v>345</v>
      </c>
      <c r="B58" s="492" t="s">
        <v>370</v>
      </c>
      <c r="C58" s="443"/>
      <c r="D58" s="477">
        <f t="shared" si="6"/>
        <v>592</v>
      </c>
      <c r="E58" s="502">
        <f t="shared" si="7"/>
        <v>123</v>
      </c>
      <c r="F58" s="490"/>
      <c r="G58" s="491">
        <v>27</v>
      </c>
      <c r="H58" s="491">
        <v>27</v>
      </c>
      <c r="I58" s="491">
        <v>30</v>
      </c>
      <c r="J58" s="492">
        <v>18</v>
      </c>
      <c r="K58" s="490">
        <v>21</v>
      </c>
      <c r="L58" s="491">
        <v>20</v>
      </c>
      <c r="M58" s="491">
        <v>15</v>
      </c>
      <c r="N58" s="491">
        <v>22</v>
      </c>
      <c r="O58" s="491">
        <v>25</v>
      </c>
      <c r="P58" s="491">
        <v>35</v>
      </c>
      <c r="Q58" s="491">
        <v>37</v>
      </c>
      <c r="R58" s="491">
        <v>35</v>
      </c>
      <c r="S58" s="491">
        <v>18</v>
      </c>
      <c r="T58" s="491">
        <v>12</v>
      </c>
      <c r="U58" s="491">
        <v>12</v>
      </c>
      <c r="V58" s="492">
        <v>12</v>
      </c>
      <c r="W58" s="443">
        <v>13</v>
      </c>
      <c r="X58" s="443">
        <v>14</v>
      </c>
      <c r="Y58" s="443">
        <v>14</v>
      </c>
      <c r="Z58" s="443">
        <v>18</v>
      </c>
      <c r="AA58" s="443">
        <v>18</v>
      </c>
      <c r="AB58" s="443">
        <v>16</v>
      </c>
      <c r="AC58" s="443">
        <v>16</v>
      </c>
      <c r="AD58" s="443">
        <v>14</v>
      </c>
      <c r="AE58" s="443">
        <v>11</v>
      </c>
      <c r="AF58" s="443">
        <v>9</v>
      </c>
      <c r="AG58" s="443">
        <v>9</v>
      </c>
      <c r="AH58" s="443">
        <v>9</v>
      </c>
      <c r="AI58" s="443">
        <v>9</v>
      </c>
      <c r="AJ58" s="443">
        <v>6</v>
      </c>
      <c r="AK58" s="443">
        <v>3</v>
      </c>
      <c r="AL58" s="443">
        <v>4</v>
      </c>
      <c r="AM58" s="443">
        <v>4</v>
      </c>
      <c r="AN58" s="443">
        <v>4</v>
      </c>
      <c r="AO58" s="443">
        <v>4</v>
      </c>
      <c r="AP58" s="443">
        <v>4</v>
      </c>
      <c r="AQ58" s="443">
        <v>4</v>
      </c>
      <c r="AR58" s="443">
        <v>4</v>
      </c>
      <c r="AS58" s="443">
        <v>4</v>
      </c>
      <c r="AT58" s="443">
        <v>4</v>
      </c>
      <c r="AU58" s="443">
        <v>4</v>
      </c>
      <c r="AV58" s="443">
        <v>4</v>
      </c>
      <c r="AW58" s="443">
        <v>3</v>
      </c>
      <c r="AX58" s="443">
        <v>0</v>
      </c>
      <c r="AY58" s="443"/>
      <c r="AZ58" s="443"/>
      <c r="BA58" s="443"/>
      <c r="BB58" s="443"/>
      <c r="BC58" s="443"/>
      <c r="BD58" s="443"/>
      <c r="BE58" s="443"/>
      <c r="BF58" s="443"/>
      <c r="BG58" s="443"/>
      <c r="BH58" s="443"/>
      <c r="BI58" s="443"/>
      <c r="BJ58" s="443"/>
      <c r="BK58" s="443"/>
      <c r="BL58" s="443"/>
    </row>
    <row r="59" spans="1:64" ht="12.75">
      <c r="A59" s="490" t="s">
        <v>345</v>
      </c>
      <c r="B59" s="492" t="s">
        <v>371</v>
      </c>
      <c r="C59" s="443"/>
      <c r="D59" s="477">
        <f t="shared" si="6"/>
        <v>19</v>
      </c>
      <c r="E59" s="502">
        <f t="shared" si="7"/>
        <v>19</v>
      </c>
      <c r="F59" s="490">
        <v>15</v>
      </c>
      <c r="G59" s="491">
        <v>4</v>
      </c>
      <c r="H59" s="491"/>
      <c r="I59" s="491"/>
      <c r="J59" s="492"/>
      <c r="K59" s="490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2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</row>
    <row r="60" spans="1:64" ht="13.5" thickBot="1">
      <c r="A60" s="494" t="s">
        <v>345</v>
      </c>
      <c r="B60" s="436" t="s">
        <v>372</v>
      </c>
      <c r="C60" s="443"/>
      <c r="D60" s="477">
        <f t="shared" si="6"/>
        <v>129</v>
      </c>
      <c r="E60" s="505">
        <f t="shared" si="7"/>
        <v>18</v>
      </c>
      <c r="F60" s="434"/>
      <c r="G60" s="499"/>
      <c r="H60" s="499"/>
      <c r="I60" s="499">
        <v>8</v>
      </c>
      <c r="J60" s="500">
        <v>7</v>
      </c>
      <c r="K60" s="434">
        <v>3</v>
      </c>
      <c r="L60" s="499">
        <v>3</v>
      </c>
      <c r="M60" s="499">
        <v>2</v>
      </c>
      <c r="N60" s="499">
        <v>3</v>
      </c>
      <c r="O60" s="499">
        <v>3</v>
      </c>
      <c r="P60" s="499">
        <v>3</v>
      </c>
      <c r="Q60" s="499">
        <v>3</v>
      </c>
      <c r="R60" s="499">
        <v>3</v>
      </c>
      <c r="S60" s="499">
        <v>3</v>
      </c>
      <c r="T60" s="499">
        <v>3</v>
      </c>
      <c r="U60" s="499">
        <v>3</v>
      </c>
      <c r="V60" s="500">
        <v>3</v>
      </c>
      <c r="W60" s="443">
        <v>3</v>
      </c>
      <c r="X60" s="443">
        <v>2</v>
      </c>
      <c r="Y60" s="443">
        <v>2</v>
      </c>
      <c r="Z60" s="443">
        <v>3</v>
      </c>
      <c r="AA60" s="443">
        <v>3</v>
      </c>
      <c r="AB60" s="443">
        <v>3</v>
      </c>
      <c r="AC60" s="443">
        <v>3</v>
      </c>
      <c r="AD60" s="443">
        <v>3</v>
      </c>
      <c r="AE60" s="443">
        <v>3</v>
      </c>
      <c r="AF60" s="443">
        <v>3</v>
      </c>
      <c r="AG60" s="443">
        <v>3</v>
      </c>
      <c r="AH60" s="443">
        <v>3</v>
      </c>
      <c r="AI60" s="443">
        <v>3</v>
      </c>
      <c r="AJ60" s="443">
        <v>2</v>
      </c>
      <c r="AK60" s="443">
        <v>2</v>
      </c>
      <c r="AL60" s="443">
        <v>3</v>
      </c>
      <c r="AM60" s="443">
        <v>3</v>
      </c>
      <c r="AN60" s="443">
        <v>3</v>
      </c>
      <c r="AO60" s="443">
        <v>3</v>
      </c>
      <c r="AP60" s="443">
        <v>3</v>
      </c>
      <c r="AQ60" s="443">
        <v>3</v>
      </c>
      <c r="AR60" s="443">
        <v>3</v>
      </c>
      <c r="AS60" s="443">
        <v>3</v>
      </c>
      <c r="AT60" s="443">
        <v>3</v>
      </c>
      <c r="AU60" s="443">
        <v>3</v>
      </c>
      <c r="AV60" s="443">
        <v>3</v>
      </c>
      <c r="AW60" s="443">
        <v>2</v>
      </c>
      <c r="AX60" s="443">
        <v>3</v>
      </c>
      <c r="AY60" s="443"/>
      <c r="AZ60" s="443"/>
      <c r="BA60" s="443"/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</row>
    <row r="61" spans="1:64" ht="13.5" thickBot="1">
      <c r="A61" s="443"/>
      <c r="B61" s="424" t="s">
        <v>661</v>
      </c>
      <c r="C61" s="375"/>
      <c r="D61" s="345">
        <f aca="true" t="shared" si="8" ref="D61:AI61">SUM(D35:D60)</f>
        <v>17530.7</v>
      </c>
      <c r="E61" s="388">
        <f t="shared" si="8"/>
        <v>3188</v>
      </c>
      <c r="F61" s="359">
        <f t="shared" si="8"/>
        <v>424</v>
      </c>
      <c r="G61" s="360">
        <f t="shared" si="8"/>
        <v>618</v>
      </c>
      <c r="H61" s="360">
        <f t="shared" si="8"/>
        <v>608</v>
      </c>
      <c r="I61" s="360">
        <f t="shared" si="8"/>
        <v>497</v>
      </c>
      <c r="J61" s="361">
        <f t="shared" si="8"/>
        <v>433</v>
      </c>
      <c r="K61" s="359">
        <f t="shared" si="8"/>
        <v>608</v>
      </c>
      <c r="L61" s="360">
        <f t="shared" si="8"/>
        <v>413.6</v>
      </c>
      <c r="M61" s="360">
        <f t="shared" si="8"/>
        <v>344.9</v>
      </c>
      <c r="N61" s="360">
        <f t="shared" si="8"/>
        <v>505.2</v>
      </c>
      <c r="O61" s="360">
        <f t="shared" si="8"/>
        <v>417.8</v>
      </c>
      <c r="P61" s="360">
        <f t="shared" si="8"/>
        <v>461.8</v>
      </c>
      <c r="Q61" s="360">
        <f t="shared" si="8"/>
        <v>418.7</v>
      </c>
      <c r="R61" s="360">
        <f t="shared" si="8"/>
        <v>375.5</v>
      </c>
      <c r="S61" s="360">
        <f t="shared" si="8"/>
        <v>644.8</v>
      </c>
      <c r="T61" s="360">
        <f t="shared" si="8"/>
        <v>856.7</v>
      </c>
      <c r="U61" s="360">
        <f t="shared" si="8"/>
        <v>999.1</v>
      </c>
      <c r="V61" s="361">
        <f t="shared" si="8"/>
        <v>943.7</v>
      </c>
      <c r="W61" s="21">
        <f t="shared" si="8"/>
        <v>810.4</v>
      </c>
      <c r="X61" s="21">
        <f t="shared" si="8"/>
        <v>517</v>
      </c>
      <c r="Y61" s="21">
        <f t="shared" si="8"/>
        <v>369.6</v>
      </c>
      <c r="Z61" s="21">
        <f t="shared" si="8"/>
        <v>442.4</v>
      </c>
      <c r="AA61" s="21">
        <f t="shared" si="8"/>
        <v>422.3</v>
      </c>
      <c r="AB61" s="21">
        <f t="shared" si="8"/>
        <v>412.7</v>
      </c>
      <c r="AC61" s="21">
        <f t="shared" si="8"/>
        <v>404.6</v>
      </c>
      <c r="AD61" s="21">
        <f t="shared" si="8"/>
        <v>301.5</v>
      </c>
      <c r="AE61" s="21">
        <f t="shared" si="8"/>
        <v>362.7</v>
      </c>
      <c r="AF61" s="21">
        <f t="shared" si="8"/>
        <v>283.7</v>
      </c>
      <c r="AG61" s="21">
        <f t="shared" si="8"/>
        <v>192</v>
      </c>
      <c r="AH61" s="21">
        <f t="shared" si="8"/>
        <v>209</v>
      </c>
      <c r="AI61" s="21">
        <f t="shared" si="8"/>
        <v>338</v>
      </c>
      <c r="AJ61" s="21">
        <f aca="true" t="shared" si="9" ref="AJ61:BD61">SUM(AJ35:AJ60)</f>
        <v>295</v>
      </c>
      <c r="AK61" s="21">
        <f t="shared" si="9"/>
        <v>251</v>
      </c>
      <c r="AL61" s="21">
        <f t="shared" si="9"/>
        <v>283</v>
      </c>
      <c r="AM61" s="21">
        <f t="shared" si="9"/>
        <v>238</v>
      </c>
      <c r="AN61" s="21">
        <f t="shared" si="9"/>
        <v>248</v>
      </c>
      <c r="AO61" s="21">
        <f t="shared" si="9"/>
        <v>193</v>
      </c>
      <c r="AP61" s="21">
        <f t="shared" si="9"/>
        <v>150</v>
      </c>
      <c r="AQ61" s="21">
        <f t="shared" si="9"/>
        <v>165</v>
      </c>
      <c r="AR61" s="21">
        <f t="shared" si="9"/>
        <v>158</v>
      </c>
      <c r="AS61" s="21">
        <f t="shared" si="9"/>
        <v>165</v>
      </c>
      <c r="AT61" s="21">
        <f t="shared" si="9"/>
        <v>158</v>
      </c>
      <c r="AU61" s="21">
        <f t="shared" si="9"/>
        <v>157</v>
      </c>
      <c r="AV61" s="21">
        <f t="shared" si="9"/>
        <v>150</v>
      </c>
      <c r="AW61" s="21">
        <f t="shared" si="9"/>
        <v>127</v>
      </c>
      <c r="AX61" s="21">
        <f t="shared" si="9"/>
        <v>153</v>
      </c>
      <c r="AY61" s="21">
        <f t="shared" si="9"/>
        <v>4</v>
      </c>
      <c r="AZ61" s="21">
        <f t="shared" si="9"/>
        <v>0</v>
      </c>
      <c r="BA61" s="21">
        <f t="shared" si="9"/>
        <v>0</v>
      </c>
      <c r="BB61" s="21">
        <f t="shared" si="9"/>
        <v>0</v>
      </c>
      <c r="BC61" s="21">
        <f t="shared" si="9"/>
        <v>0</v>
      </c>
      <c r="BD61" s="21">
        <f t="shared" si="9"/>
        <v>0</v>
      </c>
      <c r="BE61" s="443"/>
      <c r="BF61" s="443"/>
      <c r="BG61" s="443"/>
      <c r="BH61" s="443"/>
      <c r="BI61" s="443"/>
      <c r="BJ61" s="443"/>
      <c r="BK61" s="443"/>
      <c r="BL61" s="443"/>
    </row>
    <row r="62" spans="1:64" ht="6.75" customHeight="1" thickBot="1">
      <c r="A62" s="443"/>
      <c r="B62" s="443"/>
      <c r="C62" s="443"/>
      <c r="D62" s="477"/>
      <c r="E62" s="478"/>
      <c r="F62" s="431"/>
      <c r="G62" s="431"/>
      <c r="H62" s="431"/>
      <c r="I62" s="431"/>
      <c r="J62" s="431"/>
      <c r="K62" s="431"/>
      <c r="L62" s="431"/>
      <c r="M62" s="431"/>
      <c r="N62" s="431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3"/>
      <c r="BF62" s="443"/>
      <c r="BG62" s="443"/>
      <c r="BH62" s="443"/>
      <c r="BI62" s="443"/>
      <c r="BJ62" s="443"/>
      <c r="BK62" s="443"/>
      <c r="BL62" s="443"/>
    </row>
    <row r="63" spans="1:64" ht="12.75">
      <c r="A63" s="432" t="s">
        <v>346</v>
      </c>
      <c r="B63" s="433" t="s">
        <v>398</v>
      </c>
      <c r="C63" s="443"/>
      <c r="D63" s="477">
        <f aca="true" t="shared" si="10" ref="D63:D74">SUM(F63:BO63)</f>
        <v>52</v>
      </c>
      <c r="E63" s="506">
        <f aca="true" t="shared" si="11" ref="E63:E74">SUM(F63:K63)</f>
        <v>-104</v>
      </c>
      <c r="F63" s="432">
        <v>-104</v>
      </c>
      <c r="G63" s="493"/>
      <c r="H63" s="493"/>
      <c r="I63" s="493"/>
      <c r="J63" s="433"/>
      <c r="K63" s="432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33"/>
      <c r="W63" s="443">
        <v>0</v>
      </c>
      <c r="X63" s="443">
        <v>0</v>
      </c>
      <c r="Y63" s="443">
        <v>0</v>
      </c>
      <c r="Z63" s="443">
        <v>12</v>
      </c>
      <c r="AA63" s="443">
        <v>11</v>
      </c>
      <c r="AB63" s="443">
        <v>14</v>
      </c>
      <c r="AC63" s="443">
        <v>4</v>
      </c>
      <c r="AD63" s="443">
        <v>3</v>
      </c>
      <c r="AE63" s="443">
        <v>1</v>
      </c>
      <c r="AF63" s="443">
        <v>1</v>
      </c>
      <c r="AG63" s="443">
        <v>3</v>
      </c>
      <c r="AH63" s="443">
        <v>6</v>
      </c>
      <c r="AI63" s="443">
        <v>6</v>
      </c>
      <c r="AJ63" s="443">
        <v>4</v>
      </c>
      <c r="AK63" s="443">
        <v>3</v>
      </c>
      <c r="AL63" s="443">
        <v>8</v>
      </c>
      <c r="AM63" s="443">
        <v>27</v>
      </c>
      <c r="AN63" s="443">
        <v>29</v>
      </c>
      <c r="AO63" s="443">
        <v>15</v>
      </c>
      <c r="AP63" s="443">
        <v>6</v>
      </c>
      <c r="AQ63" s="443">
        <v>3</v>
      </c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</row>
    <row r="64" spans="1:64" ht="12.75">
      <c r="A64" s="490" t="s">
        <v>346</v>
      </c>
      <c r="B64" s="492" t="s">
        <v>399</v>
      </c>
      <c r="C64" s="443"/>
      <c r="D64" s="477">
        <f t="shared" si="10"/>
        <v>604</v>
      </c>
      <c r="E64" s="502">
        <f t="shared" si="11"/>
        <v>1</v>
      </c>
      <c r="F64" s="490"/>
      <c r="G64" s="491"/>
      <c r="H64" s="491"/>
      <c r="I64" s="491"/>
      <c r="J64" s="492"/>
      <c r="K64" s="490">
        <v>1</v>
      </c>
      <c r="L64" s="491">
        <v>1</v>
      </c>
      <c r="M64" s="491">
        <v>1</v>
      </c>
      <c r="N64" s="491">
        <v>1</v>
      </c>
      <c r="O64" s="491">
        <v>1</v>
      </c>
      <c r="P64" s="491">
        <v>1</v>
      </c>
      <c r="Q64" s="491">
        <v>1</v>
      </c>
      <c r="R64" s="491">
        <v>1</v>
      </c>
      <c r="S64" s="491">
        <v>1</v>
      </c>
      <c r="T64" s="491">
        <v>1</v>
      </c>
      <c r="U64" s="491">
        <v>1</v>
      </c>
      <c r="V64" s="492">
        <v>1</v>
      </c>
      <c r="W64" s="443">
        <v>38</v>
      </c>
      <c r="X64" s="443">
        <v>31</v>
      </c>
      <c r="Y64" s="443">
        <v>41</v>
      </c>
      <c r="Z64" s="443">
        <v>53</v>
      </c>
      <c r="AA64" s="443">
        <v>18</v>
      </c>
      <c r="AB64" s="443">
        <v>1</v>
      </c>
      <c r="AC64" s="443">
        <v>1</v>
      </c>
      <c r="AD64" s="443">
        <v>1</v>
      </c>
      <c r="AE64" s="443">
        <v>1</v>
      </c>
      <c r="AF64" s="443">
        <v>14</v>
      </c>
      <c r="AG64" s="443">
        <v>74</v>
      </c>
      <c r="AH64" s="443">
        <v>1</v>
      </c>
      <c r="AI64" s="443">
        <v>0</v>
      </c>
      <c r="AJ64" s="443">
        <v>62</v>
      </c>
      <c r="AK64" s="443">
        <v>52</v>
      </c>
      <c r="AL64" s="443">
        <v>66</v>
      </c>
      <c r="AM64" s="443">
        <v>66</v>
      </c>
      <c r="AN64" s="443">
        <v>72</v>
      </c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</row>
    <row r="65" spans="1:64" ht="12.75">
      <c r="A65" s="490" t="s">
        <v>346</v>
      </c>
      <c r="B65" s="492" t="s">
        <v>400</v>
      </c>
      <c r="C65" s="443"/>
      <c r="D65" s="477">
        <f t="shared" si="10"/>
        <v>1084</v>
      </c>
      <c r="E65" s="502">
        <f t="shared" si="11"/>
        <v>0</v>
      </c>
      <c r="F65" s="490"/>
      <c r="G65" s="491"/>
      <c r="H65" s="491"/>
      <c r="I65" s="491"/>
      <c r="J65" s="492"/>
      <c r="K65" s="490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2"/>
      <c r="W65" s="443"/>
      <c r="X65" s="443"/>
      <c r="Y65" s="443"/>
      <c r="Z65" s="443"/>
      <c r="AA65" s="443">
        <v>11</v>
      </c>
      <c r="AB65" s="443">
        <v>26</v>
      </c>
      <c r="AC65" s="443">
        <v>33</v>
      </c>
      <c r="AD65" s="443">
        <v>32</v>
      </c>
      <c r="AE65" s="443">
        <v>41</v>
      </c>
      <c r="AF65" s="443">
        <v>42</v>
      </c>
      <c r="AG65" s="443">
        <v>60</v>
      </c>
      <c r="AH65" s="443">
        <v>69</v>
      </c>
      <c r="AI65" s="443">
        <v>103</v>
      </c>
      <c r="AJ65" s="443">
        <v>73</v>
      </c>
      <c r="AK65" s="443">
        <v>55</v>
      </c>
      <c r="AL65" s="443">
        <v>67</v>
      </c>
      <c r="AM65" s="443">
        <v>75</v>
      </c>
      <c r="AN65" s="443">
        <v>111</v>
      </c>
      <c r="AO65" s="443">
        <v>97</v>
      </c>
      <c r="AP65" s="443">
        <v>91</v>
      </c>
      <c r="AQ65" s="443">
        <v>56</v>
      </c>
      <c r="AR65" s="443">
        <v>31</v>
      </c>
      <c r="AS65" s="443">
        <v>10</v>
      </c>
      <c r="AT65" s="443">
        <v>1</v>
      </c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3"/>
      <c r="BF65" s="443"/>
      <c r="BG65" s="443"/>
      <c r="BH65" s="443"/>
      <c r="BI65" s="443"/>
      <c r="BJ65" s="443"/>
      <c r="BK65" s="443"/>
      <c r="BL65" s="443"/>
    </row>
    <row r="66" spans="1:64" ht="12.75">
      <c r="A66" s="490" t="s">
        <v>346</v>
      </c>
      <c r="B66" s="492" t="s">
        <v>401</v>
      </c>
      <c r="C66" s="443"/>
      <c r="D66" s="477">
        <f t="shared" si="10"/>
        <v>682</v>
      </c>
      <c r="E66" s="502">
        <f t="shared" si="11"/>
        <v>0</v>
      </c>
      <c r="F66" s="490"/>
      <c r="G66" s="491"/>
      <c r="H66" s="491"/>
      <c r="I66" s="491"/>
      <c r="J66" s="492"/>
      <c r="K66" s="490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2"/>
      <c r="W66" s="443">
        <v>21</v>
      </c>
      <c r="X66" s="443">
        <v>23</v>
      </c>
      <c r="Y66" s="443">
        <v>20</v>
      </c>
      <c r="Z66" s="443">
        <v>18</v>
      </c>
      <c r="AA66" s="443">
        <v>17</v>
      </c>
      <c r="AB66" s="443">
        <v>37</v>
      </c>
      <c r="AC66" s="443">
        <v>34</v>
      </c>
      <c r="AD66" s="443">
        <v>29</v>
      </c>
      <c r="AE66" s="443">
        <v>37</v>
      </c>
      <c r="AF66" s="443">
        <v>43</v>
      </c>
      <c r="AG66" s="443">
        <v>40</v>
      </c>
      <c r="AH66" s="443">
        <v>37</v>
      </c>
      <c r="AI66" s="443">
        <v>39</v>
      </c>
      <c r="AJ66" s="443">
        <v>22</v>
      </c>
      <c r="AK66" s="443">
        <v>18</v>
      </c>
      <c r="AL66" s="443">
        <v>19</v>
      </c>
      <c r="AM66" s="443">
        <v>13</v>
      </c>
      <c r="AN66" s="443"/>
      <c r="AO66" s="443"/>
      <c r="AP66" s="443">
        <v>3</v>
      </c>
      <c r="AQ66" s="443">
        <v>35</v>
      </c>
      <c r="AR66" s="443">
        <v>33</v>
      </c>
      <c r="AS66" s="443">
        <v>35</v>
      </c>
      <c r="AT66" s="443">
        <v>56</v>
      </c>
      <c r="AU66" s="443">
        <v>53</v>
      </c>
      <c r="AV66" s="443"/>
      <c r="AW66" s="443"/>
      <c r="AX66" s="443"/>
      <c r="AY66" s="443"/>
      <c r="AZ66" s="443"/>
      <c r="BA66" s="443"/>
      <c r="BB66" s="443"/>
      <c r="BC66" s="443"/>
      <c r="BD66" s="443"/>
      <c r="BE66" s="443"/>
      <c r="BF66" s="443"/>
      <c r="BG66" s="443"/>
      <c r="BH66" s="443"/>
      <c r="BI66" s="443"/>
      <c r="BJ66" s="443"/>
      <c r="BK66" s="443"/>
      <c r="BL66" s="443"/>
    </row>
    <row r="67" spans="1:64" ht="12.75">
      <c r="A67" s="490" t="s">
        <v>346</v>
      </c>
      <c r="B67" s="492" t="s">
        <v>402</v>
      </c>
      <c r="C67" s="443"/>
      <c r="D67" s="477">
        <f t="shared" si="10"/>
        <v>151</v>
      </c>
      <c r="E67" s="502">
        <f t="shared" si="11"/>
        <v>0</v>
      </c>
      <c r="F67" s="490"/>
      <c r="G67" s="491"/>
      <c r="H67" s="491"/>
      <c r="I67" s="491"/>
      <c r="J67" s="492"/>
      <c r="K67" s="490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2"/>
      <c r="W67" s="443"/>
      <c r="X67" s="443"/>
      <c r="Y67" s="443"/>
      <c r="Z67" s="443"/>
      <c r="AA67" s="443"/>
      <c r="AB67" s="443"/>
      <c r="AC67" s="443"/>
      <c r="AD67" s="443"/>
      <c r="AE67" s="443"/>
      <c r="AF67" s="443">
        <v>3</v>
      </c>
      <c r="AG67" s="443">
        <v>2</v>
      </c>
      <c r="AH67" s="443">
        <v>2</v>
      </c>
      <c r="AI67" s="443">
        <v>2</v>
      </c>
      <c r="AJ67" s="443">
        <v>14</v>
      </c>
      <c r="AK67" s="443">
        <v>14</v>
      </c>
      <c r="AL67" s="443">
        <v>18</v>
      </c>
      <c r="AM67" s="443">
        <v>23</v>
      </c>
      <c r="AN67" s="443">
        <v>32</v>
      </c>
      <c r="AO67" s="443">
        <v>31</v>
      </c>
      <c r="AP67" s="443">
        <v>10</v>
      </c>
      <c r="AQ67" s="443"/>
      <c r="AR67" s="443"/>
      <c r="AS67" s="443"/>
      <c r="AT67" s="443"/>
      <c r="AU67" s="443"/>
      <c r="AV67" s="443"/>
      <c r="AW67" s="443"/>
      <c r="AX67" s="443"/>
      <c r="AY67" s="443"/>
      <c r="AZ67" s="443"/>
      <c r="BA67" s="443"/>
      <c r="BB67" s="443"/>
      <c r="BC67" s="443"/>
      <c r="BD67" s="443"/>
      <c r="BE67" s="443"/>
      <c r="BF67" s="443"/>
      <c r="BG67" s="443"/>
      <c r="BH67" s="443"/>
      <c r="BI67" s="443"/>
      <c r="BJ67" s="443"/>
      <c r="BK67" s="443"/>
      <c r="BL67" s="443"/>
    </row>
    <row r="68" spans="1:64" ht="12.75">
      <c r="A68" s="490" t="s">
        <v>346</v>
      </c>
      <c r="B68" s="492" t="s">
        <v>403</v>
      </c>
      <c r="C68" s="443"/>
      <c r="D68" s="477">
        <f t="shared" si="10"/>
        <v>197</v>
      </c>
      <c r="E68" s="502">
        <f t="shared" si="11"/>
        <v>0</v>
      </c>
      <c r="F68" s="490"/>
      <c r="G68" s="491"/>
      <c r="H68" s="491"/>
      <c r="I68" s="491"/>
      <c r="J68" s="492"/>
      <c r="K68" s="490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2"/>
      <c r="W68" s="443"/>
      <c r="X68" s="443"/>
      <c r="Y68" s="443"/>
      <c r="Z68" s="443"/>
      <c r="AA68" s="443"/>
      <c r="AB68" s="443">
        <v>5</v>
      </c>
      <c r="AC68" s="443">
        <v>3</v>
      </c>
      <c r="AD68" s="443">
        <v>2</v>
      </c>
      <c r="AE68" s="443">
        <v>2</v>
      </c>
      <c r="AF68" s="443">
        <v>21</v>
      </c>
      <c r="AG68" s="443">
        <v>25</v>
      </c>
      <c r="AH68" s="443">
        <v>24</v>
      </c>
      <c r="AI68" s="443">
        <v>15</v>
      </c>
      <c r="AJ68" s="443">
        <v>6</v>
      </c>
      <c r="AK68" s="443">
        <v>5</v>
      </c>
      <c r="AL68" s="443">
        <v>7</v>
      </c>
      <c r="AM68" s="443">
        <v>9</v>
      </c>
      <c r="AN68" s="443">
        <v>5</v>
      </c>
      <c r="AO68" s="443">
        <v>14</v>
      </c>
      <c r="AP68" s="443">
        <v>20</v>
      </c>
      <c r="AQ68" s="443">
        <v>22</v>
      </c>
      <c r="AR68" s="443">
        <v>12</v>
      </c>
      <c r="AS68" s="443"/>
      <c r="AT68" s="443"/>
      <c r="AU68" s="443"/>
      <c r="AV68" s="443"/>
      <c r="AW68" s="443"/>
      <c r="AX68" s="443"/>
      <c r="AY68" s="443"/>
      <c r="AZ68" s="443"/>
      <c r="BA68" s="443"/>
      <c r="BB68" s="443"/>
      <c r="BC68" s="443"/>
      <c r="BD68" s="443"/>
      <c r="BE68" s="443"/>
      <c r="BF68" s="443"/>
      <c r="BG68" s="443"/>
      <c r="BH68" s="443"/>
      <c r="BI68" s="443"/>
      <c r="BJ68" s="443"/>
      <c r="BK68" s="443"/>
      <c r="BL68" s="443"/>
    </row>
    <row r="69" spans="1:64" ht="12.75">
      <c r="A69" s="490" t="s">
        <v>346</v>
      </c>
      <c r="B69" s="492" t="s">
        <v>404</v>
      </c>
      <c r="C69" s="443"/>
      <c r="D69" s="477">
        <f t="shared" si="10"/>
        <v>165</v>
      </c>
      <c r="E69" s="502">
        <f t="shared" si="11"/>
        <v>0</v>
      </c>
      <c r="F69" s="490"/>
      <c r="G69" s="491"/>
      <c r="H69" s="491"/>
      <c r="I69" s="491"/>
      <c r="J69" s="492"/>
      <c r="K69" s="490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2"/>
      <c r="W69" s="443"/>
      <c r="X69" s="443"/>
      <c r="Y69" s="443"/>
      <c r="Z69" s="443"/>
      <c r="AA69" s="443"/>
      <c r="AB69" s="443"/>
      <c r="AC69" s="443"/>
      <c r="AD69" s="443">
        <v>4</v>
      </c>
      <c r="AE69" s="443">
        <v>7</v>
      </c>
      <c r="AF69" s="443">
        <v>11</v>
      </c>
      <c r="AG69" s="443">
        <v>21</v>
      </c>
      <c r="AH69" s="443">
        <v>7</v>
      </c>
      <c r="AI69" s="443">
        <v>7</v>
      </c>
      <c r="AJ69" s="443">
        <v>12</v>
      </c>
      <c r="AK69" s="443">
        <v>10</v>
      </c>
      <c r="AL69" s="443">
        <v>12</v>
      </c>
      <c r="AM69" s="443">
        <v>9</v>
      </c>
      <c r="AN69" s="443">
        <v>10</v>
      </c>
      <c r="AO69" s="443">
        <v>13</v>
      </c>
      <c r="AP69" s="443">
        <v>17</v>
      </c>
      <c r="AQ69" s="443">
        <v>15</v>
      </c>
      <c r="AR69" s="443">
        <v>10</v>
      </c>
      <c r="AS69" s="443"/>
      <c r="AT69" s="443"/>
      <c r="AU69" s="443"/>
      <c r="AV69" s="443"/>
      <c r="AW69" s="443"/>
      <c r="AX69" s="443"/>
      <c r="AY69" s="443"/>
      <c r="AZ69" s="443"/>
      <c r="BA69" s="443"/>
      <c r="BB69" s="443"/>
      <c r="BC69" s="443"/>
      <c r="BD69" s="443"/>
      <c r="BE69" s="443"/>
      <c r="BF69" s="443"/>
      <c r="BG69" s="443"/>
      <c r="BH69" s="443"/>
      <c r="BI69" s="443"/>
      <c r="BJ69" s="443"/>
      <c r="BK69" s="443"/>
      <c r="BL69" s="443"/>
    </row>
    <row r="70" spans="1:64" ht="12.75">
      <c r="A70" s="490" t="s">
        <v>346</v>
      </c>
      <c r="B70" s="492" t="s">
        <v>405</v>
      </c>
      <c r="C70" s="443"/>
      <c r="D70" s="477">
        <f t="shared" si="10"/>
        <v>204</v>
      </c>
      <c r="E70" s="502">
        <f t="shared" si="11"/>
        <v>0</v>
      </c>
      <c r="F70" s="490"/>
      <c r="G70" s="491"/>
      <c r="H70" s="491"/>
      <c r="I70" s="491"/>
      <c r="J70" s="492"/>
      <c r="K70" s="490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2"/>
      <c r="W70" s="443"/>
      <c r="X70" s="443"/>
      <c r="Y70" s="443"/>
      <c r="Z70" s="443"/>
      <c r="AA70" s="443"/>
      <c r="AB70" s="443"/>
      <c r="AC70" s="443"/>
      <c r="AD70" s="443"/>
      <c r="AE70" s="443"/>
      <c r="AF70" s="443">
        <v>5</v>
      </c>
      <c r="AG70" s="443">
        <v>4</v>
      </c>
      <c r="AH70" s="443">
        <v>3</v>
      </c>
      <c r="AI70" s="443">
        <v>16</v>
      </c>
      <c r="AJ70" s="443">
        <v>25</v>
      </c>
      <c r="AK70" s="443">
        <v>24</v>
      </c>
      <c r="AL70" s="443">
        <v>15</v>
      </c>
      <c r="AM70" s="443">
        <v>16</v>
      </c>
      <c r="AN70" s="443">
        <v>32</v>
      </c>
      <c r="AO70" s="443">
        <v>24</v>
      </c>
      <c r="AP70" s="443">
        <v>10</v>
      </c>
      <c r="AQ70" s="443">
        <v>15</v>
      </c>
      <c r="AR70" s="443">
        <v>12</v>
      </c>
      <c r="AS70" s="443">
        <v>3</v>
      </c>
      <c r="AT70" s="443"/>
      <c r="AU70" s="443"/>
      <c r="AV70" s="443"/>
      <c r="AW70" s="443"/>
      <c r="AX70" s="443"/>
      <c r="AY70" s="443"/>
      <c r="AZ70" s="443"/>
      <c r="BA70" s="443"/>
      <c r="BB70" s="443"/>
      <c r="BC70" s="443"/>
      <c r="BD70" s="443"/>
      <c r="BE70" s="443"/>
      <c r="BF70" s="443"/>
      <c r="BG70" s="443"/>
      <c r="BH70" s="443"/>
      <c r="BI70" s="443"/>
      <c r="BJ70" s="443"/>
      <c r="BK70" s="443"/>
      <c r="BL70" s="443"/>
    </row>
    <row r="71" spans="1:64" ht="12.75">
      <c r="A71" s="490" t="s">
        <v>346</v>
      </c>
      <c r="B71" s="492" t="s">
        <v>406</v>
      </c>
      <c r="C71" s="443"/>
      <c r="D71" s="477">
        <f t="shared" si="10"/>
        <v>131</v>
      </c>
      <c r="E71" s="502">
        <f t="shared" si="11"/>
        <v>0</v>
      </c>
      <c r="F71" s="490"/>
      <c r="G71" s="491"/>
      <c r="H71" s="491"/>
      <c r="I71" s="491"/>
      <c r="J71" s="492"/>
      <c r="K71" s="490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2"/>
      <c r="W71" s="443"/>
      <c r="X71" s="443"/>
      <c r="Y71" s="443"/>
      <c r="Z71" s="443"/>
      <c r="AA71" s="443"/>
      <c r="AB71" s="443"/>
      <c r="AC71" s="443"/>
      <c r="AD71" s="443"/>
      <c r="AE71" s="443"/>
      <c r="AF71" s="443">
        <v>5</v>
      </c>
      <c r="AG71" s="443">
        <v>7</v>
      </c>
      <c r="AH71" s="443">
        <v>6</v>
      </c>
      <c r="AI71" s="443">
        <v>6</v>
      </c>
      <c r="AJ71" s="443">
        <v>8</v>
      </c>
      <c r="AK71" s="443">
        <v>7</v>
      </c>
      <c r="AL71" s="443">
        <v>9</v>
      </c>
      <c r="AM71" s="443">
        <v>14</v>
      </c>
      <c r="AN71" s="443">
        <v>21</v>
      </c>
      <c r="AO71" s="443">
        <v>25</v>
      </c>
      <c r="AP71" s="443">
        <v>9</v>
      </c>
      <c r="AQ71" s="443">
        <v>13</v>
      </c>
      <c r="AR71" s="443">
        <v>1</v>
      </c>
      <c r="AS71" s="443"/>
      <c r="AT71" s="443"/>
      <c r="AU71" s="443"/>
      <c r="AV71" s="443"/>
      <c r="AW71" s="443"/>
      <c r="AX71" s="443"/>
      <c r="AY71" s="443"/>
      <c r="AZ71" s="443"/>
      <c r="BA71" s="443"/>
      <c r="BB71" s="443"/>
      <c r="BC71" s="443"/>
      <c r="BD71" s="443"/>
      <c r="BE71" s="443"/>
      <c r="BF71" s="443"/>
      <c r="BG71" s="443"/>
      <c r="BH71" s="443"/>
      <c r="BI71" s="443"/>
      <c r="BJ71" s="443"/>
      <c r="BK71" s="443"/>
      <c r="BL71" s="443"/>
    </row>
    <row r="72" spans="1:64" ht="12.75">
      <c r="A72" s="490" t="s">
        <v>346</v>
      </c>
      <c r="B72" s="492" t="s">
        <v>407</v>
      </c>
      <c r="C72" s="443"/>
      <c r="D72" s="477">
        <f t="shared" si="10"/>
        <v>221</v>
      </c>
      <c r="E72" s="502">
        <f t="shared" si="11"/>
        <v>0</v>
      </c>
      <c r="F72" s="490"/>
      <c r="G72" s="491"/>
      <c r="H72" s="491"/>
      <c r="I72" s="491"/>
      <c r="J72" s="492"/>
      <c r="K72" s="490"/>
      <c r="L72" s="491"/>
      <c r="M72" s="491"/>
      <c r="N72" s="491"/>
      <c r="O72" s="491"/>
      <c r="P72" s="491"/>
      <c r="Q72" s="491"/>
      <c r="R72" s="491"/>
      <c r="S72" s="491"/>
      <c r="T72" s="491"/>
      <c r="U72" s="491"/>
      <c r="V72" s="492"/>
      <c r="W72" s="443"/>
      <c r="X72" s="443"/>
      <c r="Y72" s="443"/>
      <c r="Z72" s="443"/>
      <c r="AA72" s="443"/>
      <c r="AB72" s="443"/>
      <c r="AC72" s="443"/>
      <c r="AD72" s="443"/>
      <c r="AE72" s="443">
        <v>2</v>
      </c>
      <c r="AF72" s="443">
        <v>2</v>
      </c>
      <c r="AG72" s="443">
        <v>3</v>
      </c>
      <c r="AH72" s="443">
        <v>4</v>
      </c>
      <c r="AI72" s="443">
        <v>19</v>
      </c>
      <c r="AJ72" s="443">
        <v>20</v>
      </c>
      <c r="AK72" s="443">
        <v>17</v>
      </c>
      <c r="AL72" s="443">
        <v>18</v>
      </c>
      <c r="AM72" s="443">
        <v>18</v>
      </c>
      <c r="AN72" s="443">
        <v>34</v>
      </c>
      <c r="AO72" s="443">
        <v>32</v>
      </c>
      <c r="AP72" s="443">
        <v>29</v>
      </c>
      <c r="AQ72" s="443">
        <v>7</v>
      </c>
      <c r="AR72" s="443">
        <v>11</v>
      </c>
      <c r="AS72" s="443">
        <v>5</v>
      </c>
      <c r="AT72" s="443"/>
      <c r="AU72" s="443"/>
      <c r="AV72" s="443"/>
      <c r="AW72" s="443"/>
      <c r="AX72" s="443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443"/>
      <c r="BK72" s="443"/>
      <c r="BL72" s="443"/>
    </row>
    <row r="73" spans="1:64" ht="12.75">
      <c r="A73" s="490" t="s">
        <v>346</v>
      </c>
      <c r="B73" s="492" t="s">
        <v>408</v>
      </c>
      <c r="C73" s="443"/>
      <c r="D73" s="477">
        <f t="shared" si="10"/>
        <v>71</v>
      </c>
      <c r="E73" s="502">
        <f t="shared" si="11"/>
        <v>8</v>
      </c>
      <c r="F73" s="490">
        <v>1</v>
      </c>
      <c r="G73" s="491">
        <v>1</v>
      </c>
      <c r="H73" s="491">
        <v>1</v>
      </c>
      <c r="I73" s="491">
        <v>2</v>
      </c>
      <c r="J73" s="492">
        <v>1</v>
      </c>
      <c r="K73" s="490">
        <v>2</v>
      </c>
      <c r="L73" s="491">
        <v>2</v>
      </c>
      <c r="M73" s="491">
        <v>1</v>
      </c>
      <c r="N73" s="491">
        <v>2</v>
      </c>
      <c r="O73" s="491">
        <v>2</v>
      </c>
      <c r="P73" s="491">
        <v>2</v>
      </c>
      <c r="Q73" s="491">
        <v>2</v>
      </c>
      <c r="R73" s="491">
        <v>2</v>
      </c>
      <c r="S73" s="491">
        <v>2</v>
      </c>
      <c r="T73" s="491">
        <v>2</v>
      </c>
      <c r="U73" s="491">
        <v>2</v>
      </c>
      <c r="V73" s="492">
        <v>2</v>
      </c>
      <c r="W73" s="443">
        <v>2</v>
      </c>
      <c r="X73" s="443">
        <v>1</v>
      </c>
      <c r="Y73" s="443">
        <v>1</v>
      </c>
      <c r="Z73" s="443">
        <v>2</v>
      </c>
      <c r="AA73" s="443">
        <v>1</v>
      </c>
      <c r="AB73" s="443">
        <v>2</v>
      </c>
      <c r="AC73" s="443">
        <v>2</v>
      </c>
      <c r="AD73" s="443">
        <v>1</v>
      </c>
      <c r="AE73" s="443">
        <v>2</v>
      </c>
      <c r="AF73" s="443">
        <v>2</v>
      </c>
      <c r="AG73" s="443">
        <v>2</v>
      </c>
      <c r="AH73" s="443">
        <v>2</v>
      </c>
      <c r="AI73" s="443">
        <v>2</v>
      </c>
      <c r="AJ73" s="443">
        <v>1</v>
      </c>
      <c r="AK73" s="443">
        <v>1</v>
      </c>
      <c r="AL73" s="443">
        <v>2</v>
      </c>
      <c r="AM73" s="443">
        <v>2</v>
      </c>
      <c r="AN73" s="443">
        <v>2</v>
      </c>
      <c r="AO73" s="443">
        <v>2</v>
      </c>
      <c r="AP73" s="443">
        <v>2</v>
      </c>
      <c r="AQ73" s="443">
        <v>2</v>
      </c>
      <c r="AR73" s="443">
        <v>2</v>
      </c>
      <c r="AS73" s="443">
        <v>2</v>
      </c>
      <c r="AT73" s="443">
        <v>2</v>
      </c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3"/>
      <c r="BH73" s="443"/>
      <c r="BI73" s="443"/>
      <c r="BJ73" s="443"/>
      <c r="BK73" s="443"/>
      <c r="BL73" s="443"/>
    </row>
    <row r="74" spans="1:64" ht="13.5" thickBot="1">
      <c r="A74" s="494" t="s">
        <v>346</v>
      </c>
      <c r="B74" s="436" t="s">
        <v>409</v>
      </c>
      <c r="C74" s="443"/>
      <c r="D74" s="477">
        <f t="shared" si="10"/>
        <v>767</v>
      </c>
      <c r="E74" s="502">
        <f t="shared" si="11"/>
        <v>0</v>
      </c>
      <c r="F74" s="434"/>
      <c r="G74" s="499"/>
      <c r="H74" s="499"/>
      <c r="I74" s="499"/>
      <c r="J74" s="500"/>
      <c r="K74" s="434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500"/>
      <c r="W74" s="443"/>
      <c r="X74" s="443">
        <v>22</v>
      </c>
      <c r="Y74" s="443">
        <v>32</v>
      </c>
      <c r="Z74" s="443">
        <v>29</v>
      </c>
      <c r="AA74" s="443">
        <v>24</v>
      </c>
      <c r="AB74" s="443">
        <v>21</v>
      </c>
      <c r="AC74" s="443">
        <v>27</v>
      </c>
      <c r="AD74" s="443">
        <v>24</v>
      </c>
      <c r="AE74" s="443">
        <v>27</v>
      </c>
      <c r="AF74" s="443">
        <v>24</v>
      </c>
      <c r="AG74" s="443">
        <v>22</v>
      </c>
      <c r="AH74" s="443">
        <v>26</v>
      </c>
      <c r="AI74" s="443">
        <v>27</v>
      </c>
      <c r="AJ74" s="443">
        <v>14</v>
      </c>
      <c r="AK74" s="443">
        <v>20</v>
      </c>
      <c r="AL74" s="443">
        <v>9</v>
      </c>
      <c r="AM74" s="443"/>
      <c r="AN74" s="443"/>
      <c r="AO74" s="443"/>
      <c r="AP74" s="443"/>
      <c r="AQ74" s="443"/>
      <c r="AR74" s="443"/>
      <c r="AS74" s="443"/>
      <c r="AT74" s="443"/>
      <c r="AU74" s="443">
        <v>116</v>
      </c>
      <c r="AV74" s="443">
        <v>110</v>
      </c>
      <c r="AW74" s="443">
        <v>94</v>
      </c>
      <c r="AX74" s="443">
        <v>99</v>
      </c>
      <c r="AY74" s="443"/>
      <c r="AZ74" s="443"/>
      <c r="BA74" s="443"/>
      <c r="BB74" s="443"/>
      <c r="BC74" s="443"/>
      <c r="BD74" s="443"/>
      <c r="BE74" s="443"/>
      <c r="BF74" s="443"/>
      <c r="BG74" s="443"/>
      <c r="BH74" s="443"/>
      <c r="BI74" s="443"/>
      <c r="BJ74" s="443"/>
      <c r="BK74" s="443"/>
      <c r="BL74" s="443"/>
    </row>
    <row r="75" spans="1:56" ht="13.5" thickBot="1">
      <c r="A75" s="443"/>
      <c r="B75" s="424" t="s">
        <v>662</v>
      </c>
      <c r="C75" s="375"/>
      <c r="D75" s="345">
        <f aca="true" t="shared" si="12" ref="D75:AI75">SUM(D63:D74)</f>
        <v>4329</v>
      </c>
      <c r="E75" s="503">
        <f t="shared" si="12"/>
        <v>-95</v>
      </c>
      <c r="F75" s="359">
        <f t="shared" si="12"/>
        <v>-103</v>
      </c>
      <c r="G75" s="360">
        <f t="shared" si="12"/>
        <v>1</v>
      </c>
      <c r="H75" s="360">
        <f t="shared" si="12"/>
        <v>1</v>
      </c>
      <c r="I75" s="360">
        <f t="shared" si="12"/>
        <v>2</v>
      </c>
      <c r="J75" s="361">
        <f t="shared" si="12"/>
        <v>1</v>
      </c>
      <c r="K75" s="359">
        <f t="shared" si="12"/>
        <v>3</v>
      </c>
      <c r="L75" s="360">
        <f t="shared" si="12"/>
        <v>3</v>
      </c>
      <c r="M75" s="360">
        <f t="shared" si="12"/>
        <v>2</v>
      </c>
      <c r="N75" s="360">
        <f t="shared" si="12"/>
        <v>3</v>
      </c>
      <c r="O75" s="360">
        <f t="shared" si="12"/>
        <v>3</v>
      </c>
      <c r="P75" s="360">
        <f t="shared" si="12"/>
        <v>3</v>
      </c>
      <c r="Q75" s="360">
        <f t="shared" si="12"/>
        <v>3</v>
      </c>
      <c r="R75" s="360">
        <f t="shared" si="12"/>
        <v>3</v>
      </c>
      <c r="S75" s="360">
        <f t="shared" si="12"/>
        <v>3</v>
      </c>
      <c r="T75" s="360">
        <f t="shared" si="12"/>
        <v>3</v>
      </c>
      <c r="U75" s="360">
        <f t="shared" si="12"/>
        <v>3</v>
      </c>
      <c r="V75" s="361">
        <f t="shared" si="12"/>
        <v>3</v>
      </c>
      <c r="W75" s="21">
        <f t="shared" si="12"/>
        <v>61</v>
      </c>
      <c r="X75" s="21">
        <f t="shared" si="12"/>
        <v>77</v>
      </c>
      <c r="Y75" s="21">
        <f t="shared" si="12"/>
        <v>94</v>
      </c>
      <c r="Z75" s="21">
        <f t="shared" si="12"/>
        <v>114</v>
      </c>
      <c r="AA75" s="21">
        <f t="shared" si="12"/>
        <v>82</v>
      </c>
      <c r="AB75" s="21">
        <f t="shared" si="12"/>
        <v>106</v>
      </c>
      <c r="AC75" s="21">
        <f t="shared" si="12"/>
        <v>104</v>
      </c>
      <c r="AD75" s="21">
        <f t="shared" si="12"/>
        <v>96</v>
      </c>
      <c r="AE75" s="21">
        <f t="shared" si="12"/>
        <v>120</v>
      </c>
      <c r="AF75" s="21">
        <f t="shared" si="12"/>
        <v>173</v>
      </c>
      <c r="AG75" s="21">
        <f t="shared" si="12"/>
        <v>263</v>
      </c>
      <c r="AH75" s="21">
        <f t="shared" si="12"/>
        <v>187</v>
      </c>
      <c r="AI75" s="21">
        <f t="shared" si="12"/>
        <v>242</v>
      </c>
      <c r="AJ75" s="21">
        <f aca="true" t="shared" si="13" ref="AJ75:BD75">SUM(AJ63:AJ74)</f>
        <v>261</v>
      </c>
      <c r="AK75" s="21">
        <f t="shared" si="13"/>
        <v>226</v>
      </c>
      <c r="AL75" s="21">
        <f t="shared" si="13"/>
        <v>250</v>
      </c>
      <c r="AM75" s="21">
        <f t="shared" si="13"/>
        <v>272</v>
      </c>
      <c r="AN75" s="21">
        <f t="shared" si="13"/>
        <v>348</v>
      </c>
      <c r="AO75" s="21">
        <f t="shared" si="13"/>
        <v>253</v>
      </c>
      <c r="AP75" s="21">
        <f t="shared" si="13"/>
        <v>197</v>
      </c>
      <c r="AQ75" s="21">
        <f t="shared" si="13"/>
        <v>168</v>
      </c>
      <c r="AR75" s="21">
        <f t="shared" si="13"/>
        <v>112</v>
      </c>
      <c r="AS75" s="21">
        <f t="shared" si="13"/>
        <v>55</v>
      </c>
      <c r="AT75" s="21">
        <f t="shared" si="13"/>
        <v>59</v>
      </c>
      <c r="AU75" s="21">
        <f t="shared" si="13"/>
        <v>169</v>
      </c>
      <c r="AV75" s="21">
        <f t="shared" si="13"/>
        <v>110</v>
      </c>
      <c r="AW75" s="21">
        <f t="shared" si="13"/>
        <v>94</v>
      </c>
      <c r="AX75" s="21">
        <f t="shared" si="13"/>
        <v>99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B75" s="21">
        <f t="shared" si="13"/>
        <v>0</v>
      </c>
      <c r="BC75" s="21">
        <f t="shared" si="13"/>
        <v>0</v>
      </c>
      <c r="BD75" s="21">
        <f t="shared" si="13"/>
        <v>0</v>
      </c>
    </row>
    <row r="76" spans="1:56" ht="5.25" customHeight="1" thickBot="1">
      <c r="A76" s="443"/>
      <c r="B76" s="443"/>
      <c r="C76" s="443"/>
      <c r="D76" s="477"/>
      <c r="E76" s="478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1"/>
      <c r="BA76" s="1"/>
      <c r="BB76" s="1"/>
      <c r="BC76" s="1"/>
      <c r="BD76" s="1"/>
    </row>
    <row r="77" spans="1:56" ht="13.5" thickBot="1">
      <c r="A77" s="443"/>
      <c r="B77" s="443"/>
      <c r="C77" s="443"/>
      <c r="D77" s="477">
        <f aca="true" t="shared" si="14" ref="D77:AX77">SUM(D75,D61,D33,D6)</f>
        <v>52346.259999999995</v>
      </c>
      <c r="E77" s="389">
        <f t="shared" si="14"/>
        <v>7737.71</v>
      </c>
      <c r="F77" s="390">
        <f t="shared" si="14"/>
        <v>621.37</v>
      </c>
      <c r="G77" s="391">
        <f t="shared" si="14"/>
        <v>1208.0900000000001</v>
      </c>
      <c r="H77" s="391">
        <f t="shared" si="14"/>
        <v>1551.87</v>
      </c>
      <c r="I77" s="391">
        <f t="shared" si="14"/>
        <v>1328.2</v>
      </c>
      <c r="J77" s="392">
        <f t="shared" si="14"/>
        <v>1067.57</v>
      </c>
      <c r="K77" s="390">
        <f t="shared" si="14"/>
        <v>1960.6100000000001</v>
      </c>
      <c r="L77" s="391">
        <f t="shared" si="14"/>
        <v>1185.17</v>
      </c>
      <c r="M77" s="391">
        <f t="shared" si="14"/>
        <v>932.89</v>
      </c>
      <c r="N77" s="391">
        <f t="shared" si="14"/>
        <v>1380.38</v>
      </c>
      <c r="O77" s="391">
        <f t="shared" si="14"/>
        <v>1167.81</v>
      </c>
      <c r="P77" s="391">
        <f t="shared" si="14"/>
        <v>1196.06</v>
      </c>
      <c r="Q77" s="391">
        <f t="shared" si="14"/>
        <v>1126.44</v>
      </c>
      <c r="R77" s="391">
        <f t="shared" si="14"/>
        <v>1030.77</v>
      </c>
      <c r="S77" s="391">
        <f t="shared" si="14"/>
        <v>1221.27</v>
      </c>
      <c r="T77" s="391">
        <f t="shared" si="14"/>
        <v>1565.95</v>
      </c>
      <c r="U77" s="391">
        <f t="shared" si="14"/>
        <v>1517</v>
      </c>
      <c r="V77" s="392">
        <f t="shared" si="14"/>
        <v>1446.52</v>
      </c>
      <c r="W77" s="23">
        <f t="shared" si="14"/>
        <v>1497.6799999999998</v>
      </c>
      <c r="X77" s="23">
        <f t="shared" si="14"/>
        <v>1219.05</v>
      </c>
      <c r="Y77" s="23">
        <f t="shared" si="14"/>
        <v>1281.73</v>
      </c>
      <c r="Z77" s="23">
        <f t="shared" si="14"/>
        <v>1572.54</v>
      </c>
      <c r="AA77" s="23">
        <f t="shared" si="14"/>
        <v>1352.99</v>
      </c>
      <c r="AB77" s="23">
        <f t="shared" si="14"/>
        <v>1412.93</v>
      </c>
      <c r="AC77" s="23">
        <f t="shared" si="14"/>
        <v>1313.8400000000001</v>
      </c>
      <c r="AD77" s="23">
        <f t="shared" si="14"/>
        <v>1194.24</v>
      </c>
      <c r="AE77" s="23">
        <f t="shared" si="14"/>
        <v>1304.1</v>
      </c>
      <c r="AF77" s="23">
        <f t="shared" si="14"/>
        <v>1198.02</v>
      </c>
      <c r="AG77" s="23">
        <f t="shared" si="14"/>
        <v>1146.17</v>
      </c>
      <c r="AH77" s="23">
        <f t="shared" si="14"/>
        <v>1148.17</v>
      </c>
      <c r="AI77" s="23">
        <f t="shared" si="14"/>
        <v>1552.32</v>
      </c>
      <c r="AJ77" s="23">
        <f t="shared" si="14"/>
        <v>1252.51</v>
      </c>
      <c r="AK77" s="23">
        <f t="shared" si="14"/>
        <v>998</v>
      </c>
      <c r="AL77" s="23">
        <f t="shared" si="14"/>
        <v>1207</v>
      </c>
      <c r="AM77" s="23">
        <f t="shared" si="14"/>
        <v>1029</v>
      </c>
      <c r="AN77" s="23">
        <f t="shared" si="14"/>
        <v>1307</v>
      </c>
      <c r="AO77" s="23">
        <f t="shared" si="14"/>
        <v>1207</v>
      </c>
      <c r="AP77" s="23">
        <f t="shared" si="14"/>
        <v>959</v>
      </c>
      <c r="AQ77" s="23">
        <f t="shared" si="14"/>
        <v>903</v>
      </c>
      <c r="AR77" s="23">
        <f t="shared" si="14"/>
        <v>764</v>
      </c>
      <c r="AS77" s="23">
        <f t="shared" si="14"/>
        <v>737</v>
      </c>
      <c r="AT77" s="23">
        <f t="shared" si="14"/>
        <v>677</v>
      </c>
      <c r="AU77" s="23">
        <f t="shared" si="14"/>
        <v>844</v>
      </c>
      <c r="AV77" s="23">
        <f t="shared" si="14"/>
        <v>738</v>
      </c>
      <c r="AW77" s="23">
        <f t="shared" si="14"/>
        <v>626</v>
      </c>
      <c r="AX77" s="23">
        <f t="shared" si="14"/>
        <v>391</v>
      </c>
      <c r="AY77" s="443"/>
      <c r="AZ77" s="1"/>
      <c r="BA77" s="1"/>
      <c r="BB77" s="1"/>
      <c r="BC77" s="1"/>
      <c r="BD77" s="1"/>
    </row>
    <row r="78" spans="1:56" ht="12.75">
      <c r="A78" s="443"/>
      <c r="B78" s="443"/>
      <c r="C78" s="443"/>
      <c r="D78" s="477"/>
      <c r="E78" s="478">
        <f>SUM(F77:W77)</f>
        <v>23005.649999999998</v>
      </c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339"/>
      <c r="AR78" s="2"/>
      <c r="AV78" s="1"/>
      <c r="AW78" s="1"/>
      <c r="AX78" s="1"/>
      <c r="AY78" s="1"/>
      <c r="AZ78" s="1"/>
      <c r="BA78" s="1"/>
      <c r="BB78" s="1"/>
      <c r="BC78" s="1"/>
      <c r="BD78" s="1"/>
    </row>
    <row r="79" spans="2:3" ht="6" customHeight="1">
      <c r="B79" s="479"/>
      <c r="C79" s="479"/>
    </row>
    <row r="246" spans="2:56" ht="12.75">
      <c r="B246" s="479"/>
      <c r="C246" s="479"/>
      <c r="F246" s="339"/>
      <c r="G246" s="339"/>
      <c r="H246" s="339"/>
      <c r="I246" s="33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75">
      <c r="B247" s="479"/>
      <c r="C247" s="479"/>
      <c r="F247" s="339"/>
      <c r="G247" s="339"/>
      <c r="H247" s="339"/>
      <c r="I247" s="33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75">
      <c r="B248" s="479"/>
      <c r="C248" s="479"/>
      <c r="F248" s="339"/>
      <c r="G248" s="339"/>
      <c r="H248" s="339"/>
      <c r="I248" s="33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75">
      <c r="B249" s="479"/>
      <c r="C249" s="479"/>
      <c r="F249" s="339"/>
      <c r="G249" s="339"/>
      <c r="H249" s="339"/>
      <c r="I249" s="33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75">
      <c r="B250" s="479"/>
      <c r="C250" s="479"/>
      <c r="F250" s="339"/>
      <c r="G250" s="339"/>
      <c r="H250" s="339"/>
      <c r="I250" s="33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75">
      <c r="B251" s="479"/>
      <c r="C251" s="479"/>
      <c r="F251" s="339"/>
      <c r="G251" s="339"/>
      <c r="H251" s="339"/>
      <c r="I251" s="33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75">
      <c r="B252" s="479"/>
      <c r="C252" s="479"/>
      <c r="F252" s="339"/>
      <c r="G252" s="339"/>
      <c r="H252" s="339"/>
      <c r="I252" s="33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75">
      <c r="B253" s="479"/>
      <c r="C253" s="479"/>
      <c r="F253" s="339"/>
      <c r="G253" s="339"/>
      <c r="H253" s="339"/>
      <c r="I253" s="33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75">
      <c r="B254" s="479"/>
      <c r="C254" s="479"/>
      <c r="F254" s="339"/>
      <c r="G254" s="339"/>
      <c r="H254" s="339"/>
      <c r="I254" s="33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75">
      <c r="B255" s="479"/>
      <c r="C255" s="479"/>
      <c r="F255" s="339"/>
      <c r="G255" s="339"/>
      <c r="H255" s="339"/>
      <c r="I255" s="33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75">
      <c r="B256" s="479"/>
      <c r="C256" s="479"/>
      <c r="F256" s="339"/>
      <c r="G256" s="339"/>
      <c r="H256" s="339"/>
      <c r="I256" s="33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75">
      <c r="B257" s="479"/>
      <c r="C257" s="479"/>
      <c r="F257" s="339"/>
      <c r="G257" s="339"/>
      <c r="H257" s="339"/>
      <c r="I257" s="33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75">
      <c r="B258" s="479"/>
      <c r="C258" s="479"/>
      <c r="F258" s="339"/>
      <c r="G258" s="339"/>
      <c r="H258" s="339"/>
      <c r="I258" s="33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75">
      <c r="B259" s="479"/>
      <c r="C259" s="479"/>
      <c r="F259" s="339"/>
      <c r="G259" s="339"/>
      <c r="H259" s="339"/>
      <c r="I259" s="33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75">
      <c r="B260" s="479"/>
      <c r="C260" s="479"/>
      <c r="F260" s="339"/>
      <c r="G260" s="339"/>
      <c r="H260" s="339"/>
      <c r="I260" s="33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75">
      <c r="B261" s="479"/>
      <c r="C261" s="479"/>
      <c r="F261" s="339"/>
      <c r="G261" s="339"/>
      <c r="H261" s="339"/>
      <c r="I261" s="33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75">
      <c r="B262" s="479"/>
      <c r="C262" s="479"/>
      <c r="F262" s="339"/>
      <c r="G262" s="339"/>
      <c r="H262" s="339"/>
      <c r="I262" s="33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75">
      <c r="B263" s="479"/>
      <c r="C263" s="479"/>
      <c r="F263" s="339"/>
      <c r="G263" s="339"/>
      <c r="H263" s="339"/>
      <c r="I263" s="33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75">
      <c r="B264" s="479"/>
      <c r="C264" s="479"/>
      <c r="F264" s="339"/>
      <c r="G264" s="339"/>
      <c r="H264" s="339"/>
      <c r="I264" s="33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75">
      <c r="B265" s="479"/>
      <c r="C265" s="479"/>
      <c r="F265" s="339"/>
      <c r="G265" s="339"/>
      <c r="H265" s="339"/>
      <c r="I265" s="33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75">
      <c r="B266" s="479"/>
      <c r="C266" s="479"/>
      <c r="F266" s="339"/>
      <c r="G266" s="339"/>
      <c r="H266" s="339"/>
      <c r="I266" s="33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75">
      <c r="B267" s="479"/>
      <c r="C267" s="479"/>
      <c r="F267" s="339"/>
      <c r="G267" s="339"/>
      <c r="H267" s="339"/>
      <c r="I267" s="33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75">
      <c r="B268" s="479"/>
      <c r="C268" s="479"/>
      <c r="F268" s="339"/>
      <c r="G268" s="339"/>
      <c r="H268" s="339"/>
      <c r="I268" s="33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75">
      <c r="B269" s="479"/>
      <c r="C269" s="479"/>
      <c r="F269" s="339"/>
      <c r="G269" s="339"/>
      <c r="H269" s="339"/>
      <c r="I269" s="33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75">
      <c r="B270" s="479"/>
      <c r="C270" s="479"/>
      <c r="F270" s="339"/>
      <c r="G270" s="339"/>
      <c r="H270" s="339"/>
      <c r="I270" s="33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75">
      <c r="B271" s="479"/>
      <c r="C271" s="479"/>
      <c r="F271" s="339"/>
      <c r="G271" s="339"/>
      <c r="H271" s="339"/>
      <c r="I271" s="33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75">
      <c r="B272" s="479"/>
      <c r="C272" s="479"/>
      <c r="F272" s="339"/>
      <c r="G272" s="339"/>
      <c r="H272" s="339"/>
      <c r="I272" s="33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75">
      <c r="B273" s="479"/>
      <c r="C273" s="479"/>
      <c r="F273" s="339"/>
      <c r="G273" s="339"/>
      <c r="H273" s="339"/>
      <c r="I273" s="33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75">
      <c r="B274" s="479"/>
      <c r="C274" s="479"/>
      <c r="F274" s="339"/>
      <c r="G274" s="339"/>
      <c r="H274" s="339"/>
      <c r="I274" s="33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75">
      <c r="B275" s="479"/>
      <c r="C275" s="479"/>
      <c r="F275" s="339"/>
      <c r="G275" s="339"/>
      <c r="H275" s="339"/>
      <c r="I275" s="33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75">
      <c r="B276" s="479"/>
      <c r="C276" s="479"/>
      <c r="F276" s="339"/>
      <c r="G276" s="339"/>
      <c r="H276" s="339"/>
      <c r="I276" s="33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75">
      <c r="B277" s="479"/>
      <c r="C277" s="479"/>
      <c r="F277" s="339"/>
      <c r="G277" s="339"/>
      <c r="H277" s="339"/>
      <c r="I277" s="33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9" ht="12.75">
      <c r="B278" s="479"/>
      <c r="C278" s="479"/>
      <c r="F278" s="2"/>
      <c r="I278" s="2"/>
    </row>
    <row r="279" spans="2:9" ht="12.75">
      <c r="B279" s="479"/>
      <c r="C279" s="479"/>
      <c r="F279" s="2"/>
      <c r="I279" s="2"/>
    </row>
    <row r="280" spans="2:9" ht="12.75">
      <c r="B280" s="479"/>
      <c r="C280" s="479"/>
      <c r="F280" s="2"/>
      <c r="I280" s="2"/>
    </row>
    <row r="281" spans="2:9" ht="12.75">
      <c r="B281" s="479"/>
      <c r="C281" s="479"/>
      <c r="F281" s="2"/>
      <c r="I281" s="2"/>
    </row>
    <row r="282" spans="2:9" ht="12.75">
      <c r="B282" s="479"/>
      <c r="C282" s="479"/>
      <c r="F282" s="2"/>
      <c r="I282" s="2"/>
    </row>
    <row r="283" spans="2:9" ht="12.75">
      <c r="B283" s="479"/>
      <c r="C283" s="479"/>
      <c r="F283" s="2"/>
      <c r="I283" s="2"/>
    </row>
    <row r="284" spans="2:9" ht="12.75">
      <c r="B284" s="479"/>
      <c r="C284" s="479"/>
      <c r="F284" s="2"/>
      <c r="I284" s="2"/>
    </row>
    <row r="285" spans="2:9" ht="12.75">
      <c r="B285" s="479"/>
      <c r="C285" s="479"/>
      <c r="F285" s="2"/>
      <c r="I285" s="2"/>
    </row>
    <row r="286" spans="2:9" ht="12.75">
      <c r="B286" s="479"/>
      <c r="C286" s="479"/>
      <c r="F286" s="2"/>
      <c r="I286" s="2"/>
    </row>
    <row r="287" spans="2:9" ht="12.75">
      <c r="B287" s="479"/>
      <c r="C287" s="479"/>
      <c r="F287" s="2"/>
      <c r="I287" s="2"/>
    </row>
    <row r="288" spans="2:9" ht="12.75">
      <c r="B288" s="479"/>
      <c r="C288" s="479"/>
      <c r="F288" s="2"/>
      <c r="I288" s="2"/>
    </row>
    <row r="289" spans="2:9" ht="12.75">
      <c r="B289" s="479"/>
      <c r="C289" s="479"/>
      <c r="F289" s="2"/>
      <c r="I289" s="2"/>
    </row>
    <row r="290" spans="2:9" ht="12.75">
      <c r="B290" s="479"/>
      <c r="C290" s="479"/>
      <c r="F290" s="2"/>
      <c r="I290" s="2"/>
    </row>
    <row r="291" spans="2:9" ht="12.75">
      <c r="B291" s="479"/>
      <c r="C291" s="479"/>
      <c r="F291" s="2"/>
      <c r="I291" s="2"/>
    </row>
    <row r="292" spans="2:9" ht="12.75">
      <c r="B292" s="479"/>
      <c r="C292" s="479"/>
      <c r="F292" s="2"/>
      <c r="I292" s="2"/>
    </row>
    <row r="293" spans="2:9" ht="12.75">
      <c r="B293" s="479"/>
      <c r="C293" s="479"/>
      <c r="F293" s="2"/>
      <c r="I293" s="2"/>
    </row>
    <row r="294" spans="2:9" ht="12.75">
      <c r="B294" s="479"/>
      <c r="C294" s="479"/>
      <c r="F294" s="2"/>
      <c r="I294" s="2"/>
    </row>
    <row r="295" spans="2:9" ht="12.75">
      <c r="B295" s="479"/>
      <c r="C295" s="479"/>
      <c r="F295" s="2"/>
      <c r="I295" s="2"/>
    </row>
    <row r="296" spans="2:9" ht="12.75">
      <c r="B296" s="479"/>
      <c r="C296" s="479"/>
      <c r="F296" s="2"/>
      <c r="I296" s="2"/>
    </row>
    <row r="297" spans="2:9" ht="12.75">
      <c r="B297" s="479"/>
      <c r="C297" s="479"/>
      <c r="F297" s="2"/>
      <c r="I297" s="2"/>
    </row>
    <row r="298" spans="2:6" ht="12.75">
      <c r="B298" s="479"/>
      <c r="C298" s="479"/>
      <c r="F298" s="12"/>
    </row>
    <row r="299" spans="2:6" ht="12.75">
      <c r="B299" s="479"/>
      <c r="C299" s="479"/>
      <c r="F299" s="12"/>
    </row>
    <row r="300" spans="2:6" ht="12.75">
      <c r="B300" s="479"/>
      <c r="C300" s="479"/>
      <c r="F300" s="12"/>
    </row>
  </sheetData>
  <mergeCells count="5">
    <mergeCell ref="AU1:AZ1"/>
    <mergeCell ref="F1:J1"/>
    <mergeCell ref="K1:V1"/>
    <mergeCell ref="W1:AH1"/>
    <mergeCell ref="AI1:AT1"/>
  </mergeCells>
  <printOptions gridLines="1" headings="1"/>
  <pageMargins left="0.1" right="0.12" top="0.2" bottom="0.17" header="0.17" footer="0.18"/>
  <pageSetup horizontalDpi="600" verticalDpi="600" orientation="portrait" paperSize="218" r:id="rId2"/>
  <headerFooter alignWithMargins="0">
    <oddFooter>&amp;R&amp;F    &amp;A    &amp;D    &amp;T</oddFooter>
  </headerFooter>
  <ignoredErrors>
    <ignoredError sqref="F75:N75 E33:E34 E61:E62 E75:E79" formulaRange="1"/>
    <ignoredError sqref="I246:I252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7"/>
  <sheetViews>
    <sheetView zoomScale="85" zoomScaleNormal="85" workbookViewId="0" topLeftCell="A1">
      <selection activeCell="C3" sqref="C3"/>
    </sheetView>
  </sheetViews>
  <sheetFormatPr defaultColWidth="9.140625" defaultRowHeight="12.75"/>
  <cols>
    <col min="1" max="1" width="19.421875" style="416" bestFit="1" customWidth="1"/>
    <col min="2" max="2" width="48.8515625" style="416" bestFit="1" customWidth="1"/>
    <col min="3" max="3" width="11.140625" style="416" customWidth="1"/>
    <col min="4" max="4" width="7.28125" style="768" customWidth="1"/>
    <col min="5" max="5" width="8.57421875" style="416" customWidth="1"/>
    <col min="6" max="6" width="9.8515625" style="416" customWidth="1"/>
    <col min="7" max="7" width="9.28125" style="416" customWidth="1"/>
    <col min="8" max="8" width="9.140625" style="416" customWidth="1"/>
    <col min="9" max="9" width="9.140625" style="417" customWidth="1"/>
    <col min="10" max="10" width="9.00390625" style="417" bestFit="1" customWidth="1"/>
    <col min="11" max="11" width="10.00390625" style="416" bestFit="1" customWidth="1"/>
    <col min="12" max="12" width="9.8515625" style="416" bestFit="1" customWidth="1"/>
    <col min="13" max="13" width="9.57421875" style="416" bestFit="1" customWidth="1"/>
    <col min="14" max="14" width="9.7109375" style="416" bestFit="1" customWidth="1"/>
    <col min="15" max="15" width="9.8515625" style="416" bestFit="1" customWidth="1"/>
    <col min="16" max="16" width="9.57421875" style="416" bestFit="1" customWidth="1"/>
    <col min="17" max="17" width="10.00390625" style="416" bestFit="1" customWidth="1"/>
    <col min="18" max="18" width="9.57421875" style="416" bestFit="1" customWidth="1"/>
    <col min="19" max="19" width="9.00390625" style="416" bestFit="1" customWidth="1"/>
    <col min="20" max="20" width="9.8515625" style="416" bestFit="1" customWidth="1"/>
    <col min="21" max="21" width="9.7109375" style="416" bestFit="1" customWidth="1"/>
    <col min="22" max="22" width="9.57421875" style="416" bestFit="1" customWidth="1"/>
    <col min="23" max="23" width="10.00390625" style="416" bestFit="1" customWidth="1"/>
    <col min="24" max="24" width="9.8515625" style="416" bestFit="1" customWidth="1"/>
    <col min="25" max="25" width="9.57421875" style="416" bestFit="1" customWidth="1"/>
    <col min="26" max="26" width="9.7109375" style="416" bestFit="1" customWidth="1"/>
    <col min="27" max="27" width="9.8515625" style="416" bestFit="1" customWidth="1"/>
    <col min="28" max="28" width="9.57421875" style="416" bestFit="1" customWidth="1"/>
    <col min="29" max="29" width="10.00390625" style="416" bestFit="1" customWidth="1"/>
    <col min="30" max="30" width="9.57421875" style="416" bestFit="1" customWidth="1"/>
    <col min="31" max="31" width="9.00390625" style="416" bestFit="1" customWidth="1"/>
    <col min="32" max="32" width="9.8515625" style="416" bestFit="1" customWidth="1"/>
    <col min="33" max="33" width="9.7109375" style="416" bestFit="1" customWidth="1"/>
    <col min="34" max="34" width="9.28125" style="416" bestFit="1" customWidth="1"/>
    <col min="35" max="35" width="9.7109375" style="416" bestFit="1" customWidth="1"/>
    <col min="36" max="36" width="9.57421875" style="416" bestFit="1" customWidth="1"/>
    <col min="37" max="37" width="9.28125" style="416" bestFit="1" customWidth="1"/>
    <col min="38" max="38" width="9.421875" style="416" bestFit="1" customWidth="1"/>
    <col min="39" max="39" width="9.57421875" style="416" bestFit="1" customWidth="1"/>
    <col min="40" max="40" width="9.28125" style="416" bestFit="1" customWidth="1"/>
    <col min="41" max="41" width="9.7109375" style="416" bestFit="1" customWidth="1"/>
    <col min="42" max="42" width="9.28125" style="416" bestFit="1" customWidth="1"/>
    <col min="43" max="43" width="8.7109375" style="416" bestFit="1" customWidth="1"/>
    <col min="44" max="44" width="9.57421875" style="416" bestFit="1" customWidth="1"/>
    <col min="45" max="45" width="9.421875" style="416" bestFit="1" customWidth="1"/>
    <col min="46" max="46" width="8.8515625" style="416" bestFit="1" customWidth="1"/>
    <col min="47" max="47" width="9.421875" style="416" bestFit="1" customWidth="1"/>
    <col min="48" max="48" width="9.28125" style="416" bestFit="1" customWidth="1"/>
    <col min="49" max="49" width="8.8515625" style="416" bestFit="1" customWidth="1"/>
    <col min="50" max="50" width="9.00390625" style="416" bestFit="1" customWidth="1"/>
    <col min="51" max="51" width="9.28125" style="416" bestFit="1" customWidth="1"/>
    <col min="52" max="52" width="9.8515625" style="416" bestFit="1" customWidth="1"/>
    <col min="53" max="53" width="10.00390625" style="416" bestFit="1" customWidth="1"/>
    <col min="54" max="54" width="9.421875" style="416" bestFit="1" customWidth="1"/>
    <col min="55" max="55" width="9.00390625" style="416" bestFit="1" customWidth="1"/>
    <col min="56" max="56" width="9.7109375" style="416" bestFit="1" customWidth="1"/>
    <col min="57" max="57" width="9.57421875" style="416" bestFit="1" customWidth="1"/>
    <col min="58" max="60" width="10.00390625" style="416" bestFit="1" customWidth="1"/>
    <col min="61" max="62" width="9.8515625" style="416" bestFit="1" customWidth="1"/>
    <col min="63" max="63" width="10.57421875" style="416" bestFit="1" customWidth="1"/>
    <col min="64" max="64" width="10.28125" style="416" bestFit="1" customWidth="1"/>
    <col min="65" max="65" width="10.421875" style="416" bestFit="1" customWidth="1"/>
    <col min="66" max="66" width="9.7109375" style="416" bestFit="1" customWidth="1"/>
    <col min="67" max="67" width="9.421875" style="416" bestFit="1" customWidth="1"/>
    <col min="68" max="68" width="10.00390625" style="416" bestFit="1" customWidth="1"/>
    <col min="69" max="69" width="9.8515625" style="416" bestFit="1" customWidth="1"/>
    <col min="70" max="16384" width="9.140625" style="416" customWidth="1"/>
  </cols>
  <sheetData>
    <row r="1" spans="1:21" s="393" customFormat="1" ht="14.25" thickBot="1">
      <c r="A1" s="393" t="s">
        <v>186</v>
      </c>
      <c r="D1" s="764"/>
      <c r="E1" s="1184" t="s">
        <v>722</v>
      </c>
      <c r="F1" s="955"/>
      <c r="G1" s="955"/>
      <c r="H1" s="955"/>
      <c r="I1" s="956"/>
      <c r="J1" s="1184" t="s">
        <v>722</v>
      </c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6"/>
    </row>
    <row r="2" spans="1:69" s="588" customFormat="1" ht="36.75" customHeight="1" thickBot="1">
      <c r="A2" s="586" t="s">
        <v>486</v>
      </c>
      <c r="B2" s="586" t="s">
        <v>252</v>
      </c>
      <c r="C2" s="587" t="s">
        <v>737</v>
      </c>
      <c r="D2" s="769"/>
      <c r="E2" s="580" t="s">
        <v>669</v>
      </c>
      <c r="F2" s="581" t="s">
        <v>673</v>
      </c>
      <c r="G2" s="581" t="s">
        <v>674</v>
      </c>
      <c r="H2" s="581" t="s">
        <v>676</v>
      </c>
      <c r="I2" s="582" t="s">
        <v>677</v>
      </c>
      <c r="J2" s="597" t="s">
        <v>678</v>
      </c>
      <c r="K2" s="583" t="s">
        <v>679</v>
      </c>
      <c r="L2" s="583" t="s">
        <v>680</v>
      </c>
      <c r="M2" s="583" t="s">
        <v>681</v>
      </c>
      <c r="N2" s="583" t="s">
        <v>682</v>
      </c>
      <c r="O2" s="583" t="s">
        <v>683</v>
      </c>
      <c r="P2" s="583" t="s">
        <v>684</v>
      </c>
      <c r="Q2" s="583" t="s">
        <v>670</v>
      </c>
      <c r="R2" s="583" t="s">
        <v>685</v>
      </c>
      <c r="S2" s="583" t="s">
        <v>686</v>
      </c>
      <c r="T2" s="583" t="s">
        <v>687</v>
      </c>
      <c r="U2" s="577" t="s">
        <v>688</v>
      </c>
      <c r="V2" s="576" t="s">
        <v>689</v>
      </c>
      <c r="W2" s="583" t="s">
        <v>690</v>
      </c>
      <c r="X2" s="583" t="s">
        <v>691</v>
      </c>
      <c r="Y2" s="583" t="s">
        <v>692</v>
      </c>
      <c r="Z2" s="583" t="s">
        <v>693</v>
      </c>
      <c r="AA2" s="583" t="s">
        <v>694</v>
      </c>
      <c r="AB2" s="583" t="s">
        <v>695</v>
      </c>
      <c r="AC2" s="583" t="s">
        <v>671</v>
      </c>
      <c r="AD2" s="583" t="s">
        <v>696</v>
      </c>
      <c r="AE2" s="583" t="s">
        <v>697</v>
      </c>
      <c r="AF2" s="583" t="s">
        <v>698</v>
      </c>
      <c r="AG2" s="577" t="s">
        <v>699</v>
      </c>
      <c r="AH2" s="576" t="s">
        <v>700</v>
      </c>
      <c r="AI2" s="583" t="s">
        <v>701</v>
      </c>
      <c r="AJ2" s="583" t="s">
        <v>702</v>
      </c>
      <c r="AK2" s="583" t="s">
        <v>703</v>
      </c>
      <c r="AL2" s="583" t="s">
        <v>704</v>
      </c>
      <c r="AM2" s="583" t="s">
        <v>705</v>
      </c>
      <c r="AN2" s="583" t="s">
        <v>706</v>
      </c>
      <c r="AO2" s="583" t="s">
        <v>672</v>
      </c>
      <c r="AP2" s="583" t="s">
        <v>707</v>
      </c>
      <c r="AQ2" s="583" t="s">
        <v>708</v>
      </c>
      <c r="AR2" s="583" t="s">
        <v>709</v>
      </c>
      <c r="AS2" s="577" t="s">
        <v>710</v>
      </c>
      <c r="AT2" s="576" t="s">
        <v>711</v>
      </c>
      <c r="AU2" s="583" t="s">
        <v>712</v>
      </c>
      <c r="AV2" s="583" t="s">
        <v>713</v>
      </c>
      <c r="AW2" s="583" t="s">
        <v>714</v>
      </c>
      <c r="AX2" s="583" t="s">
        <v>715</v>
      </c>
      <c r="AY2" s="577" t="s">
        <v>716</v>
      </c>
      <c r="AZ2" s="586" t="s">
        <v>329</v>
      </c>
      <c r="BA2" s="586" t="s">
        <v>330</v>
      </c>
      <c r="BB2" s="586" t="s">
        <v>331</v>
      </c>
      <c r="BC2" s="586" t="s">
        <v>332</v>
      </c>
      <c r="BD2" s="586" t="s">
        <v>309</v>
      </c>
      <c r="BE2" s="586" t="s">
        <v>310</v>
      </c>
      <c r="BF2" s="586" t="s">
        <v>333</v>
      </c>
      <c r="BG2" s="586" t="s">
        <v>334</v>
      </c>
      <c r="BH2" s="586" t="s">
        <v>335</v>
      </c>
      <c r="BI2" s="586" t="s">
        <v>336</v>
      </c>
      <c r="BJ2" s="586" t="s">
        <v>337</v>
      </c>
      <c r="BK2" s="586" t="s">
        <v>338</v>
      </c>
      <c r="BL2" s="586" t="s">
        <v>339</v>
      </c>
      <c r="BM2" s="586" t="s">
        <v>340</v>
      </c>
      <c r="BN2" s="586" t="s">
        <v>341</v>
      </c>
      <c r="BO2" s="586" t="s">
        <v>342</v>
      </c>
      <c r="BP2" s="586" t="s">
        <v>311</v>
      </c>
      <c r="BQ2" s="586" t="s">
        <v>312</v>
      </c>
    </row>
    <row r="3" spans="1:63" s="15" customFormat="1" ht="12.75">
      <c r="A3" s="729" t="s">
        <v>343</v>
      </c>
      <c r="B3" s="730" t="s">
        <v>410</v>
      </c>
      <c r="C3" s="771">
        <f>SUM(E3:J3)</f>
        <v>339.8648102088415</v>
      </c>
      <c r="D3" s="772">
        <v>8101</v>
      </c>
      <c r="E3" s="773">
        <v>55.877660000000006</v>
      </c>
      <c r="F3" s="774">
        <v>58.94187</v>
      </c>
      <c r="G3" s="774">
        <v>48.73328020884151</v>
      </c>
      <c r="H3" s="774">
        <v>48.726</v>
      </c>
      <c r="I3" s="775">
        <v>80</v>
      </c>
      <c r="J3" s="773">
        <f>45.034+2.552</f>
        <v>47.586</v>
      </c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22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</row>
    <row r="4" spans="1:63" s="394" customFormat="1" ht="12.75">
      <c r="A4" s="398" t="s">
        <v>343</v>
      </c>
      <c r="B4" s="418" t="s">
        <v>411</v>
      </c>
      <c r="C4" s="776">
        <f>SUM(E4:J4)</f>
        <v>124.583</v>
      </c>
      <c r="D4" s="777">
        <v>8102</v>
      </c>
      <c r="E4" s="778">
        <v>30.964</v>
      </c>
      <c r="F4" s="779">
        <v>22.991</v>
      </c>
      <c r="G4" s="779">
        <v>13.862</v>
      </c>
      <c r="H4" s="779">
        <v>23.695</v>
      </c>
      <c r="I4" s="780">
        <v>17.316</v>
      </c>
      <c r="J4" s="781">
        <v>15.755</v>
      </c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418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</row>
    <row r="5" spans="1:63" s="15" customFormat="1" ht="13.5" thickBot="1">
      <c r="A5" s="405" t="s">
        <v>343</v>
      </c>
      <c r="B5" s="425" t="s">
        <v>412</v>
      </c>
      <c r="C5" s="771">
        <f>SUM(E5:J5)</f>
        <v>229.29777865970607</v>
      </c>
      <c r="D5" s="772">
        <v>8998</v>
      </c>
      <c r="E5" s="782">
        <v>24.87674</v>
      </c>
      <c r="F5" s="783">
        <v>24.99326</v>
      </c>
      <c r="G5" s="783">
        <v>28.357778659706103</v>
      </c>
      <c r="H5" s="784">
        <f>30.229+4.644</f>
        <v>34.873</v>
      </c>
      <c r="I5" s="785">
        <f>41.146+43.406-1.276</f>
        <v>83.276</v>
      </c>
      <c r="J5" s="786">
        <f>23.781+9.14</f>
        <v>32.921</v>
      </c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19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</row>
    <row r="6" spans="1:69" s="15" customFormat="1" ht="13.5" thickBot="1">
      <c r="A6" s="370"/>
      <c r="B6" s="424" t="s">
        <v>659</v>
      </c>
      <c r="C6" s="412">
        <f aca="true" t="shared" si="0" ref="C6:BO6">SUM(C3:C5)</f>
        <v>693.7455888685475</v>
      </c>
      <c r="D6" s="767"/>
      <c r="E6" s="787">
        <f>SUM(E3:E5)</f>
        <v>111.7184</v>
      </c>
      <c r="F6" s="788">
        <f>SUM(F3:F5)</f>
        <v>106.92613</v>
      </c>
      <c r="G6" s="788">
        <f>SUM(G3:G5)</f>
        <v>90.95305886854761</v>
      </c>
      <c r="H6" s="788">
        <f t="shared" si="0"/>
        <v>107.29399999999998</v>
      </c>
      <c r="I6" s="789">
        <f t="shared" si="0"/>
        <v>180.59199999999998</v>
      </c>
      <c r="J6" s="790">
        <f t="shared" si="0"/>
        <v>96.262</v>
      </c>
      <c r="K6" s="403">
        <f t="shared" si="0"/>
        <v>0</v>
      </c>
      <c r="L6" s="403">
        <f t="shared" si="0"/>
        <v>0</v>
      </c>
      <c r="M6" s="403">
        <f t="shared" si="0"/>
        <v>0</v>
      </c>
      <c r="N6" s="403">
        <f t="shared" si="0"/>
        <v>0</v>
      </c>
      <c r="O6" s="403">
        <f t="shared" si="0"/>
        <v>0</v>
      </c>
      <c r="P6" s="403">
        <f t="shared" si="0"/>
        <v>0</v>
      </c>
      <c r="Q6" s="403">
        <f t="shared" si="0"/>
        <v>0</v>
      </c>
      <c r="R6" s="403">
        <f t="shared" si="0"/>
        <v>0</v>
      </c>
      <c r="S6" s="403">
        <f t="shared" si="0"/>
        <v>0</v>
      </c>
      <c r="T6" s="403">
        <f t="shared" si="0"/>
        <v>0</v>
      </c>
      <c r="U6" s="420">
        <f t="shared" si="0"/>
        <v>0</v>
      </c>
      <c r="V6" s="396">
        <f t="shared" si="0"/>
        <v>0</v>
      </c>
      <c r="W6" s="396">
        <f t="shared" si="0"/>
        <v>0</v>
      </c>
      <c r="X6" s="396">
        <f t="shared" si="0"/>
        <v>0</v>
      </c>
      <c r="Y6" s="396">
        <f t="shared" si="0"/>
        <v>0</v>
      </c>
      <c r="Z6" s="396">
        <f t="shared" si="0"/>
        <v>0</v>
      </c>
      <c r="AA6" s="396">
        <f t="shared" si="0"/>
        <v>0</v>
      </c>
      <c r="AB6" s="396">
        <f t="shared" si="0"/>
        <v>0</v>
      </c>
      <c r="AC6" s="396">
        <f t="shared" si="0"/>
        <v>0</v>
      </c>
      <c r="AD6" s="396">
        <f t="shared" si="0"/>
        <v>0</v>
      </c>
      <c r="AE6" s="396">
        <f t="shared" si="0"/>
        <v>0</v>
      </c>
      <c r="AF6" s="396">
        <f t="shared" si="0"/>
        <v>0</v>
      </c>
      <c r="AG6" s="396">
        <f t="shared" si="0"/>
        <v>0</v>
      </c>
      <c r="AH6" s="396">
        <f t="shared" si="0"/>
        <v>0</v>
      </c>
      <c r="AI6" s="396">
        <f t="shared" si="0"/>
        <v>0</v>
      </c>
      <c r="AJ6" s="396">
        <f t="shared" si="0"/>
        <v>0</v>
      </c>
      <c r="AK6" s="396">
        <f t="shared" si="0"/>
        <v>0</v>
      </c>
      <c r="AL6" s="396">
        <f t="shared" si="0"/>
        <v>0</v>
      </c>
      <c r="AM6" s="396">
        <f t="shared" si="0"/>
        <v>0</v>
      </c>
      <c r="AN6" s="396">
        <f t="shared" si="0"/>
        <v>0</v>
      </c>
      <c r="AO6" s="396">
        <f t="shared" si="0"/>
        <v>0</v>
      </c>
      <c r="AP6" s="396">
        <f t="shared" si="0"/>
        <v>0</v>
      </c>
      <c r="AQ6" s="396">
        <f t="shared" si="0"/>
        <v>0</v>
      </c>
      <c r="AR6" s="396">
        <f t="shared" si="0"/>
        <v>0</v>
      </c>
      <c r="AS6" s="396">
        <f t="shared" si="0"/>
        <v>0</v>
      </c>
      <c r="AT6" s="396">
        <f t="shared" si="0"/>
        <v>0</v>
      </c>
      <c r="AU6" s="396">
        <f t="shared" si="0"/>
        <v>0</v>
      </c>
      <c r="AV6" s="396">
        <f t="shared" si="0"/>
        <v>0</v>
      </c>
      <c r="AW6" s="396">
        <f t="shared" si="0"/>
        <v>0</v>
      </c>
      <c r="AX6" s="396">
        <f t="shared" si="0"/>
        <v>0</v>
      </c>
      <c r="AY6" s="396">
        <f t="shared" si="0"/>
        <v>0</v>
      </c>
      <c r="AZ6" s="396">
        <f t="shared" si="0"/>
        <v>0</v>
      </c>
      <c r="BA6" s="396">
        <f t="shared" si="0"/>
        <v>0</v>
      </c>
      <c r="BB6" s="396">
        <f t="shared" si="0"/>
        <v>0</v>
      </c>
      <c r="BC6" s="396">
        <f t="shared" si="0"/>
        <v>0</v>
      </c>
      <c r="BD6" s="396">
        <f t="shared" si="0"/>
        <v>0</v>
      </c>
      <c r="BE6" s="396">
        <f t="shared" si="0"/>
        <v>0</v>
      </c>
      <c r="BF6" s="396">
        <f t="shared" si="0"/>
        <v>0</v>
      </c>
      <c r="BG6" s="396">
        <f t="shared" si="0"/>
        <v>0</v>
      </c>
      <c r="BH6" s="396">
        <f t="shared" si="0"/>
        <v>0</v>
      </c>
      <c r="BI6" s="396">
        <f t="shared" si="0"/>
        <v>0</v>
      </c>
      <c r="BJ6" s="396">
        <f t="shared" si="0"/>
        <v>0</v>
      </c>
      <c r="BK6" s="396">
        <f t="shared" si="0"/>
        <v>0</v>
      </c>
      <c r="BL6" s="396">
        <f t="shared" si="0"/>
        <v>0</v>
      </c>
      <c r="BM6" s="396">
        <f t="shared" si="0"/>
        <v>0</v>
      </c>
      <c r="BN6" s="396">
        <f t="shared" si="0"/>
        <v>0</v>
      </c>
      <c r="BO6" s="396">
        <f t="shared" si="0"/>
        <v>0</v>
      </c>
      <c r="BP6" s="396">
        <f>SUM(BP3:BP5)</f>
        <v>0</v>
      </c>
      <c r="BQ6" s="396">
        <f>SUM(BQ3:BQ5)</f>
        <v>0</v>
      </c>
    </row>
    <row r="7" spans="1:63" s="15" customFormat="1" ht="8.25" customHeight="1" thickBot="1">
      <c r="A7" s="370"/>
      <c r="B7" s="370"/>
      <c r="C7" s="791"/>
      <c r="D7" s="770"/>
      <c r="E7" s="370"/>
      <c r="F7" s="370"/>
      <c r="G7" s="370"/>
      <c r="H7" s="370"/>
      <c r="I7" s="397"/>
      <c r="J7" s="397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</row>
    <row r="8" spans="1:63" s="15" customFormat="1" ht="12.75">
      <c r="A8" s="421" t="s">
        <v>344</v>
      </c>
      <c r="B8" s="422" t="s">
        <v>373</v>
      </c>
      <c r="C8" s="792">
        <f>SUM(E8:J8)</f>
        <v>166.30990615972354</v>
      </c>
      <c r="D8" s="766">
        <v>1204</v>
      </c>
      <c r="E8" s="408">
        <f>16.02091</f>
        <v>16.02091</v>
      </c>
      <c r="F8" s="409">
        <f>1.32607</f>
        <v>1.32607</v>
      </c>
      <c r="G8" s="409">
        <f>5.47692615972351</f>
        <v>5.47692615972351</v>
      </c>
      <c r="H8" s="410">
        <f>16.8</f>
        <v>16.8</v>
      </c>
      <c r="I8" s="411">
        <f>95.522+5.238</f>
        <v>100.76</v>
      </c>
      <c r="J8" s="408">
        <f>14.453+11.473</f>
        <v>25.926000000000002</v>
      </c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22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</row>
    <row r="9" spans="1:63" s="15" customFormat="1" ht="12.75">
      <c r="A9" s="398" t="s">
        <v>344</v>
      </c>
      <c r="B9" s="418" t="s">
        <v>374</v>
      </c>
      <c r="C9" s="793">
        <f>SUM(E9:J9)</f>
        <v>-251.77029999848764</v>
      </c>
      <c r="D9" s="765">
        <v>1250</v>
      </c>
      <c r="E9" s="731">
        <v>-161.88002</v>
      </c>
      <c r="F9" s="732">
        <v>0</v>
      </c>
      <c r="G9" s="732">
        <v>-92.55727999848764</v>
      </c>
      <c r="H9" s="399"/>
      <c r="I9" s="395">
        <v>2.667</v>
      </c>
      <c r="J9" s="731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418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</row>
    <row r="10" spans="1:63" s="15" customFormat="1" ht="12.75">
      <c r="A10" s="398" t="s">
        <v>344</v>
      </c>
      <c r="B10" s="418" t="s">
        <v>375</v>
      </c>
      <c r="C10" s="793">
        <f aca="true" t="shared" si="1" ref="C10:C32">SUM(E10:J10)</f>
        <v>105.13139687830606</v>
      </c>
      <c r="D10" s="765">
        <v>1408</v>
      </c>
      <c r="E10" s="731">
        <v>23.86787</v>
      </c>
      <c r="F10" s="732">
        <v>11.697629999999998</v>
      </c>
      <c r="G10" s="732">
        <v>31.198896878306066</v>
      </c>
      <c r="H10" s="732">
        <v>21.389</v>
      </c>
      <c r="I10" s="395">
        <v>8.337</v>
      </c>
      <c r="J10" s="731">
        <v>8.641</v>
      </c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418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</row>
    <row r="11" spans="1:63" s="15" customFormat="1" ht="12.75">
      <c r="A11" s="398" t="s">
        <v>344</v>
      </c>
      <c r="B11" s="418" t="s">
        <v>378</v>
      </c>
      <c r="C11" s="793">
        <f t="shared" si="1"/>
        <v>304.07588999999996</v>
      </c>
      <c r="D11" s="765">
        <v>1431</v>
      </c>
      <c r="E11" s="731">
        <v>144.28006</v>
      </c>
      <c r="F11" s="732">
        <v>0</v>
      </c>
      <c r="G11" s="732">
        <v>47.04283</v>
      </c>
      <c r="H11" s="399"/>
      <c r="I11" s="395">
        <v>96.358</v>
      </c>
      <c r="J11" s="731">
        <v>16.395</v>
      </c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18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</row>
    <row r="12" spans="1:63" s="15" customFormat="1" ht="12.75">
      <c r="A12" s="398" t="s">
        <v>344</v>
      </c>
      <c r="B12" s="418" t="s">
        <v>376</v>
      </c>
      <c r="C12" s="793">
        <f t="shared" si="1"/>
        <v>1245.018693632146</v>
      </c>
      <c r="D12" s="770">
        <v>1451</v>
      </c>
      <c r="E12" s="731">
        <f>282.5735+1.134</f>
        <v>283.70750000000004</v>
      </c>
      <c r="F12" s="732">
        <f>218.61055+0.185</f>
        <v>218.79555</v>
      </c>
      <c r="G12" s="732">
        <f>153.561643632146+3.726</f>
        <v>157.287643632146</v>
      </c>
      <c r="H12" s="399">
        <f>2.339+234.604+3.353</f>
        <v>240.29600000000002</v>
      </c>
      <c r="I12" s="395">
        <f>187.089+3.248</f>
        <v>190.337</v>
      </c>
      <c r="J12" s="731">
        <f>154.595+0</f>
        <v>154.595</v>
      </c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418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</row>
    <row r="13" spans="1:63" s="15" customFormat="1" ht="12.75">
      <c r="A13" s="398" t="s">
        <v>344</v>
      </c>
      <c r="B13" s="418" t="s">
        <v>377</v>
      </c>
      <c r="C13" s="793">
        <f t="shared" si="1"/>
        <v>339.2299940026223</v>
      </c>
      <c r="D13" s="765">
        <v>1459</v>
      </c>
      <c r="E13" s="731">
        <v>42.20441</v>
      </c>
      <c r="F13" s="732">
        <v>55.27848</v>
      </c>
      <c r="G13" s="732">
        <v>51.7021040026223</v>
      </c>
      <c r="H13" s="732">
        <v>64.806</v>
      </c>
      <c r="I13" s="395">
        <f>75.759-0.297</f>
        <v>75.462</v>
      </c>
      <c r="J13" s="731">
        <v>49.777</v>
      </c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418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</row>
    <row r="14" spans="1:63" s="15" customFormat="1" ht="12.75">
      <c r="A14" s="398" t="s">
        <v>344</v>
      </c>
      <c r="B14" s="418" t="s">
        <v>380</v>
      </c>
      <c r="C14" s="793">
        <f t="shared" si="1"/>
        <v>376.0356887352712</v>
      </c>
      <c r="D14" s="765">
        <v>1802</v>
      </c>
      <c r="E14" s="731">
        <f>65.15038+19.228</f>
        <v>84.37837999999999</v>
      </c>
      <c r="F14" s="732">
        <f>43.79761+7.611</f>
        <v>51.408609999999996</v>
      </c>
      <c r="G14" s="732">
        <f>51.3106987352712+15.617</f>
        <v>66.9276987352712</v>
      </c>
      <c r="H14" s="732">
        <f>70.184+11.697</f>
        <v>81.881</v>
      </c>
      <c r="I14" s="395">
        <v>56.68</v>
      </c>
      <c r="J14" s="731">
        <v>34.76</v>
      </c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418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</row>
    <row r="15" spans="1:63" s="15" customFormat="1" ht="12.75">
      <c r="A15" s="398" t="s">
        <v>344</v>
      </c>
      <c r="B15" s="418" t="s">
        <v>379</v>
      </c>
      <c r="C15" s="793">
        <f t="shared" si="1"/>
        <v>156.79587303558023</v>
      </c>
      <c r="D15" s="765">
        <v>1803</v>
      </c>
      <c r="E15" s="731">
        <v>34.185010000000005</v>
      </c>
      <c r="F15" s="732">
        <v>34.00746</v>
      </c>
      <c r="G15" s="732">
        <v>22.49940303558024</v>
      </c>
      <c r="H15" s="732">
        <v>37.434</v>
      </c>
      <c r="I15" s="395">
        <f>14.012-0.151-0.773</f>
        <v>13.088000000000001</v>
      </c>
      <c r="J15" s="731">
        <v>15.582</v>
      </c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418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</row>
    <row r="16" spans="1:63" s="15" customFormat="1" ht="12.75">
      <c r="A16" s="398" t="s">
        <v>344</v>
      </c>
      <c r="B16" s="418" t="s">
        <v>381</v>
      </c>
      <c r="C16" s="793">
        <f t="shared" si="1"/>
        <v>850.6910967437823</v>
      </c>
      <c r="D16" s="770">
        <v>1810</v>
      </c>
      <c r="E16" s="794">
        <v>106.90256</v>
      </c>
      <c r="F16" s="795">
        <v>120.89053</v>
      </c>
      <c r="G16" s="795">
        <v>140.88900674378235</v>
      </c>
      <c r="H16" s="732">
        <v>198.049</v>
      </c>
      <c r="I16" s="395">
        <f>168.206-1.094</f>
        <v>167.112</v>
      </c>
      <c r="J16" s="731">
        <v>116.848</v>
      </c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418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</row>
    <row r="17" spans="1:63" s="15" customFormat="1" ht="12.75">
      <c r="A17" s="398" t="s">
        <v>344</v>
      </c>
      <c r="B17" s="418" t="s">
        <v>382</v>
      </c>
      <c r="C17" s="793">
        <f t="shared" si="1"/>
        <v>0</v>
      </c>
      <c r="D17" s="770"/>
      <c r="E17" s="398"/>
      <c r="F17" s="399"/>
      <c r="G17" s="399"/>
      <c r="H17" s="399"/>
      <c r="I17" s="395"/>
      <c r="J17" s="731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418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</row>
    <row r="18" spans="1:63" s="15" customFormat="1" ht="12.75">
      <c r="A18" s="398" t="s">
        <v>344</v>
      </c>
      <c r="B18" s="418" t="s">
        <v>383</v>
      </c>
      <c r="C18" s="793">
        <f t="shared" si="1"/>
        <v>0</v>
      </c>
      <c r="D18" s="770"/>
      <c r="E18" s="398"/>
      <c r="F18" s="399"/>
      <c r="G18" s="399"/>
      <c r="H18" s="399"/>
      <c r="I18" s="395"/>
      <c r="J18" s="731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418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</row>
    <row r="19" spans="1:63" s="15" customFormat="1" ht="12.75">
      <c r="A19" s="398" t="s">
        <v>344</v>
      </c>
      <c r="B19" s="418" t="s">
        <v>384</v>
      </c>
      <c r="C19" s="793">
        <f t="shared" si="1"/>
        <v>0</v>
      </c>
      <c r="D19" s="770"/>
      <c r="E19" s="398"/>
      <c r="F19" s="399"/>
      <c r="G19" s="399"/>
      <c r="H19" s="399"/>
      <c r="I19" s="395"/>
      <c r="J19" s="731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418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0"/>
      <c r="BK19" s="370"/>
    </row>
    <row r="20" spans="1:63" s="15" customFormat="1" ht="12.75">
      <c r="A20" s="398" t="s">
        <v>344</v>
      </c>
      <c r="B20" s="418" t="s">
        <v>385</v>
      </c>
      <c r="C20" s="793">
        <f t="shared" si="1"/>
        <v>122.59262038441246</v>
      </c>
      <c r="D20" s="765">
        <v>3101</v>
      </c>
      <c r="E20" s="731">
        <v>27.06652</v>
      </c>
      <c r="F20" s="732">
        <v>15.88457</v>
      </c>
      <c r="G20" s="732">
        <v>38.18953038441244</v>
      </c>
      <c r="H20" s="732">
        <v>30.572</v>
      </c>
      <c r="I20" s="395">
        <v>9.403</v>
      </c>
      <c r="J20" s="731">
        <v>1.477</v>
      </c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418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</row>
    <row r="21" spans="1:63" s="15" customFormat="1" ht="12.75">
      <c r="A21" s="398" t="s">
        <v>344</v>
      </c>
      <c r="B21" s="418" t="s">
        <v>386</v>
      </c>
      <c r="C21" s="793">
        <f t="shared" si="1"/>
        <v>0</v>
      </c>
      <c r="D21" s="770"/>
      <c r="E21" s="398"/>
      <c r="F21" s="399"/>
      <c r="G21" s="399"/>
      <c r="H21" s="399"/>
      <c r="I21" s="395"/>
      <c r="J21" s="731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418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</row>
    <row r="22" spans="1:63" s="15" customFormat="1" ht="12.75">
      <c r="A22" s="398" t="s">
        <v>344</v>
      </c>
      <c r="B22" s="418" t="s">
        <v>387</v>
      </c>
      <c r="C22" s="793">
        <f t="shared" si="1"/>
        <v>0</v>
      </c>
      <c r="D22" s="770"/>
      <c r="E22" s="398"/>
      <c r="F22" s="399"/>
      <c r="G22" s="399"/>
      <c r="H22" s="399"/>
      <c r="I22" s="395"/>
      <c r="J22" s="731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418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</row>
    <row r="23" spans="1:63" s="15" customFormat="1" ht="12.75">
      <c r="A23" s="398" t="s">
        <v>344</v>
      </c>
      <c r="B23" s="418" t="s">
        <v>388</v>
      </c>
      <c r="C23" s="793">
        <f t="shared" si="1"/>
        <v>22.940213958750643</v>
      </c>
      <c r="D23" s="765">
        <v>3901</v>
      </c>
      <c r="E23" s="731">
        <v>2.62081</v>
      </c>
      <c r="F23" s="732">
        <v>4.20188</v>
      </c>
      <c r="G23" s="732">
        <v>6.720523958750641</v>
      </c>
      <c r="H23" s="732">
        <v>4.117</v>
      </c>
      <c r="I23" s="395">
        <v>2.396</v>
      </c>
      <c r="J23" s="731">
        <v>2.884</v>
      </c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418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</row>
    <row r="24" spans="1:63" s="15" customFormat="1" ht="12.75">
      <c r="A24" s="398" t="s">
        <v>344</v>
      </c>
      <c r="B24" s="418" t="s">
        <v>389</v>
      </c>
      <c r="C24" s="793">
        <f t="shared" si="1"/>
        <v>0</v>
      </c>
      <c r="D24" s="770"/>
      <c r="E24" s="398"/>
      <c r="F24" s="399"/>
      <c r="G24" s="399"/>
      <c r="H24" s="399"/>
      <c r="I24" s="395"/>
      <c r="J24" s="731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418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</row>
    <row r="25" spans="1:63" s="15" customFormat="1" ht="12.75">
      <c r="A25" s="398" t="s">
        <v>344</v>
      </c>
      <c r="B25" s="418" t="s">
        <v>390</v>
      </c>
      <c r="C25" s="793">
        <f t="shared" si="1"/>
        <v>0</v>
      </c>
      <c r="D25" s="770"/>
      <c r="E25" s="398"/>
      <c r="F25" s="399"/>
      <c r="G25" s="399"/>
      <c r="H25" s="399"/>
      <c r="I25" s="395"/>
      <c r="J25" s="731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418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</row>
    <row r="26" spans="1:63" s="15" customFormat="1" ht="12.75">
      <c r="A26" s="398" t="s">
        <v>344</v>
      </c>
      <c r="B26" s="418" t="s">
        <v>391</v>
      </c>
      <c r="C26" s="793">
        <f t="shared" si="1"/>
        <v>0</v>
      </c>
      <c r="D26" s="770"/>
      <c r="E26" s="398"/>
      <c r="F26" s="399"/>
      <c r="G26" s="399"/>
      <c r="H26" s="399"/>
      <c r="I26" s="395"/>
      <c r="J26" s="731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418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</row>
    <row r="27" spans="1:63" s="15" customFormat="1" ht="12.75">
      <c r="A27" s="398" t="s">
        <v>344</v>
      </c>
      <c r="B27" s="418" t="s">
        <v>392</v>
      </c>
      <c r="C27" s="793">
        <f t="shared" si="1"/>
        <v>0</v>
      </c>
      <c r="D27" s="770"/>
      <c r="E27" s="398"/>
      <c r="F27" s="399"/>
      <c r="G27" s="399"/>
      <c r="H27" s="399"/>
      <c r="I27" s="395"/>
      <c r="J27" s="731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418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</row>
    <row r="28" spans="1:63" s="15" customFormat="1" ht="12.75">
      <c r="A28" s="398" t="s">
        <v>344</v>
      </c>
      <c r="B28" s="418" t="s">
        <v>393</v>
      </c>
      <c r="C28" s="793">
        <f t="shared" si="1"/>
        <v>0</v>
      </c>
      <c r="D28" s="770"/>
      <c r="E28" s="398"/>
      <c r="F28" s="399"/>
      <c r="G28" s="399"/>
      <c r="H28" s="399"/>
      <c r="I28" s="395"/>
      <c r="J28" s="731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418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</row>
    <row r="29" spans="1:63" s="15" customFormat="1" ht="12.75">
      <c r="A29" s="398" t="s">
        <v>344</v>
      </c>
      <c r="B29" s="418" t="s">
        <v>394</v>
      </c>
      <c r="C29" s="793">
        <f t="shared" si="1"/>
        <v>-282.2792542977656</v>
      </c>
      <c r="D29" s="765">
        <v>7401</v>
      </c>
      <c r="E29" s="731">
        <v>-297.56103</v>
      </c>
      <c r="F29" s="732">
        <v>4.2205</v>
      </c>
      <c r="G29" s="732">
        <v>4.019275702234361</v>
      </c>
      <c r="H29" s="732">
        <v>6.749</v>
      </c>
      <c r="I29" s="395">
        <v>0.293</v>
      </c>
      <c r="J29" s="731">
        <v>0</v>
      </c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418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</row>
    <row r="30" spans="1:63" s="15" customFormat="1" ht="12.75">
      <c r="A30" s="398" t="s">
        <v>344</v>
      </c>
      <c r="B30" s="418" t="s">
        <v>395</v>
      </c>
      <c r="C30" s="793">
        <f t="shared" si="1"/>
        <v>0</v>
      </c>
      <c r="D30" s="770"/>
      <c r="E30" s="398"/>
      <c r="F30" s="399"/>
      <c r="G30" s="399"/>
      <c r="H30" s="399"/>
      <c r="I30" s="395"/>
      <c r="J30" s="731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418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</row>
    <row r="31" spans="1:63" s="15" customFormat="1" ht="12.75">
      <c r="A31" s="398" t="s">
        <v>344</v>
      </c>
      <c r="B31" s="418" t="s">
        <v>396</v>
      </c>
      <c r="C31" s="793">
        <f t="shared" si="1"/>
        <v>0</v>
      </c>
      <c r="D31" s="770"/>
      <c r="E31" s="398"/>
      <c r="F31" s="399"/>
      <c r="G31" s="399"/>
      <c r="H31" s="399"/>
      <c r="I31" s="395"/>
      <c r="J31" s="731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418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</row>
    <row r="32" spans="1:63" s="15" customFormat="1" ht="13.5" thickBot="1">
      <c r="A32" s="405" t="s">
        <v>344</v>
      </c>
      <c r="B32" s="425" t="s">
        <v>397</v>
      </c>
      <c r="C32" s="793">
        <f t="shared" si="1"/>
        <v>0</v>
      </c>
      <c r="D32" s="770"/>
      <c r="E32" s="400"/>
      <c r="F32" s="401"/>
      <c r="G32" s="401"/>
      <c r="H32" s="401"/>
      <c r="I32" s="402"/>
      <c r="J32" s="762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19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</row>
    <row r="33" spans="1:63" s="15" customFormat="1" ht="13.5" thickBot="1">
      <c r="A33" s="370"/>
      <c r="B33" s="424" t="s">
        <v>660</v>
      </c>
      <c r="C33" s="412">
        <f aca="true" t="shared" si="2" ref="C33:BC33">SUM(C8:C32)</f>
        <v>3154.7718192343414</v>
      </c>
      <c r="D33" s="767"/>
      <c r="E33" s="413">
        <f>SUM(E8:E32)</f>
        <v>305.79298</v>
      </c>
      <c r="F33" s="414">
        <f>SUM(F8:F32)</f>
        <v>517.71128</v>
      </c>
      <c r="G33" s="414">
        <f>SUM(G8:G32)</f>
        <v>479.3965592343415</v>
      </c>
      <c r="H33" s="414">
        <f t="shared" si="2"/>
        <v>702.093</v>
      </c>
      <c r="I33" s="763">
        <f t="shared" si="2"/>
        <v>722.8929999999999</v>
      </c>
      <c r="J33" s="790">
        <f t="shared" si="2"/>
        <v>426.885</v>
      </c>
      <c r="K33" s="403">
        <f t="shared" si="2"/>
        <v>0</v>
      </c>
      <c r="L33" s="403">
        <f t="shared" si="2"/>
        <v>0</v>
      </c>
      <c r="M33" s="403">
        <f t="shared" si="2"/>
        <v>0</v>
      </c>
      <c r="N33" s="403">
        <f t="shared" si="2"/>
        <v>0</v>
      </c>
      <c r="O33" s="403">
        <f t="shared" si="2"/>
        <v>0</v>
      </c>
      <c r="P33" s="403">
        <f t="shared" si="2"/>
        <v>0</v>
      </c>
      <c r="Q33" s="403">
        <f t="shared" si="2"/>
        <v>0</v>
      </c>
      <c r="R33" s="403">
        <f t="shared" si="2"/>
        <v>0</v>
      </c>
      <c r="S33" s="403">
        <f t="shared" si="2"/>
        <v>0</v>
      </c>
      <c r="T33" s="403">
        <f t="shared" si="2"/>
        <v>0</v>
      </c>
      <c r="U33" s="420">
        <f t="shared" si="2"/>
        <v>0</v>
      </c>
      <c r="V33" s="396">
        <f t="shared" si="2"/>
        <v>0</v>
      </c>
      <c r="W33" s="396">
        <f t="shared" si="2"/>
        <v>0</v>
      </c>
      <c r="X33" s="396">
        <f t="shared" si="2"/>
        <v>0</v>
      </c>
      <c r="Y33" s="396">
        <f t="shared" si="2"/>
        <v>0</v>
      </c>
      <c r="Z33" s="396">
        <f t="shared" si="2"/>
        <v>0</v>
      </c>
      <c r="AA33" s="396">
        <f t="shared" si="2"/>
        <v>0</v>
      </c>
      <c r="AB33" s="396">
        <f t="shared" si="2"/>
        <v>0</v>
      </c>
      <c r="AC33" s="396">
        <f t="shared" si="2"/>
        <v>0</v>
      </c>
      <c r="AD33" s="396">
        <f t="shared" si="2"/>
        <v>0</v>
      </c>
      <c r="AE33" s="396">
        <f t="shared" si="2"/>
        <v>0</v>
      </c>
      <c r="AF33" s="396">
        <f t="shared" si="2"/>
        <v>0</v>
      </c>
      <c r="AG33" s="396">
        <f t="shared" si="2"/>
        <v>0</v>
      </c>
      <c r="AH33" s="396">
        <f t="shared" si="2"/>
        <v>0</v>
      </c>
      <c r="AI33" s="396">
        <f t="shared" si="2"/>
        <v>0</v>
      </c>
      <c r="AJ33" s="396">
        <f t="shared" si="2"/>
        <v>0</v>
      </c>
      <c r="AK33" s="396">
        <f t="shared" si="2"/>
        <v>0</v>
      </c>
      <c r="AL33" s="396">
        <f t="shared" si="2"/>
        <v>0</v>
      </c>
      <c r="AM33" s="396">
        <f t="shared" si="2"/>
        <v>0</v>
      </c>
      <c r="AN33" s="396">
        <f t="shared" si="2"/>
        <v>0</v>
      </c>
      <c r="AO33" s="396">
        <f t="shared" si="2"/>
        <v>0</v>
      </c>
      <c r="AP33" s="396">
        <f t="shared" si="2"/>
        <v>0</v>
      </c>
      <c r="AQ33" s="396">
        <f t="shared" si="2"/>
        <v>0</v>
      </c>
      <c r="AR33" s="396">
        <f t="shared" si="2"/>
        <v>0</v>
      </c>
      <c r="AS33" s="396">
        <f t="shared" si="2"/>
        <v>0</v>
      </c>
      <c r="AT33" s="396">
        <f t="shared" si="2"/>
        <v>0</v>
      </c>
      <c r="AU33" s="396">
        <f t="shared" si="2"/>
        <v>0</v>
      </c>
      <c r="AV33" s="396">
        <f t="shared" si="2"/>
        <v>0</v>
      </c>
      <c r="AW33" s="396">
        <f t="shared" si="2"/>
        <v>0</v>
      </c>
      <c r="AX33" s="396">
        <f t="shared" si="2"/>
        <v>0</v>
      </c>
      <c r="AY33" s="396">
        <f t="shared" si="2"/>
        <v>0</v>
      </c>
      <c r="AZ33" s="396">
        <f t="shared" si="2"/>
        <v>0</v>
      </c>
      <c r="BA33" s="396">
        <f t="shared" si="2"/>
        <v>0</v>
      </c>
      <c r="BB33" s="396">
        <f t="shared" si="2"/>
        <v>0</v>
      </c>
      <c r="BC33" s="396">
        <f t="shared" si="2"/>
        <v>0</v>
      </c>
      <c r="BD33" s="404"/>
      <c r="BE33" s="404"/>
      <c r="BF33" s="404"/>
      <c r="BG33" s="404"/>
      <c r="BH33" s="404"/>
      <c r="BI33" s="404"/>
      <c r="BJ33" s="404"/>
      <c r="BK33" s="404"/>
    </row>
    <row r="34" spans="1:63" s="15" customFormat="1" ht="6.75" customHeight="1" thickBot="1">
      <c r="A34" s="370"/>
      <c r="B34" s="370"/>
      <c r="C34" s="791"/>
      <c r="D34" s="770"/>
      <c r="E34" s="370"/>
      <c r="F34" s="370"/>
      <c r="G34" s="370"/>
      <c r="H34" s="370"/>
      <c r="I34" s="397"/>
      <c r="J34" s="397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</row>
    <row r="35" spans="1:63" s="15" customFormat="1" ht="12.75">
      <c r="A35" s="421" t="s">
        <v>345</v>
      </c>
      <c r="B35" s="422" t="s">
        <v>348</v>
      </c>
      <c r="C35" s="792">
        <f>SUM(E35:J35)</f>
        <v>47.60200320238492</v>
      </c>
      <c r="D35" s="770">
        <v>1302</v>
      </c>
      <c r="E35" s="733">
        <v>4.260039999999999</v>
      </c>
      <c r="F35" s="734">
        <v>1.54064</v>
      </c>
      <c r="G35" s="734">
        <v>1.405323202384924</v>
      </c>
      <c r="H35" s="734">
        <v>6.578</v>
      </c>
      <c r="I35" s="411">
        <f>31.248-0.647</f>
        <v>30.601000000000003</v>
      </c>
      <c r="J35" s="408">
        <v>3.217</v>
      </c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22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</row>
    <row r="36" spans="1:63" s="15" customFormat="1" ht="12.75">
      <c r="A36" s="398" t="s">
        <v>345</v>
      </c>
      <c r="B36" s="418" t="s">
        <v>349</v>
      </c>
      <c r="C36" s="793">
        <f>SUM(E36:J36)</f>
        <v>0</v>
      </c>
      <c r="D36" s="770"/>
      <c r="E36" s="398"/>
      <c r="F36" s="399"/>
      <c r="G36" s="399"/>
      <c r="H36" s="399"/>
      <c r="I36" s="395"/>
      <c r="J36" s="731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418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</row>
    <row r="37" spans="1:63" s="15" customFormat="1" ht="12.75">
      <c r="A37" s="398" t="s">
        <v>345</v>
      </c>
      <c r="B37" s="418" t="s">
        <v>350</v>
      </c>
      <c r="C37" s="793">
        <f aca="true" t="shared" si="3" ref="C37:C60">SUM(E37:J37)</f>
        <v>0</v>
      </c>
      <c r="D37" s="770"/>
      <c r="E37" s="398"/>
      <c r="F37" s="399"/>
      <c r="G37" s="399"/>
      <c r="H37" s="399"/>
      <c r="I37" s="395"/>
      <c r="J37" s="731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418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</row>
    <row r="38" spans="1:63" s="15" customFormat="1" ht="12.75">
      <c r="A38" s="398" t="s">
        <v>345</v>
      </c>
      <c r="B38" s="418" t="s">
        <v>351</v>
      </c>
      <c r="C38" s="793">
        <f t="shared" si="3"/>
        <v>9.652</v>
      </c>
      <c r="D38" s="770">
        <v>1354</v>
      </c>
      <c r="E38" s="398"/>
      <c r="F38" s="399"/>
      <c r="G38" s="399"/>
      <c r="H38" s="399"/>
      <c r="I38" s="395"/>
      <c r="J38" s="731">
        <v>9.652</v>
      </c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418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</row>
    <row r="39" spans="1:63" s="15" customFormat="1" ht="12.75">
      <c r="A39" s="398" t="s">
        <v>345</v>
      </c>
      <c r="B39" s="418" t="s">
        <v>352</v>
      </c>
      <c r="C39" s="793">
        <f t="shared" si="3"/>
        <v>0</v>
      </c>
      <c r="D39" s="770"/>
      <c r="E39" s="398"/>
      <c r="F39" s="399"/>
      <c r="G39" s="399"/>
      <c r="H39" s="399"/>
      <c r="I39" s="395"/>
      <c r="J39" s="731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418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</row>
    <row r="40" spans="1:63" s="15" customFormat="1" ht="12.75">
      <c r="A40" s="398" t="s">
        <v>345</v>
      </c>
      <c r="B40" s="418" t="s">
        <v>347</v>
      </c>
      <c r="C40" s="793">
        <f t="shared" si="3"/>
        <v>340.5435264827977</v>
      </c>
      <c r="D40" s="770">
        <v>1361</v>
      </c>
      <c r="E40" s="735">
        <v>-6.0157300000000085</v>
      </c>
      <c r="F40" s="736">
        <v>40.39497</v>
      </c>
      <c r="G40" s="736">
        <v>54.42828648279772</v>
      </c>
      <c r="H40" s="736">
        <v>96.543</v>
      </c>
      <c r="I40" s="395">
        <f>86.075-0.102</f>
        <v>85.973</v>
      </c>
      <c r="J40" s="731">
        <v>69.22</v>
      </c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418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</row>
    <row r="41" spans="1:63" s="15" customFormat="1" ht="12.75">
      <c r="A41" s="398" t="s">
        <v>345</v>
      </c>
      <c r="B41" s="418" t="s">
        <v>353</v>
      </c>
      <c r="C41" s="793">
        <f t="shared" si="3"/>
        <v>-34.947379999999995</v>
      </c>
      <c r="D41" s="765">
        <v>1404</v>
      </c>
      <c r="E41" s="731">
        <v>-35.938379999999995</v>
      </c>
      <c r="F41" s="732">
        <v>0</v>
      </c>
      <c r="G41" s="732">
        <v>0</v>
      </c>
      <c r="H41" s="732">
        <v>0.835</v>
      </c>
      <c r="I41" s="395">
        <v>0.156</v>
      </c>
      <c r="J41" s="731">
        <v>0</v>
      </c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418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</row>
    <row r="42" spans="1:63" s="737" customFormat="1" ht="12.75">
      <c r="A42" s="398" t="s">
        <v>345</v>
      </c>
      <c r="B42" s="418" t="s">
        <v>355</v>
      </c>
      <c r="C42" s="793">
        <f t="shared" si="3"/>
        <v>-65.11263713691103</v>
      </c>
      <c r="D42" s="765">
        <v>1411</v>
      </c>
      <c r="E42" s="731">
        <v>7.49498</v>
      </c>
      <c r="F42" s="732">
        <v>2.0635</v>
      </c>
      <c r="G42" s="732">
        <v>-92.77211713691104</v>
      </c>
      <c r="H42" s="399"/>
      <c r="I42" s="395">
        <f>0.403+17.698</f>
        <v>18.101</v>
      </c>
      <c r="J42" s="731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418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</row>
    <row r="43" spans="1:63" s="15" customFormat="1" ht="12.75">
      <c r="A43" s="738" t="s">
        <v>345</v>
      </c>
      <c r="B43" s="739" t="s">
        <v>354</v>
      </c>
      <c r="C43" s="793">
        <f t="shared" si="3"/>
        <v>87.26388</v>
      </c>
      <c r="D43" s="765">
        <v>1416</v>
      </c>
      <c r="E43" s="731">
        <f>-0.29512+12.613</f>
        <v>12.317879999999999</v>
      </c>
      <c r="F43" s="732">
        <v>9.522</v>
      </c>
      <c r="G43" s="732">
        <v>18.891</v>
      </c>
      <c r="H43" s="732">
        <v>27.345</v>
      </c>
      <c r="I43" s="395">
        <f>0.007-0.076</f>
        <v>-0.06899999999999999</v>
      </c>
      <c r="J43" s="731">
        <v>19.257</v>
      </c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418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</row>
    <row r="44" spans="1:63" s="15" customFormat="1" ht="12.75">
      <c r="A44" s="398" t="s">
        <v>345</v>
      </c>
      <c r="B44" s="418" t="s">
        <v>356</v>
      </c>
      <c r="C44" s="793">
        <f t="shared" si="3"/>
        <v>769.6327076727493</v>
      </c>
      <c r="D44" s="765">
        <v>1421</v>
      </c>
      <c r="E44" s="731">
        <f>13.57593+68.075</f>
        <v>81.65093</v>
      </c>
      <c r="F44" s="732">
        <f>12.58744+94.698</f>
        <v>107.28544</v>
      </c>
      <c r="G44" s="732">
        <f>43.3233376727493+66.033</f>
        <v>109.3563376727493</v>
      </c>
      <c r="H44" s="399">
        <f>114.5+139.323</f>
        <v>253.823</v>
      </c>
      <c r="I44" s="395">
        <f>25.03+97.637</f>
        <v>122.667</v>
      </c>
      <c r="J44" s="731">
        <f>37.615+57.235</f>
        <v>94.85</v>
      </c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418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</row>
    <row r="45" spans="1:63" s="15" customFormat="1" ht="12.75">
      <c r="A45" s="398" t="s">
        <v>345</v>
      </c>
      <c r="B45" s="418" t="s">
        <v>357</v>
      </c>
      <c r="C45" s="793">
        <f t="shared" si="3"/>
        <v>86.2332157124458</v>
      </c>
      <c r="D45" s="765">
        <v>1429</v>
      </c>
      <c r="E45" s="731">
        <v>29.97252</v>
      </c>
      <c r="F45" s="732">
        <v>17.18628</v>
      </c>
      <c r="G45" s="732">
        <v>20.567415712445797</v>
      </c>
      <c r="H45" s="732">
        <v>12.911</v>
      </c>
      <c r="I45" s="395">
        <v>5.155</v>
      </c>
      <c r="J45" s="731">
        <v>0.441</v>
      </c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418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</row>
    <row r="46" spans="1:63" s="15" customFormat="1" ht="12.75">
      <c r="A46" s="398" t="s">
        <v>345</v>
      </c>
      <c r="B46" s="418" t="s">
        <v>363</v>
      </c>
      <c r="C46" s="793">
        <f t="shared" si="3"/>
        <v>160.00010540588653</v>
      </c>
      <c r="D46" s="765">
        <v>1501</v>
      </c>
      <c r="E46" s="731">
        <v>54.10057</v>
      </c>
      <c r="F46" s="732">
        <v>47.37486</v>
      </c>
      <c r="G46" s="732">
        <v>37.12067540588652</v>
      </c>
      <c r="H46" s="732">
        <v>36.056</v>
      </c>
      <c r="I46" s="395">
        <v>2.262</v>
      </c>
      <c r="J46" s="731">
        <v>-16.914</v>
      </c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418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0"/>
      <c r="BF46" s="370"/>
      <c r="BG46" s="370"/>
      <c r="BH46" s="370"/>
      <c r="BI46" s="370"/>
      <c r="BJ46" s="370"/>
      <c r="BK46" s="370"/>
    </row>
    <row r="47" spans="1:63" s="15" customFormat="1" ht="12.75">
      <c r="A47" s="398" t="s">
        <v>345</v>
      </c>
      <c r="B47" s="418" t="s">
        <v>364</v>
      </c>
      <c r="C47" s="793">
        <f t="shared" si="3"/>
        <v>0</v>
      </c>
      <c r="D47" s="770">
        <v>1550</v>
      </c>
      <c r="E47" s="398"/>
      <c r="F47" s="399"/>
      <c r="G47" s="399"/>
      <c r="H47" s="399"/>
      <c r="I47" s="395"/>
      <c r="J47" s="731">
        <v>0</v>
      </c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418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</row>
    <row r="48" spans="1:63" s="15" customFormat="1" ht="12.75">
      <c r="A48" s="398" t="s">
        <v>345</v>
      </c>
      <c r="B48" s="418" t="s">
        <v>365</v>
      </c>
      <c r="C48" s="793">
        <f t="shared" si="3"/>
        <v>0</v>
      </c>
      <c r="D48" s="770"/>
      <c r="E48" s="398"/>
      <c r="F48" s="399"/>
      <c r="G48" s="399"/>
      <c r="H48" s="399"/>
      <c r="I48" s="395"/>
      <c r="J48" s="731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418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</row>
    <row r="49" spans="1:63" s="15" customFormat="1" ht="12.75">
      <c r="A49" s="398" t="s">
        <v>345</v>
      </c>
      <c r="B49" s="418" t="s">
        <v>360</v>
      </c>
      <c r="C49" s="793">
        <f t="shared" si="3"/>
        <v>5.233221401457453</v>
      </c>
      <c r="D49" s="765">
        <v>1701</v>
      </c>
      <c r="E49" s="731">
        <v>-0.23265</v>
      </c>
      <c r="F49" s="732">
        <v>3.0813</v>
      </c>
      <c r="G49" s="732">
        <v>1.4535714014574534</v>
      </c>
      <c r="H49" s="399"/>
      <c r="I49" s="395">
        <v>0.931</v>
      </c>
      <c r="J49" s="731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418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</row>
    <row r="50" spans="1:63" s="15" customFormat="1" ht="12.75">
      <c r="A50" s="398" t="s">
        <v>345</v>
      </c>
      <c r="B50" s="418" t="s">
        <v>358</v>
      </c>
      <c r="C50" s="793">
        <f t="shared" si="3"/>
        <v>32.6</v>
      </c>
      <c r="D50" s="770">
        <v>1702</v>
      </c>
      <c r="E50" s="398"/>
      <c r="F50" s="399"/>
      <c r="G50" s="399"/>
      <c r="H50" s="399"/>
      <c r="I50" s="395"/>
      <c r="J50" s="731">
        <v>32.6</v>
      </c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418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370"/>
      <c r="BC50" s="370"/>
      <c r="BD50" s="370"/>
      <c r="BE50" s="370"/>
      <c r="BF50" s="370"/>
      <c r="BG50" s="370"/>
      <c r="BH50" s="370"/>
      <c r="BI50" s="370"/>
      <c r="BJ50" s="370"/>
      <c r="BK50" s="370"/>
    </row>
    <row r="51" spans="1:63" s="15" customFormat="1" ht="12.75">
      <c r="A51" s="398" t="s">
        <v>345</v>
      </c>
      <c r="B51" s="418" t="s">
        <v>361</v>
      </c>
      <c r="C51" s="793">
        <f t="shared" si="3"/>
        <v>0</v>
      </c>
      <c r="D51" s="770"/>
      <c r="E51" s="398"/>
      <c r="F51" s="399"/>
      <c r="G51" s="399"/>
      <c r="H51" s="399"/>
      <c r="I51" s="395"/>
      <c r="J51" s="731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418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</row>
    <row r="52" spans="1:63" s="15" customFormat="1" ht="12.75">
      <c r="A52" s="398" t="s">
        <v>345</v>
      </c>
      <c r="B52" s="418" t="s">
        <v>359</v>
      </c>
      <c r="C52" s="793">
        <f t="shared" si="3"/>
        <v>0</v>
      </c>
      <c r="D52" s="770"/>
      <c r="E52" s="398"/>
      <c r="F52" s="399"/>
      <c r="G52" s="399"/>
      <c r="H52" s="399"/>
      <c r="I52" s="395"/>
      <c r="J52" s="731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418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</row>
    <row r="53" spans="1:63" s="15" customFormat="1" ht="12.75">
      <c r="A53" s="398" t="s">
        <v>345</v>
      </c>
      <c r="B53" s="418" t="s">
        <v>362</v>
      </c>
      <c r="C53" s="793">
        <f t="shared" si="3"/>
        <v>2.0069999999999997</v>
      </c>
      <c r="D53" s="770"/>
      <c r="E53" s="398"/>
      <c r="F53" s="399"/>
      <c r="G53" s="399">
        <v>-0.128</v>
      </c>
      <c r="H53" s="399">
        <v>2.135</v>
      </c>
      <c r="I53" s="395"/>
      <c r="J53" s="731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418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</row>
    <row r="54" spans="1:63" s="15" customFormat="1" ht="12.75">
      <c r="A54" s="398" t="s">
        <v>345</v>
      </c>
      <c r="B54" s="418" t="s">
        <v>366</v>
      </c>
      <c r="C54" s="793">
        <f t="shared" si="3"/>
        <v>119.964</v>
      </c>
      <c r="D54" s="770">
        <v>1901</v>
      </c>
      <c r="E54" s="398">
        <v>36.462</v>
      </c>
      <c r="F54" s="399">
        <v>17.472</v>
      </c>
      <c r="G54" s="399">
        <v>11.047</v>
      </c>
      <c r="H54" s="399">
        <v>31.667</v>
      </c>
      <c r="I54" s="395">
        <f>13.061</f>
        <v>13.061</v>
      </c>
      <c r="J54" s="731">
        <v>10.255</v>
      </c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418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</row>
    <row r="55" spans="1:63" s="15" customFormat="1" ht="12.75">
      <c r="A55" s="398" t="s">
        <v>345</v>
      </c>
      <c r="B55" s="418" t="s">
        <v>367</v>
      </c>
      <c r="C55" s="793">
        <f t="shared" si="3"/>
        <v>373.13109090857944</v>
      </c>
      <c r="D55" s="765">
        <v>8202</v>
      </c>
      <c r="E55" s="731">
        <v>59.59645</v>
      </c>
      <c r="F55" s="732">
        <v>58.63175</v>
      </c>
      <c r="G55" s="732">
        <v>58.60289090857951</v>
      </c>
      <c r="H55" s="732">
        <v>87.374</v>
      </c>
      <c r="I55" s="395">
        <v>54.224</v>
      </c>
      <c r="J55" s="731">
        <v>54.702</v>
      </c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418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</row>
    <row r="56" spans="1:63" s="15" customFormat="1" ht="12.75">
      <c r="A56" s="398" t="s">
        <v>345</v>
      </c>
      <c r="B56" s="418" t="s">
        <v>368</v>
      </c>
      <c r="C56" s="793">
        <f t="shared" si="3"/>
        <v>55.86599948702046</v>
      </c>
      <c r="D56" s="765">
        <v>8203</v>
      </c>
      <c r="E56" s="731">
        <v>5.07976</v>
      </c>
      <c r="F56" s="732">
        <v>5.2381899999999995</v>
      </c>
      <c r="G56" s="732">
        <v>1.641049487020459</v>
      </c>
      <c r="H56" s="732">
        <v>10.093</v>
      </c>
      <c r="I56" s="395">
        <v>14.509</v>
      </c>
      <c r="J56" s="731">
        <v>19.305</v>
      </c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418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0"/>
      <c r="AW56" s="370"/>
      <c r="AX56" s="370"/>
      <c r="AY56" s="370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</row>
    <row r="57" spans="1:63" s="15" customFormat="1" ht="12.75">
      <c r="A57" s="398" t="s">
        <v>345</v>
      </c>
      <c r="B57" s="418" t="s">
        <v>369</v>
      </c>
      <c r="C57" s="793">
        <f t="shared" si="3"/>
        <v>272.063298250104</v>
      </c>
      <c r="D57" s="765">
        <v>8204</v>
      </c>
      <c r="E57" s="731">
        <v>42.5836</v>
      </c>
      <c r="F57" s="732">
        <v>53.15228</v>
      </c>
      <c r="G57" s="732">
        <v>47.10841825010405</v>
      </c>
      <c r="H57" s="732">
        <v>50.469</v>
      </c>
      <c r="I57" s="395">
        <v>32.096</v>
      </c>
      <c r="J57" s="731">
        <v>46.654</v>
      </c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418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</row>
    <row r="58" spans="1:63" s="15" customFormat="1" ht="12.75">
      <c r="A58" s="398" t="s">
        <v>345</v>
      </c>
      <c r="B58" s="418" t="s">
        <v>370</v>
      </c>
      <c r="C58" s="793">
        <f t="shared" si="3"/>
        <v>96.13410772351456</v>
      </c>
      <c r="D58" s="765">
        <v>8205</v>
      </c>
      <c r="E58" s="731">
        <v>17.50684</v>
      </c>
      <c r="F58" s="732">
        <v>20.08307</v>
      </c>
      <c r="G58" s="732">
        <v>22.492197723514558</v>
      </c>
      <c r="H58" s="732">
        <v>21.472</v>
      </c>
      <c r="I58" s="395">
        <v>10.542</v>
      </c>
      <c r="J58" s="731">
        <v>4.038</v>
      </c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418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</row>
    <row r="59" spans="1:63" s="15" customFormat="1" ht="12.75">
      <c r="A59" s="398" t="s">
        <v>345</v>
      </c>
      <c r="B59" s="418" t="s">
        <v>371</v>
      </c>
      <c r="C59" s="793">
        <f t="shared" si="3"/>
        <v>46.876514202244316</v>
      </c>
      <c r="D59" s="765">
        <v>8210</v>
      </c>
      <c r="E59" s="731">
        <v>8.364180000000001</v>
      </c>
      <c r="F59" s="732">
        <v>4.8261400000000005</v>
      </c>
      <c r="G59" s="732">
        <v>9.591194202244317</v>
      </c>
      <c r="H59" s="732">
        <v>16.099</v>
      </c>
      <c r="I59" s="395">
        <v>6.371</v>
      </c>
      <c r="J59" s="731">
        <v>1.625</v>
      </c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418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0"/>
      <c r="BC59" s="370"/>
      <c r="BD59" s="370"/>
      <c r="BE59" s="370"/>
      <c r="BF59" s="370"/>
      <c r="BG59" s="370"/>
      <c r="BH59" s="370"/>
      <c r="BI59" s="370"/>
      <c r="BJ59" s="370"/>
      <c r="BK59" s="370"/>
    </row>
    <row r="60" spans="1:63" s="15" customFormat="1" ht="13.5" thickBot="1">
      <c r="A60" s="405" t="s">
        <v>345</v>
      </c>
      <c r="B60" s="425" t="s">
        <v>372</v>
      </c>
      <c r="C60" s="793">
        <f t="shared" si="3"/>
        <v>0</v>
      </c>
      <c r="D60" s="770"/>
      <c r="E60" s="405"/>
      <c r="F60" s="406"/>
      <c r="G60" s="406"/>
      <c r="H60" s="406"/>
      <c r="I60" s="407"/>
      <c r="J60" s="762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19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  <c r="AT60" s="370"/>
      <c r="AU60" s="370"/>
      <c r="AV60" s="370"/>
      <c r="AW60" s="370"/>
      <c r="AX60" s="370"/>
      <c r="AY60" s="370"/>
      <c r="AZ60" s="370"/>
      <c r="BA60" s="370"/>
      <c r="BB60" s="370"/>
      <c r="BC60" s="370"/>
      <c r="BD60" s="370"/>
      <c r="BE60" s="370"/>
      <c r="BF60" s="370"/>
      <c r="BG60" s="370"/>
      <c r="BH60" s="370"/>
      <c r="BI60" s="370"/>
      <c r="BJ60" s="370"/>
      <c r="BK60" s="370"/>
    </row>
    <row r="61" spans="1:63" s="15" customFormat="1" ht="13.5" thickBot="1">
      <c r="A61" s="370"/>
      <c r="B61" s="424" t="s">
        <v>661</v>
      </c>
      <c r="C61" s="412">
        <f aca="true" t="shared" si="4" ref="C61:BC61">SUM(C35:C60)</f>
        <v>2404.742653312274</v>
      </c>
      <c r="D61" s="767"/>
      <c r="E61" s="787">
        <f t="shared" si="4"/>
        <v>317.20299</v>
      </c>
      <c r="F61" s="788">
        <f t="shared" si="4"/>
        <v>387.85242</v>
      </c>
      <c r="G61" s="788">
        <f t="shared" si="4"/>
        <v>300.8052433122736</v>
      </c>
      <c r="H61" s="788">
        <f t="shared" si="4"/>
        <v>653.4000000000001</v>
      </c>
      <c r="I61" s="789">
        <f t="shared" si="4"/>
        <v>396.5799999999999</v>
      </c>
      <c r="J61" s="790">
        <f t="shared" si="4"/>
        <v>348.902</v>
      </c>
      <c r="K61" s="403">
        <f t="shared" si="4"/>
        <v>0</v>
      </c>
      <c r="L61" s="403">
        <f t="shared" si="4"/>
        <v>0</v>
      </c>
      <c r="M61" s="403">
        <f t="shared" si="4"/>
        <v>0</v>
      </c>
      <c r="N61" s="403">
        <f t="shared" si="4"/>
        <v>0</v>
      </c>
      <c r="O61" s="403">
        <f t="shared" si="4"/>
        <v>0</v>
      </c>
      <c r="P61" s="403">
        <f t="shared" si="4"/>
        <v>0</v>
      </c>
      <c r="Q61" s="403">
        <f t="shared" si="4"/>
        <v>0</v>
      </c>
      <c r="R61" s="403">
        <f t="shared" si="4"/>
        <v>0</v>
      </c>
      <c r="S61" s="403">
        <f t="shared" si="4"/>
        <v>0</v>
      </c>
      <c r="T61" s="403">
        <f t="shared" si="4"/>
        <v>0</v>
      </c>
      <c r="U61" s="420">
        <f t="shared" si="4"/>
        <v>0</v>
      </c>
      <c r="V61" s="396">
        <f t="shared" si="4"/>
        <v>0</v>
      </c>
      <c r="W61" s="396">
        <f t="shared" si="4"/>
        <v>0</v>
      </c>
      <c r="X61" s="396">
        <f t="shared" si="4"/>
        <v>0</v>
      </c>
      <c r="Y61" s="396">
        <f t="shared" si="4"/>
        <v>0</v>
      </c>
      <c r="Z61" s="396">
        <f t="shared" si="4"/>
        <v>0</v>
      </c>
      <c r="AA61" s="396">
        <f t="shared" si="4"/>
        <v>0</v>
      </c>
      <c r="AB61" s="396">
        <f t="shared" si="4"/>
        <v>0</v>
      </c>
      <c r="AC61" s="396">
        <f t="shared" si="4"/>
        <v>0</v>
      </c>
      <c r="AD61" s="396">
        <f t="shared" si="4"/>
        <v>0</v>
      </c>
      <c r="AE61" s="396">
        <f t="shared" si="4"/>
        <v>0</v>
      </c>
      <c r="AF61" s="396">
        <f t="shared" si="4"/>
        <v>0</v>
      </c>
      <c r="AG61" s="396">
        <f t="shared" si="4"/>
        <v>0</v>
      </c>
      <c r="AH61" s="396">
        <f t="shared" si="4"/>
        <v>0</v>
      </c>
      <c r="AI61" s="396">
        <f t="shared" si="4"/>
        <v>0</v>
      </c>
      <c r="AJ61" s="396">
        <f t="shared" si="4"/>
        <v>0</v>
      </c>
      <c r="AK61" s="396">
        <f t="shared" si="4"/>
        <v>0</v>
      </c>
      <c r="AL61" s="396">
        <f t="shared" si="4"/>
        <v>0</v>
      </c>
      <c r="AM61" s="396">
        <f t="shared" si="4"/>
        <v>0</v>
      </c>
      <c r="AN61" s="396">
        <f t="shared" si="4"/>
        <v>0</v>
      </c>
      <c r="AO61" s="396">
        <f t="shared" si="4"/>
        <v>0</v>
      </c>
      <c r="AP61" s="396">
        <f t="shared" si="4"/>
        <v>0</v>
      </c>
      <c r="AQ61" s="396">
        <f t="shared" si="4"/>
        <v>0</v>
      </c>
      <c r="AR61" s="396">
        <f t="shared" si="4"/>
        <v>0</v>
      </c>
      <c r="AS61" s="396">
        <f t="shared" si="4"/>
        <v>0</v>
      </c>
      <c r="AT61" s="396">
        <f t="shared" si="4"/>
        <v>0</v>
      </c>
      <c r="AU61" s="396">
        <f t="shared" si="4"/>
        <v>0</v>
      </c>
      <c r="AV61" s="396">
        <f t="shared" si="4"/>
        <v>0</v>
      </c>
      <c r="AW61" s="396">
        <f t="shared" si="4"/>
        <v>0</v>
      </c>
      <c r="AX61" s="396">
        <f t="shared" si="4"/>
        <v>0</v>
      </c>
      <c r="AY61" s="396">
        <f t="shared" si="4"/>
        <v>0</v>
      </c>
      <c r="AZ61" s="396">
        <f t="shared" si="4"/>
        <v>0</v>
      </c>
      <c r="BA61" s="396">
        <f t="shared" si="4"/>
        <v>0</v>
      </c>
      <c r="BB61" s="396">
        <f t="shared" si="4"/>
        <v>0</v>
      </c>
      <c r="BC61" s="396">
        <f t="shared" si="4"/>
        <v>0</v>
      </c>
      <c r="BD61" s="404"/>
      <c r="BE61" s="404"/>
      <c r="BF61" s="404"/>
      <c r="BG61" s="404"/>
      <c r="BH61" s="404"/>
      <c r="BI61" s="404"/>
      <c r="BJ61" s="404"/>
      <c r="BK61" s="404"/>
    </row>
    <row r="62" spans="1:63" s="15" customFormat="1" ht="6.75" customHeight="1" thickBot="1">
      <c r="A62" s="370"/>
      <c r="B62" s="370"/>
      <c r="C62" s="791"/>
      <c r="D62" s="770"/>
      <c r="E62" s="370"/>
      <c r="F62" s="370"/>
      <c r="G62" s="370"/>
      <c r="H62" s="370"/>
      <c r="I62" s="397"/>
      <c r="J62" s="397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370"/>
      <c r="AU62" s="370"/>
      <c r="AV62" s="370"/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</row>
    <row r="63" spans="1:63" s="15" customFormat="1" ht="12.75">
      <c r="A63" s="421" t="s">
        <v>346</v>
      </c>
      <c r="B63" s="422" t="s">
        <v>398</v>
      </c>
      <c r="C63" s="792">
        <f>SUM(E63:J63)</f>
        <v>-104.10269</v>
      </c>
      <c r="D63" s="765">
        <v>4101</v>
      </c>
      <c r="E63" s="408">
        <v>-104.10269</v>
      </c>
      <c r="F63" s="409">
        <v>0</v>
      </c>
      <c r="G63" s="409">
        <v>0</v>
      </c>
      <c r="H63" s="410"/>
      <c r="I63" s="411"/>
      <c r="J63" s="408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22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</row>
    <row r="64" spans="1:63" s="15" customFormat="1" ht="12.75">
      <c r="A64" s="398" t="s">
        <v>346</v>
      </c>
      <c r="B64" s="418" t="s">
        <v>399</v>
      </c>
      <c r="C64" s="793">
        <f>SUM(E64:J64)</f>
        <v>0</v>
      </c>
      <c r="D64" s="765"/>
      <c r="E64" s="398"/>
      <c r="F64" s="399"/>
      <c r="G64" s="399"/>
      <c r="H64" s="399"/>
      <c r="I64" s="395"/>
      <c r="J64" s="731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418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</row>
    <row r="65" spans="1:63" s="15" customFormat="1" ht="12.75">
      <c r="A65" s="398" t="s">
        <v>346</v>
      </c>
      <c r="B65" s="418" t="s">
        <v>400</v>
      </c>
      <c r="C65" s="793">
        <f aca="true" t="shared" si="5" ref="C65:C74">SUM(E65:J65)</f>
        <v>0</v>
      </c>
      <c r="D65" s="770"/>
      <c r="E65" s="398"/>
      <c r="F65" s="399"/>
      <c r="G65" s="399"/>
      <c r="H65" s="399"/>
      <c r="I65" s="395"/>
      <c r="J65" s="731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418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  <c r="AX65" s="370"/>
      <c r="AY65" s="370"/>
      <c r="AZ65" s="370"/>
      <c r="BA65" s="370"/>
      <c r="BB65" s="370"/>
      <c r="BC65" s="370"/>
      <c r="BD65" s="370"/>
      <c r="BE65" s="370"/>
      <c r="BF65" s="370"/>
      <c r="BG65" s="370"/>
      <c r="BH65" s="370"/>
      <c r="BI65" s="370"/>
      <c r="BJ65" s="370"/>
      <c r="BK65" s="370"/>
    </row>
    <row r="66" spans="1:63" s="15" customFormat="1" ht="12.75">
      <c r="A66" s="398" t="s">
        <v>346</v>
      </c>
      <c r="B66" s="418" t="s">
        <v>401</v>
      </c>
      <c r="C66" s="793">
        <f t="shared" si="5"/>
        <v>-0.5558088800466068</v>
      </c>
      <c r="D66" s="765">
        <v>4501</v>
      </c>
      <c r="E66" s="731">
        <v>-0.15696000000000002</v>
      </c>
      <c r="F66" s="732">
        <v>0</v>
      </c>
      <c r="G66" s="732">
        <v>-0.04184888004660683</v>
      </c>
      <c r="H66" s="399"/>
      <c r="I66" s="395">
        <v>-0.357</v>
      </c>
      <c r="J66" s="731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418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  <c r="AT66" s="370"/>
      <c r="AU66" s="370"/>
      <c r="AV66" s="370"/>
      <c r="AW66" s="370"/>
      <c r="AX66" s="370"/>
      <c r="AY66" s="370"/>
      <c r="AZ66" s="370"/>
      <c r="BA66" s="370"/>
      <c r="BB66" s="370"/>
      <c r="BC66" s="370"/>
      <c r="BD66" s="370"/>
      <c r="BE66" s="370"/>
      <c r="BF66" s="370"/>
      <c r="BG66" s="370"/>
      <c r="BH66" s="370"/>
      <c r="BI66" s="370"/>
      <c r="BJ66" s="370"/>
      <c r="BK66" s="370"/>
    </row>
    <row r="67" spans="1:63" s="15" customFormat="1" ht="12.75">
      <c r="A67" s="398" t="s">
        <v>346</v>
      </c>
      <c r="B67" s="418" t="s">
        <v>402</v>
      </c>
      <c r="C67" s="793">
        <f t="shared" si="5"/>
        <v>0</v>
      </c>
      <c r="D67" s="770"/>
      <c r="E67" s="398"/>
      <c r="F67" s="399"/>
      <c r="G67" s="399"/>
      <c r="H67" s="399"/>
      <c r="I67" s="395"/>
      <c r="J67" s="731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418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370"/>
      <c r="AQ67" s="370"/>
      <c r="AR67" s="370"/>
      <c r="AS67" s="370"/>
      <c r="AT67" s="370"/>
      <c r="AU67" s="370"/>
      <c r="AV67" s="370"/>
      <c r="AW67" s="370"/>
      <c r="AX67" s="370"/>
      <c r="AY67" s="370"/>
      <c r="AZ67" s="370"/>
      <c r="BA67" s="370"/>
      <c r="BB67" s="370"/>
      <c r="BC67" s="370"/>
      <c r="BD67" s="370"/>
      <c r="BE67" s="370"/>
      <c r="BF67" s="370"/>
      <c r="BG67" s="370"/>
      <c r="BH67" s="370"/>
      <c r="BI67" s="370"/>
      <c r="BJ67" s="370"/>
      <c r="BK67" s="370"/>
    </row>
    <row r="68" spans="1:63" s="15" customFormat="1" ht="12.75">
      <c r="A68" s="398" t="s">
        <v>346</v>
      </c>
      <c r="B68" s="418" t="s">
        <v>403</v>
      </c>
      <c r="C68" s="793">
        <f t="shared" si="5"/>
        <v>0</v>
      </c>
      <c r="D68" s="770"/>
      <c r="E68" s="398"/>
      <c r="F68" s="399"/>
      <c r="G68" s="399"/>
      <c r="H68" s="399"/>
      <c r="I68" s="395"/>
      <c r="J68" s="731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418"/>
      <c r="V68" s="370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370"/>
      <c r="AO68" s="370"/>
      <c r="AP68" s="370"/>
      <c r="AQ68" s="370"/>
      <c r="AR68" s="370"/>
      <c r="AS68" s="370"/>
      <c r="AT68" s="370"/>
      <c r="AU68" s="370"/>
      <c r="AV68" s="370"/>
      <c r="AW68" s="370"/>
      <c r="AX68" s="370"/>
      <c r="AY68" s="370"/>
      <c r="AZ68" s="370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</row>
    <row r="69" spans="1:63" s="15" customFormat="1" ht="12.75">
      <c r="A69" s="398" t="s">
        <v>346</v>
      </c>
      <c r="B69" s="418" t="s">
        <v>404</v>
      </c>
      <c r="C69" s="793">
        <f t="shared" si="5"/>
        <v>0</v>
      </c>
      <c r="D69" s="770"/>
      <c r="E69" s="398"/>
      <c r="F69" s="399"/>
      <c r="G69" s="399"/>
      <c r="H69" s="399"/>
      <c r="I69" s="395"/>
      <c r="J69" s="731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418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370"/>
      <c r="AR69" s="370"/>
      <c r="AS69" s="370"/>
      <c r="AT69" s="370"/>
      <c r="AU69" s="370"/>
      <c r="AV69" s="370"/>
      <c r="AW69" s="370"/>
      <c r="AX69" s="370"/>
      <c r="AY69" s="370"/>
      <c r="AZ69" s="370"/>
      <c r="BA69" s="370"/>
      <c r="BB69" s="370"/>
      <c r="BC69" s="370"/>
      <c r="BD69" s="370"/>
      <c r="BE69" s="370"/>
      <c r="BF69" s="370"/>
      <c r="BG69" s="370"/>
      <c r="BH69" s="370"/>
      <c r="BI69" s="370"/>
      <c r="BJ69" s="370"/>
      <c r="BK69" s="370"/>
    </row>
    <row r="70" spans="1:63" s="15" customFormat="1" ht="12.75">
      <c r="A70" s="398" t="s">
        <v>346</v>
      </c>
      <c r="B70" s="418" t="s">
        <v>405</v>
      </c>
      <c r="C70" s="793">
        <f t="shared" si="5"/>
        <v>0</v>
      </c>
      <c r="D70" s="770"/>
      <c r="E70" s="398"/>
      <c r="F70" s="399"/>
      <c r="G70" s="399"/>
      <c r="H70" s="399"/>
      <c r="I70" s="395"/>
      <c r="J70" s="731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418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70"/>
      <c r="AZ70" s="370"/>
      <c r="BA70" s="370"/>
      <c r="BB70" s="370"/>
      <c r="BC70" s="370"/>
      <c r="BD70" s="370"/>
      <c r="BE70" s="370"/>
      <c r="BF70" s="370"/>
      <c r="BG70" s="370"/>
      <c r="BH70" s="370"/>
      <c r="BI70" s="370"/>
      <c r="BJ70" s="370"/>
      <c r="BK70" s="370"/>
    </row>
    <row r="71" spans="1:63" s="15" customFormat="1" ht="12.75">
      <c r="A71" s="398" t="s">
        <v>346</v>
      </c>
      <c r="B71" s="418" t="s">
        <v>406</v>
      </c>
      <c r="C71" s="793">
        <f t="shared" si="5"/>
        <v>0</v>
      </c>
      <c r="D71" s="770"/>
      <c r="E71" s="398"/>
      <c r="F71" s="399"/>
      <c r="G71" s="399"/>
      <c r="H71" s="399"/>
      <c r="I71" s="395"/>
      <c r="J71" s="731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418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370"/>
      <c r="BJ71" s="370"/>
      <c r="BK71" s="370"/>
    </row>
    <row r="72" spans="1:63" s="15" customFormat="1" ht="12.75">
      <c r="A72" s="398" t="s">
        <v>346</v>
      </c>
      <c r="B72" s="418" t="s">
        <v>407</v>
      </c>
      <c r="C72" s="793">
        <f t="shared" si="5"/>
        <v>0</v>
      </c>
      <c r="D72" s="770"/>
      <c r="E72" s="398"/>
      <c r="F72" s="399"/>
      <c r="G72" s="399"/>
      <c r="H72" s="399"/>
      <c r="I72" s="395"/>
      <c r="J72" s="731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418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  <c r="BC72" s="370"/>
      <c r="BD72" s="370"/>
      <c r="BE72" s="370"/>
      <c r="BF72" s="370"/>
      <c r="BG72" s="370"/>
      <c r="BH72" s="370"/>
      <c r="BI72" s="370"/>
      <c r="BJ72" s="370"/>
      <c r="BK72" s="370"/>
    </row>
    <row r="73" spans="1:63" s="15" customFormat="1" ht="12.75">
      <c r="A73" s="398" t="s">
        <v>346</v>
      </c>
      <c r="B73" s="418" t="s">
        <v>408</v>
      </c>
      <c r="C73" s="793">
        <f t="shared" si="5"/>
        <v>0</v>
      </c>
      <c r="D73" s="770"/>
      <c r="E73" s="398"/>
      <c r="F73" s="399"/>
      <c r="G73" s="399"/>
      <c r="H73" s="399"/>
      <c r="I73" s="395"/>
      <c r="J73" s="731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418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70"/>
      <c r="AO73" s="370"/>
      <c r="AP73" s="370"/>
      <c r="AQ73" s="370"/>
      <c r="AR73" s="370"/>
      <c r="AS73" s="370"/>
      <c r="AT73" s="370"/>
      <c r="AU73" s="370"/>
      <c r="AV73" s="370"/>
      <c r="AW73" s="370"/>
      <c r="AX73" s="370"/>
      <c r="AY73" s="370"/>
      <c r="AZ73" s="370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</row>
    <row r="74" spans="1:63" s="15" customFormat="1" ht="13.5" thickBot="1">
      <c r="A74" s="405" t="s">
        <v>346</v>
      </c>
      <c r="B74" s="425" t="s">
        <v>409</v>
      </c>
      <c r="C74" s="793">
        <f t="shared" si="5"/>
        <v>0</v>
      </c>
      <c r="D74" s="770"/>
      <c r="E74" s="405"/>
      <c r="F74" s="406"/>
      <c r="G74" s="406"/>
      <c r="H74" s="406"/>
      <c r="I74" s="407"/>
      <c r="J74" s="762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19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0"/>
      <c r="AR74" s="370"/>
      <c r="AS74" s="370"/>
      <c r="AT74" s="370"/>
      <c r="AU74" s="370"/>
      <c r="AV74" s="370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0"/>
      <c r="BH74" s="370"/>
      <c r="BI74" s="370"/>
      <c r="BJ74" s="370"/>
      <c r="BK74" s="370"/>
    </row>
    <row r="75" spans="1:55" s="15" customFormat="1" ht="13.5" thickBot="1">
      <c r="A75" s="370"/>
      <c r="B75" s="424" t="s">
        <v>662</v>
      </c>
      <c r="C75" s="412">
        <f aca="true" t="shared" si="6" ref="C75:BC75">SUM(C63:C74)</f>
        <v>-104.65849888004661</v>
      </c>
      <c r="D75" s="767"/>
      <c r="E75" s="413">
        <f t="shared" si="6"/>
        <v>-104.25965</v>
      </c>
      <c r="F75" s="414">
        <f t="shared" si="6"/>
        <v>0</v>
      </c>
      <c r="G75" s="414">
        <f t="shared" si="6"/>
        <v>-0.04184888004660683</v>
      </c>
      <c r="H75" s="414">
        <f t="shared" si="6"/>
        <v>0</v>
      </c>
      <c r="I75" s="763">
        <f t="shared" si="6"/>
        <v>-0.357</v>
      </c>
      <c r="J75" s="790">
        <f t="shared" si="6"/>
        <v>0</v>
      </c>
      <c r="K75" s="403">
        <f t="shared" si="6"/>
        <v>0</v>
      </c>
      <c r="L75" s="403">
        <f t="shared" si="6"/>
        <v>0</v>
      </c>
      <c r="M75" s="403">
        <f t="shared" si="6"/>
        <v>0</v>
      </c>
      <c r="N75" s="403">
        <f t="shared" si="6"/>
        <v>0</v>
      </c>
      <c r="O75" s="403">
        <f t="shared" si="6"/>
        <v>0</v>
      </c>
      <c r="P75" s="403">
        <f t="shared" si="6"/>
        <v>0</v>
      </c>
      <c r="Q75" s="403">
        <f t="shared" si="6"/>
        <v>0</v>
      </c>
      <c r="R75" s="403">
        <f t="shared" si="6"/>
        <v>0</v>
      </c>
      <c r="S75" s="403">
        <f t="shared" si="6"/>
        <v>0</v>
      </c>
      <c r="T75" s="403">
        <f t="shared" si="6"/>
        <v>0</v>
      </c>
      <c r="U75" s="420">
        <f t="shared" si="6"/>
        <v>0</v>
      </c>
      <c r="V75" s="396">
        <f t="shared" si="6"/>
        <v>0</v>
      </c>
      <c r="W75" s="396">
        <f t="shared" si="6"/>
        <v>0</v>
      </c>
      <c r="X75" s="396">
        <f t="shared" si="6"/>
        <v>0</v>
      </c>
      <c r="Y75" s="396">
        <f t="shared" si="6"/>
        <v>0</v>
      </c>
      <c r="Z75" s="396">
        <f t="shared" si="6"/>
        <v>0</v>
      </c>
      <c r="AA75" s="396">
        <f t="shared" si="6"/>
        <v>0</v>
      </c>
      <c r="AB75" s="396">
        <f t="shared" si="6"/>
        <v>0</v>
      </c>
      <c r="AC75" s="396">
        <f t="shared" si="6"/>
        <v>0</v>
      </c>
      <c r="AD75" s="396">
        <f t="shared" si="6"/>
        <v>0</v>
      </c>
      <c r="AE75" s="396">
        <f t="shared" si="6"/>
        <v>0</v>
      </c>
      <c r="AF75" s="396">
        <f t="shared" si="6"/>
        <v>0</v>
      </c>
      <c r="AG75" s="396">
        <f t="shared" si="6"/>
        <v>0</v>
      </c>
      <c r="AH75" s="396">
        <f t="shared" si="6"/>
        <v>0</v>
      </c>
      <c r="AI75" s="396">
        <f t="shared" si="6"/>
        <v>0</v>
      </c>
      <c r="AJ75" s="396">
        <f t="shared" si="6"/>
        <v>0</v>
      </c>
      <c r="AK75" s="396">
        <f t="shared" si="6"/>
        <v>0</v>
      </c>
      <c r="AL75" s="396">
        <f t="shared" si="6"/>
        <v>0</v>
      </c>
      <c r="AM75" s="396">
        <f t="shared" si="6"/>
        <v>0</v>
      </c>
      <c r="AN75" s="396">
        <f t="shared" si="6"/>
        <v>0</v>
      </c>
      <c r="AO75" s="396">
        <f t="shared" si="6"/>
        <v>0</v>
      </c>
      <c r="AP75" s="396">
        <f t="shared" si="6"/>
        <v>0</v>
      </c>
      <c r="AQ75" s="396">
        <f t="shared" si="6"/>
        <v>0</v>
      </c>
      <c r="AR75" s="396">
        <f t="shared" si="6"/>
        <v>0</v>
      </c>
      <c r="AS75" s="396">
        <f t="shared" si="6"/>
        <v>0</v>
      </c>
      <c r="AT75" s="396">
        <f t="shared" si="6"/>
        <v>0</v>
      </c>
      <c r="AU75" s="396">
        <f t="shared" si="6"/>
        <v>0</v>
      </c>
      <c r="AV75" s="396">
        <f t="shared" si="6"/>
        <v>0</v>
      </c>
      <c r="AW75" s="396">
        <f t="shared" si="6"/>
        <v>0</v>
      </c>
      <c r="AX75" s="396">
        <f t="shared" si="6"/>
        <v>0</v>
      </c>
      <c r="AY75" s="396">
        <f t="shared" si="6"/>
        <v>0</v>
      </c>
      <c r="AZ75" s="396">
        <f t="shared" si="6"/>
        <v>0</v>
      </c>
      <c r="BA75" s="396">
        <f t="shared" si="6"/>
        <v>0</v>
      </c>
      <c r="BB75" s="396">
        <f t="shared" si="6"/>
        <v>0</v>
      </c>
      <c r="BC75" s="396">
        <f t="shared" si="6"/>
        <v>0</v>
      </c>
    </row>
    <row r="76" spans="1:50" s="15" customFormat="1" ht="13.5" thickBot="1">
      <c r="A76" s="370"/>
      <c r="B76" s="370"/>
      <c r="C76" s="791"/>
      <c r="D76" s="770"/>
      <c r="E76" s="370"/>
      <c r="F76" s="370"/>
      <c r="G76" s="370"/>
      <c r="H76" s="370"/>
      <c r="I76" s="397"/>
      <c r="J76" s="397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0"/>
      <c r="AR76" s="370"/>
      <c r="AS76" s="370"/>
      <c r="AT76" s="370"/>
      <c r="AU76" s="370"/>
      <c r="AV76" s="370"/>
      <c r="AW76" s="370"/>
      <c r="AX76" s="370"/>
    </row>
    <row r="77" spans="1:50" s="15" customFormat="1" ht="13.5" thickBot="1">
      <c r="A77" s="370"/>
      <c r="B77" s="424" t="s">
        <v>658</v>
      </c>
      <c r="C77" s="412">
        <f>SUM(C75,C61,C33,C6)</f>
        <v>6148.601562535116</v>
      </c>
      <c r="D77" s="767"/>
      <c r="E77" s="413">
        <f>SUM(E75,E61,E33,E6)</f>
        <v>630.45472</v>
      </c>
      <c r="F77" s="414">
        <f>SUM(F75,F61,F33,F6)</f>
        <v>1012.48983</v>
      </c>
      <c r="G77" s="414">
        <f>SUM(G75,G61,G33,G6)</f>
        <v>871.1130125351161</v>
      </c>
      <c r="H77" s="414">
        <f>SUM(H75,H61,H33,H6)</f>
        <v>1462.7869999999998</v>
      </c>
      <c r="I77" s="415">
        <f>SUM(I75,I61,I33,I6)</f>
        <v>1299.7079999999996</v>
      </c>
      <c r="J77" s="840">
        <f aca="true" t="shared" si="7" ref="J77:U77">SUM(J75,J61,J33,J6)</f>
        <v>872.049</v>
      </c>
      <c r="K77" s="413">
        <f t="shared" si="7"/>
        <v>0</v>
      </c>
      <c r="L77" s="414">
        <f t="shared" si="7"/>
        <v>0</v>
      </c>
      <c r="M77" s="414">
        <f t="shared" si="7"/>
        <v>0</v>
      </c>
      <c r="N77" s="414">
        <f t="shared" si="7"/>
        <v>0</v>
      </c>
      <c r="O77" s="414">
        <f t="shared" si="7"/>
        <v>0</v>
      </c>
      <c r="P77" s="414">
        <f t="shared" si="7"/>
        <v>0</v>
      </c>
      <c r="Q77" s="414">
        <f t="shared" si="7"/>
        <v>0</v>
      </c>
      <c r="R77" s="414">
        <f t="shared" si="7"/>
        <v>0</v>
      </c>
      <c r="S77" s="414">
        <f t="shared" si="7"/>
        <v>0</v>
      </c>
      <c r="T77" s="414">
        <f t="shared" si="7"/>
        <v>0</v>
      </c>
      <c r="U77" s="423">
        <f t="shared" si="7"/>
        <v>0</v>
      </c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</row>
  </sheetData>
  <mergeCells count="2">
    <mergeCell ref="E1:I1"/>
    <mergeCell ref="J1:U1"/>
  </mergeCells>
  <printOptions gridLines="1" headings="1"/>
  <pageMargins left="0.37" right="0.38" top="0.52" bottom="1" header="0.5" footer="0.5"/>
  <pageSetup fitToHeight="1" fitToWidth="1" horizontalDpi="600" verticalDpi="600" orientation="portrait" paperSize="218" scale="40" r:id="rId2"/>
  <ignoredErrors>
    <ignoredError sqref="C3:C4 C41:C60 C6:C7 C33:C34 C10:C32 C61:C62 C75:C360 C9 C63:C68 C3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81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77" sqref="C77"/>
    </sheetView>
  </sheetViews>
  <sheetFormatPr defaultColWidth="9.140625" defaultRowHeight="12.75"/>
  <cols>
    <col min="1" max="1" width="21.421875" style="0" customWidth="1"/>
    <col min="2" max="2" width="48.7109375" style="0" customWidth="1"/>
    <col min="3" max="3" width="12.00390625" style="10" customWidth="1"/>
    <col min="5" max="5" width="8.140625" style="0" customWidth="1"/>
    <col min="6" max="6" width="7.57421875" style="0" customWidth="1"/>
    <col min="7" max="7" width="8.57421875" style="0" customWidth="1"/>
    <col min="8" max="8" width="8.28125" style="0" customWidth="1"/>
    <col min="9" max="9" width="8.140625" style="0" customWidth="1"/>
    <col min="10" max="10" width="8.7109375" style="0" customWidth="1"/>
    <col min="11" max="11" width="8.57421875" style="0" customWidth="1"/>
    <col min="12" max="12" width="8.140625" style="0" hidden="1" customWidth="1"/>
    <col min="13" max="13" width="8.28125" style="0" hidden="1" customWidth="1"/>
    <col min="14" max="14" width="8.57421875" style="0" hidden="1" customWidth="1"/>
    <col min="15" max="15" width="8.140625" style="0" hidden="1" customWidth="1"/>
    <col min="16" max="16" width="8.7109375" style="0" hidden="1" customWidth="1"/>
    <col min="17" max="17" width="8.140625" style="0" hidden="1" customWidth="1"/>
    <col min="18" max="18" width="7.57421875" style="0" hidden="1" customWidth="1"/>
    <col min="19" max="19" width="8.57421875" style="0" hidden="1" customWidth="1"/>
    <col min="20" max="20" width="8.28125" style="0" hidden="1" customWidth="1"/>
    <col min="21" max="21" width="8.140625" style="0" hidden="1" customWidth="1"/>
    <col min="22" max="22" width="8.7109375" style="0" hidden="1" customWidth="1"/>
    <col min="23" max="23" width="8.57421875" style="0" hidden="1" customWidth="1"/>
    <col min="24" max="24" width="8.140625" style="0" hidden="1" customWidth="1"/>
    <col min="25" max="25" width="8.28125" style="0" hidden="1" customWidth="1"/>
    <col min="26" max="26" width="8.57421875" style="0" hidden="1" customWidth="1"/>
    <col min="27" max="27" width="8.140625" style="0" hidden="1" customWidth="1"/>
    <col min="28" max="28" width="8.7109375" style="0" hidden="1" customWidth="1"/>
    <col min="29" max="29" width="8.140625" style="0" hidden="1" customWidth="1"/>
    <col min="30" max="30" width="7.57421875" style="0" hidden="1" customWidth="1"/>
    <col min="31" max="31" width="8.57421875" style="0" hidden="1" customWidth="1"/>
    <col min="32" max="32" width="8.28125" style="0" hidden="1" customWidth="1"/>
    <col min="33" max="33" width="8.140625" style="0" hidden="1" customWidth="1"/>
    <col min="34" max="34" width="8.7109375" style="0" hidden="1" customWidth="1"/>
    <col min="35" max="35" width="8.57421875" style="0" hidden="1" customWidth="1"/>
    <col min="36" max="36" width="7.7109375" style="0" hidden="1" customWidth="1"/>
    <col min="37" max="37" width="8.00390625" style="0" hidden="1" customWidth="1"/>
    <col min="38" max="38" width="8.140625" style="0" hidden="1" customWidth="1"/>
    <col min="39" max="39" width="7.7109375" style="0" hidden="1" customWidth="1"/>
    <col min="40" max="40" width="8.28125" style="0" hidden="1" customWidth="1"/>
    <col min="41" max="41" width="7.7109375" style="0" hidden="1" customWidth="1"/>
    <col min="42" max="42" width="7.140625" style="0" hidden="1" customWidth="1"/>
    <col min="43" max="43" width="8.140625" style="0" hidden="1" customWidth="1"/>
    <col min="44" max="44" width="8.00390625" style="0" hidden="1" customWidth="1"/>
    <col min="45" max="45" width="7.7109375" style="0" hidden="1" customWidth="1"/>
    <col min="46" max="46" width="8.28125" style="0" hidden="1" customWidth="1"/>
    <col min="47" max="47" width="8.140625" style="0" hidden="1" customWidth="1"/>
    <col min="48" max="48" width="7.421875" style="0" hidden="1" customWidth="1"/>
    <col min="49" max="49" width="7.57421875" style="0" hidden="1" customWidth="1"/>
    <col min="50" max="50" width="7.7109375" style="0" hidden="1" customWidth="1"/>
    <col min="51" max="51" width="7.421875" style="0" hidden="1" customWidth="1"/>
    <col min="52" max="52" width="8.00390625" style="0" hidden="1" customWidth="1"/>
    <col min="53" max="53" width="7.421875" style="0" hidden="1" customWidth="1"/>
    <col min="54" max="54" width="6.8515625" style="0" hidden="1" customWidth="1"/>
    <col min="55" max="55" width="7.7109375" style="0" hidden="1" customWidth="1"/>
    <col min="56" max="56" width="7.57421875" style="0" hidden="1" customWidth="1"/>
    <col min="57" max="57" width="7.421875" style="0" hidden="1" customWidth="1"/>
    <col min="58" max="58" width="8.00390625" style="0" hidden="1" customWidth="1"/>
    <col min="59" max="60" width="7.7109375" style="0" hidden="1" customWidth="1"/>
    <col min="61" max="61" width="8.00390625" style="0" hidden="1" customWidth="1"/>
    <col min="62" max="62" width="8.140625" style="0" hidden="1" customWidth="1"/>
    <col min="63" max="63" width="7.7109375" style="0" hidden="1" customWidth="1"/>
    <col min="64" max="64" width="8.28125" style="0" hidden="1" customWidth="1"/>
    <col min="65" max="65" width="7.7109375" style="0" hidden="1" customWidth="1"/>
    <col min="66" max="66" width="7.140625" style="0" hidden="1" customWidth="1"/>
    <col min="67" max="67" width="8.140625" style="0" hidden="1" customWidth="1"/>
    <col min="68" max="68" width="0.9921875" style="0" customWidth="1"/>
    <col min="69" max="69" width="7.7109375" style="0" customWidth="1"/>
    <col min="70" max="70" width="8.7109375" style="0" customWidth="1"/>
    <col min="72" max="72" width="11.00390625" style="0" customWidth="1"/>
    <col min="73" max="74" width="0" style="0" hidden="1" customWidth="1"/>
    <col min="75" max="113" width="9.140625" style="0" hidden="1" customWidth="1"/>
  </cols>
  <sheetData>
    <row r="1" spans="4:107" ht="18" customHeight="1" thickBot="1">
      <c r="D1" s="960" t="s">
        <v>717</v>
      </c>
      <c r="E1" s="961"/>
      <c r="F1" s="961"/>
      <c r="G1" s="961"/>
      <c r="H1" s="962"/>
      <c r="I1" s="946" t="s">
        <v>717</v>
      </c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BQ1" s="957" t="s">
        <v>718</v>
      </c>
      <c r="BR1" s="958"/>
      <c r="BS1" s="959"/>
      <c r="BT1" s="1172" t="s">
        <v>718</v>
      </c>
      <c r="BU1" s="1172"/>
      <c r="BV1" s="1172"/>
      <c r="BW1" s="1172"/>
      <c r="BX1" s="1172"/>
      <c r="BY1" s="1172"/>
      <c r="BZ1" s="1172"/>
      <c r="CA1" s="1172"/>
      <c r="CB1" s="1172"/>
      <c r="CC1" s="1172"/>
      <c r="CD1" s="1172"/>
      <c r="CE1" s="1173"/>
      <c r="CF1" s="1171" t="s">
        <v>634</v>
      </c>
      <c r="CG1" s="1172"/>
      <c r="CH1" s="1172"/>
      <c r="CI1" s="1172"/>
      <c r="CJ1" s="1172"/>
      <c r="CK1" s="1172"/>
      <c r="CL1" s="1172"/>
      <c r="CM1" s="1172"/>
      <c r="CN1" s="1172"/>
      <c r="CO1" s="1172"/>
      <c r="CP1" s="1172"/>
      <c r="CQ1" s="1173"/>
      <c r="CR1" s="1171" t="s">
        <v>635</v>
      </c>
      <c r="CS1" s="1172"/>
      <c r="CT1" s="1172"/>
      <c r="CU1" s="1172"/>
      <c r="CV1" s="1172"/>
      <c r="CW1" s="1172"/>
      <c r="CX1" s="1172"/>
      <c r="CY1" s="1172"/>
      <c r="CZ1" s="1172"/>
      <c r="DA1" s="1172"/>
      <c r="DB1" s="1172"/>
      <c r="DC1" s="1173"/>
    </row>
    <row r="2" spans="1:117" s="593" customFormat="1" ht="36" customHeight="1" thickBot="1">
      <c r="A2" s="589" t="s">
        <v>486</v>
      </c>
      <c r="B2" s="590" t="s">
        <v>252</v>
      </c>
      <c r="C2" s="591" t="s">
        <v>739</v>
      </c>
      <c r="D2" s="580" t="s">
        <v>669</v>
      </c>
      <c r="E2" s="581" t="s">
        <v>673</v>
      </c>
      <c r="F2" s="581" t="s">
        <v>674</v>
      </c>
      <c r="G2" s="581" t="s">
        <v>676</v>
      </c>
      <c r="H2" s="582" t="s">
        <v>677</v>
      </c>
      <c r="I2" s="576" t="s">
        <v>678</v>
      </c>
      <c r="J2" s="583" t="s">
        <v>679</v>
      </c>
      <c r="K2" s="583" t="s">
        <v>680</v>
      </c>
      <c r="L2" s="583" t="s">
        <v>681</v>
      </c>
      <c r="M2" s="583" t="s">
        <v>682</v>
      </c>
      <c r="N2" s="583" t="s">
        <v>683</v>
      </c>
      <c r="O2" s="583" t="s">
        <v>684</v>
      </c>
      <c r="P2" s="583" t="s">
        <v>670</v>
      </c>
      <c r="Q2" s="583" t="s">
        <v>685</v>
      </c>
      <c r="R2" s="583" t="s">
        <v>686</v>
      </c>
      <c r="S2" s="583" t="s">
        <v>687</v>
      </c>
      <c r="T2" s="577" t="s">
        <v>688</v>
      </c>
      <c r="U2" s="576" t="s">
        <v>689</v>
      </c>
      <c r="V2" s="583" t="s">
        <v>690</v>
      </c>
      <c r="W2" s="583" t="s">
        <v>691</v>
      </c>
      <c r="X2" s="583" t="s">
        <v>692</v>
      </c>
      <c r="Y2" s="583" t="s">
        <v>693</v>
      </c>
      <c r="Z2" s="583" t="s">
        <v>694</v>
      </c>
      <c r="AA2" s="583" t="s">
        <v>695</v>
      </c>
      <c r="AB2" s="583" t="s">
        <v>671</v>
      </c>
      <c r="AC2" s="583" t="s">
        <v>696</v>
      </c>
      <c r="AD2" s="583" t="s">
        <v>697</v>
      </c>
      <c r="AE2" s="583" t="s">
        <v>698</v>
      </c>
      <c r="AF2" s="577" t="s">
        <v>699</v>
      </c>
      <c r="AG2" s="576" t="s">
        <v>700</v>
      </c>
      <c r="AH2" s="583" t="s">
        <v>701</v>
      </c>
      <c r="AI2" s="583" t="s">
        <v>702</v>
      </c>
      <c r="AJ2" s="583" t="s">
        <v>703</v>
      </c>
      <c r="AK2" s="583" t="s">
        <v>704</v>
      </c>
      <c r="AL2" s="583" t="s">
        <v>705</v>
      </c>
      <c r="AM2" s="583" t="s">
        <v>706</v>
      </c>
      <c r="AN2" s="583" t="s">
        <v>672</v>
      </c>
      <c r="AO2" s="583" t="s">
        <v>707</v>
      </c>
      <c r="AP2" s="583" t="s">
        <v>708</v>
      </c>
      <c r="AQ2" s="583" t="s">
        <v>709</v>
      </c>
      <c r="AR2" s="577" t="s">
        <v>710</v>
      </c>
      <c r="AS2" s="576" t="s">
        <v>711</v>
      </c>
      <c r="AT2" s="583" t="s">
        <v>712</v>
      </c>
      <c r="AU2" s="583" t="s">
        <v>713</v>
      </c>
      <c r="AV2" s="583" t="s">
        <v>714</v>
      </c>
      <c r="AW2" s="583" t="s">
        <v>715</v>
      </c>
      <c r="AX2" s="577" t="s">
        <v>716</v>
      </c>
      <c r="AY2" s="592" t="s">
        <v>631</v>
      </c>
      <c r="AZ2" s="592" t="s">
        <v>622</v>
      </c>
      <c r="BA2" s="592" t="s">
        <v>632</v>
      </c>
      <c r="BB2" s="592" t="s">
        <v>633</v>
      </c>
      <c r="BC2" s="592" t="s">
        <v>623</v>
      </c>
      <c r="BD2" s="592" t="s">
        <v>624</v>
      </c>
      <c r="BE2" s="592" t="s">
        <v>625</v>
      </c>
      <c r="BF2" s="592" t="s">
        <v>626</v>
      </c>
      <c r="BG2" s="592" t="s">
        <v>627</v>
      </c>
      <c r="BH2" s="592" t="s">
        <v>628</v>
      </c>
      <c r="BI2" s="592" t="s">
        <v>629</v>
      </c>
      <c r="BJ2" s="592" t="s">
        <v>630</v>
      </c>
      <c r="BK2" s="592" t="s">
        <v>631</v>
      </c>
      <c r="BL2" s="592" t="s">
        <v>622</v>
      </c>
      <c r="BM2" s="592" t="s">
        <v>632</v>
      </c>
      <c r="BN2" s="592" t="s">
        <v>633</v>
      </c>
      <c r="BO2" s="592" t="s">
        <v>623</v>
      </c>
      <c r="BQ2" s="581" t="s">
        <v>674</v>
      </c>
      <c r="BR2" s="581" t="s">
        <v>676</v>
      </c>
      <c r="BS2" s="582" t="s">
        <v>677</v>
      </c>
      <c r="BT2" s="576" t="s">
        <v>678</v>
      </c>
      <c r="BU2" s="583" t="s">
        <v>679</v>
      </c>
      <c r="BV2" s="583" t="s">
        <v>680</v>
      </c>
      <c r="BW2" s="583" t="s">
        <v>681</v>
      </c>
      <c r="BX2" s="583" t="s">
        <v>682</v>
      </c>
      <c r="BY2" s="583" t="s">
        <v>683</v>
      </c>
      <c r="BZ2" s="583" t="s">
        <v>684</v>
      </c>
      <c r="CA2" s="583" t="s">
        <v>670</v>
      </c>
      <c r="CB2" s="583" t="s">
        <v>685</v>
      </c>
      <c r="CC2" s="583" t="s">
        <v>686</v>
      </c>
      <c r="CD2" s="583" t="s">
        <v>687</v>
      </c>
      <c r="CE2" s="577" t="s">
        <v>688</v>
      </c>
      <c r="CF2" s="576" t="s">
        <v>689</v>
      </c>
      <c r="CG2" s="583" t="s">
        <v>690</v>
      </c>
      <c r="CH2" s="583" t="s">
        <v>691</v>
      </c>
      <c r="CI2" s="583" t="s">
        <v>692</v>
      </c>
      <c r="CJ2" s="583" t="s">
        <v>693</v>
      </c>
      <c r="CK2" s="583" t="s">
        <v>694</v>
      </c>
      <c r="CL2" s="583" t="s">
        <v>695</v>
      </c>
      <c r="CM2" s="583" t="s">
        <v>671</v>
      </c>
      <c r="CN2" s="583" t="s">
        <v>696</v>
      </c>
      <c r="CO2" s="583" t="s">
        <v>697</v>
      </c>
      <c r="CP2" s="583" t="s">
        <v>698</v>
      </c>
      <c r="CQ2" s="577" t="s">
        <v>699</v>
      </c>
      <c r="CR2" s="576" t="s">
        <v>700</v>
      </c>
      <c r="CS2" s="583" t="s">
        <v>701</v>
      </c>
      <c r="CT2" s="583" t="s">
        <v>702</v>
      </c>
      <c r="CU2" s="583" t="s">
        <v>703</v>
      </c>
      <c r="CV2" s="583" t="s">
        <v>704</v>
      </c>
      <c r="CW2" s="583" t="s">
        <v>705</v>
      </c>
      <c r="CX2" s="583" t="s">
        <v>706</v>
      </c>
      <c r="CY2" s="583" t="s">
        <v>672</v>
      </c>
      <c r="CZ2" s="583" t="s">
        <v>707</v>
      </c>
      <c r="DA2" s="583" t="s">
        <v>708</v>
      </c>
      <c r="DB2" s="583" t="s">
        <v>709</v>
      </c>
      <c r="DC2" s="577" t="s">
        <v>710</v>
      </c>
      <c r="DD2" s="576" t="s">
        <v>711</v>
      </c>
      <c r="DE2" s="583" t="s">
        <v>712</v>
      </c>
      <c r="DF2" s="583" t="s">
        <v>713</v>
      </c>
      <c r="DG2" s="583" t="s">
        <v>714</v>
      </c>
      <c r="DH2" s="583" t="s">
        <v>715</v>
      </c>
      <c r="DI2" s="577" t="s">
        <v>716</v>
      </c>
      <c r="DJ2" s="593" t="s">
        <v>186</v>
      </c>
      <c r="DK2" s="827" t="s">
        <v>741</v>
      </c>
      <c r="DL2" s="828"/>
      <c r="DM2"/>
    </row>
    <row r="3" spans="1:117" s="1" customFormat="1" ht="12.75">
      <c r="A3" s="508" t="s">
        <v>343</v>
      </c>
      <c r="B3" s="509" t="s">
        <v>410</v>
      </c>
      <c r="C3" s="573">
        <f>SUM(D3:I3)</f>
        <v>373.246</v>
      </c>
      <c r="D3" s="354">
        <v>59</v>
      </c>
      <c r="E3" s="355">
        <v>56</v>
      </c>
      <c r="F3" s="355">
        <v>54</v>
      </c>
      <c r="G3" s="371">
        <f aca="true" t="shared" si="0" ref="G3:I5">SUM(BR3-BQ3)</f>
        <v>60.11650780999997</v>
      </c>
      <c r="H3" s="815">
        <f t="shared" si="0"/>
        <v>48.98349219000005</v>
      </c>
      <c r="I3" s="809">
        <f t="shared" si="0"/>
        <v>95.14599999999996</v>
      </c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P3" s="347"/>
      <c r="BQ3" s="354">
        <f>SUM(D3:F3)</f>
        <v>169</v>
      </c>
      <c r="BR3" s="371">
        <v>229.11650780999997</v>
      </c>
      <c r="BS3" s="367">
        <v>278.1</v>
      </c>
      <c r="BT3" s="797">
        <v>373.246</v>
      </c>
      <c r="DK3" s="827" t="s">
        <v>745</v>
      </c>
      <c r="DL3" s="827" t="s">
        <v>746</v>
      </c>
      <c r="DM3" s="829">
        <v>373.24688736</v>
      </c>
    </row>
    <row r="4" spans="1:118" s="18" customFormat="1" ht="12.75">
      <c r="A4" s="490" t="s">
        <v>343</v>
      </c>
      <c r="B4" s="492" t="s">
        <v>411</v>
      </c>
      <c r="C4" s="574">
        <f>SUM(D4:I4)</f>
        <v>75.048</v>
      </c>
      <c r="D4" s="353">
        <v>13</v>
      </c>
      <c r="E4" s="348">
        <v>12</v>
      </c>
      <c r="F4" s="348">
        <v>12</v>
      </c>
      <c r="G4" s="372">
        <f t="shared" si="0"/>
        <v>12.604819999999997</v>
      </c>
      <c r="H4" s="816">
        <f t="shared" si="0"/>
        <v>10.815180000000005</v>
      </c>
      <c r="I4" s="810">
        <f t="shared" si="0"/>
        <v>14.628</v>
      </c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P4" s="347"/>
      <c r="BQ4" s="353">
        <f>SUM(D4:F4)</f>
        <v>37</v>
      </c>
      <c r="BR4" s="372">
        <v>49.60482</v>
      </c>
      <c r="BS4" s="755">
        <v>60.42</v>
      </c>
      <c r="BT4" s="798">
        <v>75.048</v>
      </c>
      <c r="DK4" s="830"/>
      <c r="DL4" s="831" t="s">
        <v>747</v>
      </c>
      <c r="DM4" s="829">
        <v>75.048</v>
      </c>
      <c r="DN4" s="1"/>
    </row>
    <row r="5" spans="1:118" s="20" customFormat="1" ht="13.5" thickBot="1">
      <c r="A5" s="494" t="s">
        <v>343</v>
      </c>
      <c r="B5" s="436" t="s">
        <v>412</v>
      </c>
      <c r="C5" s="575">
        <f>SUM(D5:I5)</f>
        <v>179.404</v>
      </c>
      <c r="D5" s="368">
        <v>30</v>
      </c>
      <c r="E5" s="369">
        <v>29</v>
      </c>
      <c r="F5" s="369">
        <v>29</v>
      </c>
      <c r="G5" s="373">
        <f t="shared" si="0"/>
        <v>30.257578900000013</v>
      </c>
      <c r="H5" s="817">
        <f t="shared" si="0"/>
        <v>25.78242109999998</v>
      </c>
      <c r="I5" s="811">
        <f t="shared" si="0"/>
        <v>35.364000000000004</v>
      </c>
      <c r="J5" s="760"/>
      <c r="K5" s="760"/>
      <c r="L5" s="350"/>
      <c r="M5" s="350"/>
      <c r="N5" s="350"/>
      <c r="O5" s="350"/>
      <c r="P5" s="350"/>
      <c r="Q5" s="350"/>
      <c r="R5" s="350"/>
      <c r="S5" s="350"/>
      <c r="T5" s="350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P5" s="347"/>
      <c r="BQ5" s="368">
        <f>SUM(D5:F5)</f>
        <v>88</v>
      </c>
      <c r="BR5" s="373">
        <v>118.25757890000001</v>
      </c>
      <c r="BS5" s="755">
        <v>144.04</v>
      </c>
      <c r="BT5" s="799">
        <v>179.404</v>
      </c>
      <c r="DK5" s="830"/>
      <c r="DL5" s="831" t="s">
        <v>748</v>
      </c>
      <c r="DM5" s="829">
        <v>179.404228</v>
      </c>
      <c r="DN5" s="1"/>
    </row>
    <row r="6" spans="1:117" s="1" customFormat="1" ht="13.5" thickBot="1">
      <c r="A6" s="4"/>
      <c r="B6" s="424" t="s">
        <v>659</v>
      </c>
      <c r="C6" s="557">
        <f>SUM(C3:C5)</f>
        <v>627.698</v>
      </c>
      <c r="D6" s="359">
        <f>SUM(D3:D5)</f>
        <v>102</v>
      </c>
      <c r="E6" s="360">
        <f>SUM(E3:E5)</f>
        <v>97</v>
      </c>
      <c r="F6" s="360">
        <f>SUM(F3:F5)</f>
        <v>95</v>
      </c>
      <c r="G6" s="360">
        <f>SUM(G3:G5)</f>
        <v>102.97890670999998</v>
      </c>
      <c r="H6" s="361">
        <f aca="true" t="shared" si="1" ref="H6:BL6">SUM(H3:H5)</f>
        <v>85.58109329000004</v>
      </c>
      <c r="I6" s="812">
        <f t="shared" si="1"/>
        <v>145.13799999999998</v>
      </c>
      <c r="J6" s="360">
        <f t="shared" si="1"/>
        <v>0</v>
      </c>
      <c r="K6" s="360">
        <f t="shared" si="1"/>
        <v>0</v>
      </c>
      <c r="L6" s="351">
        <f t="shared" si="1"/>
        <v>0</v>
      </c>
      <c r="M6" s="351">
        <f t="shared" si="1"/>
        <v>0</v>
      </c>
      <c r="N6" s="351">
        <f t="shared" si="1"/>
        <v>0</v>
      </c>
      <c r="O6" s="351">
        <f t="shared" si="1"/>
        <v>0</v>
      </c>
      <c r="P6" s="351">
        <f t="shared" si="1"/>
        <v>0</v>
      </c>
      <c r="Q6" s="351">
        <f t="shared" si="1"/>
        <v>0</v>
      </c>
      <c r="R6" s="351">
        <f t="shared" si="1"/>
        <v>0</v>
      </c>
      <c r="S6" s="351">
        <f t="shared" si="1"/>
        <v>0</v>
      </c>
      <c r="T6" s="351">
        <f t="shared" si="1"/>
        <v>0</v>
      </c>
      <c r="U6" s="21">
        <f t="shared" si="1"/>
        <v>0</v>
      </c>
      <c r="V6" s="21">
        <f t="shared" si="1"/>
        <v>0</v>
      </c>
      <c r="W6" s="21">
        <f t="shared" si="1"/>
        <v>0</v>
      </c>
      <c r="X6" s="21">
        <f t="shared" si="1"/>
        <v>0</v>
      </c>
      <c r="Y6" s="21">
        <f t="shared" si="1"/>
        <v>0</v>
      </c>
      <c r="Z6" s="21">
        <f t="shared" si="1"/>
        <v>0</v>
      </c>
      <c r="AA6" s="21">
        <f t="shared" si="1"/>
        <v>0</v>
      </c>
      <c r="AB6" s="21">
        <f t="shared" si="1"/>
        <v>0</v>
      </c>
      <c r="AC6" s="21">
        <f t="shared" si="1"/>
        <v>0</v>
      </c>
      <c r="AD6" s="21">
        <f t="shared" si="1"/>
        <v>0</v>
      </c>
      <c r="AE6" s="21">
        <f t="shared" si="1"/>
        <v>0</v>
      </c>
      <c r="AF6" s="21">
        <f t="shared" si="1"/>
        <v>0</v>
      </c>
      <c r="AG6" s="21">
        <f t="shared" si="1"/>
        <v>0</v>
      </c>
      <c r="AH6" s="21">
        <f t="shared" si="1"/>
        <v>0</v>
      </c>
      <c r="AI6" s="21">
        <f t="shared" si="1"/>
        <v>0</v>
      </c>
      <c r="AJ6" s="21">
        <f t="shared" si="1"/>
        <v>0</v>
      </c>
      <c r="AK6" s="21">
        <f t="shared" si="1"/>
        <v>0</v>
      </c>
      <c r="AL6" s="21">
        <f t="shared" si="1"/>
        <v>0</v>
      </c>
      <c r="AM6" s="21">
        <f t="shared" si="1"/>
        <v>0</v>
      </c>
      <c r="AN6" s="21">
        <f t="shared" si="1"/>
        <v>0</v>
      </c>
      <c r="AO6" s="21">
        <f t="shared" si="1"/>
        <v>0</v>
      </c>
      <c r="AP6" s="21">
        <f t="shared" si="1"/>
        <v>0</v>
      </c>
      <c r="AQ6" s="21">
        <f t="shared" si="1"/>
        <v>0</v>
      </c>
      <c r="AR6" s="21">
        <f t="shared" si="1"/>
        <v>0</v>
      </c>
      <c r="AS6" s="21">
        <f t="shared" si="1"/>
        <v>0</v>
      </c>
      <c r="AT6" s="21">
        <f t="shared" si="1"/>
        <v>0</v>
      </c>
      <c r="AU6" s="21">
        <f t="shared" si="1"/>
        <v>0</v>
      </c>
      <c r="AV6" s="21">
        <f t="shared" si="1"/>
        <v>0</v>
      </c>
      <c r="AW6" s="21">
        <f t="shared" si="1"/>
        <v>0</v>
      </c>
      <c r="AX6" s="21">
        <f t="shared" si="1"/>
        <v>0</v>
      </c>
      <c r="AY6" s="21">
        <f t="shared" si="1"/>
        <v>0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 t="shared" si="1"/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>SUM(BM3:BM5)</f>
        <v>0</v>
      </c>
      <c r="BN6" s="21">
        <f>SUM(BN3:BN5)</f>
        <v>0</v>
      </c>
      <c r="BO6" s="21">
        <f>SUM(BO3:BO5)</f>
        <v>0</v>
      </c>
      <c r="BQ6" s="362">
        <f>SUM(BQ3:BQ5)</f>
        <v>294</v>
      </c>
      <c r="BR6" s="363">
        <f>SUM(BR3:BR5)</f>
        <v>396.97890671</v>
      </c>
      <c r="BS6" s="364">
        <f>SUM(BS3:BS5)</f>
        <v>482.56000000000006</v>
      </c>
      <c r="BT6" s="800">
        <f>SUM(BT3:BT5)</f>
        <v>627.698</v>
      </c>
      <c r="DK6" s="827" t="s">
        <v>749</v>
      </c>
      <c r="DL6" s="828"/>
      <c r="DM6" s="829">
        <f>SUM(DM3:DM5)</f>
        <v>627.69911536</v>
      </c>
    </row>
    <row r="7" spans="1:117" s="1" customFormat="1" ht="13.5" thickBot="1">
      <c r="A7" s="4"/>
      <c r="B7" s="4"/>
      <c r="C7" s="55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Q7" s="352"/>
      <c r="BR7" s="356"/>
      <c r="BS7" s="356"/>
      <c r="BT7" s="801"/>
      <c r="DK7" s="827"/>
      <c r="DL7" s="834"/>
      <c r="DM7" s="829"/>
    </row>
    <row r="8" spans="1:117" s="1" customFormat="1" ht="12.75">
      <c r="A8" s="558" t="s">
        <v>344</v>
      </c>
      <c r="B8" s="559" t="s">
        <v>373</v>
      </c>
      <c r="C8" s="573">
        <f aca="true" t="shared" si="2" ref="C8:C32">SUM(D8:I8)</f>
        <v>119.183</v>
      </c>
      <c r="D8" s="354"/>
      <c r="E8" s="355">
        <v>55</v>
      </c>
      <c r="F8" s="355">
        <v>9</v>
      </c>
      <c r="G8" s="371">
        <f aca="true" t="shared" si="3" ref="G8:I32">SUM(BR8-BQ8)</f>
        <v>4.489385999999996</v>
      </c>
      <c r="H8" s="815">
        <f t="shared" si="3"/>
        <v>14.540614000000005</v>
      </c>
      <c r="I8" s="809">
        <f t="shared" si="3"/>
        <v>36.153000000000006</v>
      </c>
      <c r="J8" s="761"/>
      <c r="K8" s="76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Q8" s="354">
        <f>SUM(D8:F8)</f>
        <v>64</v>
      </c>
      <c r="BR8" s="371">
        <v>68.489386</v>
      </c>
      <c r="BS8" s="367">
        <v>83.03</v>
      </c>
      <c r="BT8" s="802">
        <v>119.183</v>
      </c>
      <c r="DK8" s="827" t="s">
        <v>750</v>
      </c>
      <c r="DL8" s="827" t="s">
        <v>751</v>
      </c>
      <c r="DM8" s="829">
        <v>119.18358</v>
      </c>
    </row>
    <row r="9" spans="1:117" s="1" customFormat="1" ht="12.75">
      <c r="A9" s="560" t="s">
        <v>344</v>
      </c>
      <c r="B9" s="561" t="s">
        <v>374</v>
      </c>
      <c r="C9" s="574">
        <f t="shared" si="2"/>
        <v>-251.695</v>
      </c>
      <c r="D9" s="353">
        <v>-162</v>
      </c>
      <c r="E9" s="348"/>
      <c r="F9" s="348">
        <v>-90</v>
      </c>
      <c r="G9" s="372">
        <f t="shared" si="3"/>
        <v>0.30528000000001043</v>
      </c>
      <c r="H9" s="816">
        <f t="shared" si="3"/>
        <v>0.004719999999991842</v>
      </c>
      <c r="I9" s="810">
        <f t="shared" si="3"/>
        <v>-0.0049999999999954525</v>
      </c>
      <c r="J9" s="349"/>
      <c r="K9" s="34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Q9" s="353">
        <f aca="true" t="shared" si="4" ref="BQ9:BQ32">SUM(D9:F9)</f>
        <v>-252</v>
      </c>
      <c r="BR9" s="372">
        <v>-251.69472</v>
      </c>
      <c r="BS9" s="365">
        <v>-251.69</v>
      </c>
      <c r="BT9" s="803">
        <v>-251.695</v>
      </c>
      <c r="DK9" s="830"/>
      <c r="DL9" s="831" t="s">
        <v>752</v>
      </c>
      <c r="DM9" s="829">
        <v>-251.69472</v>
      </c>
    </row>
    <row r="10" spans="1:117" s="1" customFormat="1" ht="12.75">
      <c r="A10" s="560" t="s">
        <v>344</v>
      </c>
      <c r="B10" s="561" t="s">
        <v>375</v>
      </c>
      <c r="C10" s="574">
        <f t="shared" si="2"/>
        <v>203.968</v>
      </c>
      <c r="D10" s="353">
        <v>7</v>
      </c>
      <c r="E10" s="348">
        <v>33</v>
      </c>
      <c r="F10" s="348">
        <v>23</v>
      </c>
      <c r="G10" s="372">
        <f t="shared" si="3"/>
        <v>93.42675557000004</v>
      </c>
      <c r="H10" s="816">
        <f t="shared" si="3"/>
        <v>5.973244429999966</v>
      </c>
      <c r="I10" s="810">
        <f t="shared" si="3"/>
        <v>41.567999999999984</v>
      </c>
      <c r="J10" s="349"/>
      <c r="K10" s="34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Q10" s="353">
        <f t="shared" si="4"/>
        <v>63</v>
      </c>
      <c r="BR10" s="372">
        <v>156.42675557000004</v>
      </c>
      <c r="BS10" s="365">
        <v>162.4</v>
      </c>
      <c r="BT10" s="803">
        <v>203.968</v>
      </c>
      <c r="DK10" s="830"/>
      <c r="DL10" s="831" t="s">
        <v>753</v>
      </c>
      <c r="DM10" s="829">
        <v>203.96835467999998</v>
      </c>
    </row>
    <row r="11" spans="1:117" s="1" customFormat="1" ht="12.75">
      <c r="A11" s="560" t="s">
        <v>344</v>
      </c>
      <c r="B11" s="561" t="s">
        <v>378</v>
      </c>
      <c r="C11" s="574">
        <f t="shared" si="2"/>
        <v>589.7</v>
      </c>
      <c r="D11" s="353">
        <v>81</v>
      </c>
      <c r="E11" s="348">
        <v>77</v>
      </c>
      <c r="F11" s="348"/>
      <c r="G11" s="372">
        <f t="shared" si="3"/>
        <v>98.89707999999996</v>
      </c>
      <c r="H11" s="816">
        <f t="shared" si="3"/>
        <v>52.70292000000006</v>
      </c>
      <c r="I11" s="810">
        <f t="shared" si="3"/>
        <v>280.1</v>
      </c>
      <c r="J11" s="349"/>
      <c r="K11" s="34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Q11" s="353">
        <f t="shared" si="4"/>
        <v>158</v>
      </c>
      <c r="BR11" s="372">
        <v>256.89707999999996</v>
      </c>
      <c r="BS11" s="365">
        <v>309.6</v>
      </c>
      <c r="BT11" s="803">
        <v>589.7</v>
      </c>
      <c r="DK11" s="830"/>
      <c r="DL11" s="831" t="s">
        <v>743</v>
      </c>
      <c r="DM11" s="829">
        <v>589.7460375999999</v>
      </c>
    </row>
    <row r="12" spans="1:117" s="1" customFormat="1" ht="12.75">
      <c r="A12" s="560" t="s">
        <v>344</v>
      </c>
      <c r="B12" s="561" t="s">
        <v>376</v>
      </c>
      <c r="C12" s="574">
        <f t="shared" si="2"/>
        <v>1439.27</v>
      </c>
      <c r="D12" s="353">
        <v>236</v>
      </c>
      <c r="E12" s="348">
        <v>176</v>
      </c>
      <c r="F12" s="348">
        <v>299</v>
      </c>
      <c r="G12" s="372">
        <f t="shared" si="3"/>
        <v>235.22197012000015</v>
      </c>
      <c r="H12" s="816">
        <f t="shared" si="3"/>
        <v>237.77802987999985</v>
      </c>
      <c r="I12" s="810">
        <f t="shared" si="3"/>
        <v>255.26999999999998</v>
      </c>
      <c r="J12" s="349"/>
      <c r="K12" s="34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Q12" s="353">
        <f t="shared" si="4"/>
        <v>711</v>
      </c>
      <c r="BR12" s="372">
        <v>946.2219701200002</v>
      </c>
      <c r="BS12" s="365">
        <v>1184</v>
      </c>
      <c r="BT12" s="803">
        <v>1439.27</v>
      </c>
      <c r="DK12" s="830"/>
      <c r="DL12" s="831" t="s">
        <v>754</v>
      </c>
      <c r="DM12" s="829">
        <v>1439.2702487699999</v>
      </c>
    </row>
    <row r="13" spans="1:117" s="1" customFormat="1" ht="12.75">
      <c r="A13" s="560" t="s">
        <v>344</v>
      </c>
      <c r="B13" s="561" t="s">
        <v>377</v>
      </c>
      <c r="C13" s="574">
        <f t="shared" si="2"/>
        <v>168.318</v>
      </c>
      <c r="D13" s="353"/>
      <c r="E13" s="348">
        <v>18</v>
      </c>
      <c r="F13" s="348">
        <v>14</v>
      </c>
      <c r="G13" s="372">
        <f t="shared" si="3"/>
        <v>12.163189000000003</v>
      </c>
      <c r="H13" s="816">
        <f t="shared" si="3"/>
        <v>91.13681100000001</v>
      </c>
      <c r="I13" s="810">
        <f t="shared" si="3"/>
        <v>33.018</v>
      </c>
      <c r="J13" s="349"/>
      <c r="K13" s="34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Q13" s="353">
        <f t="shared" si="4"/>
        <v>32</v>
      </c>
      <c r="BR13" s="372">
        <v>44.163189</v>
      </c>
      <c r="BS13" s="365">
        <v>135.3</v>
      </c>
      <c r="BT13" s="803">
        <v>168.318</v>
      </c>
      <c r="DK13" s="830"/>
      <c r="DL13" s="831" t="s">
        <v>755</v>
      </c>
      <c r="DM13" s="829">
        <v>168.36650510000004</v>
      </c>
    </row>
    <row r="14" spans="1:117" s="1" customFormat="1" ht="12.75">
      <c r="A14" s="560" t="s">
        <v>344</v>
      </c>
      <c r="B14" s="561" t="s">
        <v>380</v>
      </c>
      <c r="C14" s="574">
        <f t="shared" si="2"/>
        <v>306.71</v>
      </c>
      <c r="D14" s="353">
        <v>64</v>
      </c>
      <c r="E14" s="348">
        <v>47</v>
      </c>
      <c r="F14" s="348">
        <v>47</v>
      </c>
      <c r="G14" s="372">
        <f t="shared" si="3"/>
        <v>52.11074851999996</v>
      </c>
      <c r="H14" s="816">
        <f t="shared" si="3"/>
        <v>42.53925148000005</v>
      </c>
      <c r="I14" s="810">
        <f t="shared" si="3"/>
        <v>54.059999999999974</v>
      </c>
      <c r="J14" s="349"/>
      <c r="K14" s="34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Q14" s="353">
        <f t="shared" si="4"/>
        <v>158</v>
      </c>
      <c r="BR14" s="372">
        <v>210.11074851999996</v>
      </c>
      <c r="BS14" s="387">
        <v>252.65</v>
      </c>
      <c r="BT14" s="803">
        <v>306.71</v>
      </c>
      <c r="DK14" s="830"/>
      <c r="DL14" s="831" t="s">
        <v>756</v>
      </c>
      <c r="DM14" s="829">
        <v>306.71776744000005</v>
      </c>
    </row>
    <row r="15" spans="1:117" s="1" customFormat="1" ht="12.75">
      <c r="A15" s="560" t="s">
        <v>344</v>
      </c>
      <c r="B15" s="561" t="s">
        <v>379</v>
      </c>
      <c r="C15" s="574">
        <f t="shared" si="2"/>
        <v>68.51</v>
      </c>
      <c r="D15" s="353"/>
      <c r="E15" s="348">
        <v>12</v>
      </c>
      <c r="F15" s="348">
        <v>42</v>
      </c>
      <c r="G15" s="372">
        <f t="shared" si="3"/>
        <v>10.088255999999987</v>
      </c>
      <c r="H15" s="816">
        <f t="shared" si="3"/>
        <v>4.21174400000001</v>
      </c>
      <c r="I15" s="810">
        <f t="shared" si="3"/>
        <v>0.21000000000000796</v>
      </c>
      <c r="J15" s="349"/>
      <c r="K15" s="34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Q15" s="353">
        <f t="shared" si="4"/>
        <v>54</v>
      </c>
      <c r="BR15" s="372">
        <v>64.08825599999999</v>
      </c>
      <c r="BS15" s="365">
        <v>68.3</v>
      </c>
      <c r="BT15" s="803">
        <v>68.51</v>
      </c>
      <c r="DK15" s="830"/>
      <c r="DL15" s="831" t="s">
        <v>757</v>
      </c>
      <c r="DM15" s="829">
        <v>68.515929</v>
      </c>
    </row>
    <row r="16" spans="1:117" s="1" customFormat="1" ht="12.75">
      <c r="A16" s="560" t="s">
        <v>344</v>
      </c>
      <c r="B16" s="561" t="s">
        <v>381</v>
      </c>
      <c r="C16" s="574">
        <f t="shared" si="2"/>
        <v>1293.547</v>
      </c>
      <c r="D16" s="353">
        <v>190</v>
      </c>
      <c r="E16" s="348">
        <v>193</v>
      </c>
      <c r="F16" s="348">
        <v>267</v>
      </c>
      <c r="G16" s="372">
        <f t="shared" si="3"/>
        <v>204.5431206200002</v>
      </c>
      <c r="H16" s="816">
        <f t="shared" si="3"/>
        <v>251.9568793799998</v>
      </c>
      <c r="I16" s="810">
        <f t="shared" si="3"/>
        <v>187.04700000000003</v>
      </c>
      <c r="J16" s="349"/>
      <c r="K16" s="34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Q16" s="353">
        <f t="shared" si="4"/>
        <v>650</v>
      </c>
      <c r="BR16" s="372">
        <v>854.5431206200002</v>
      </c>
      <c r="BS16" s="755">
        <v>1106.5</v>
      </c>
      <c r="BT16" s="803">
        <v>1293.547</v>
      </c>
      <c r="DK16" s="830"/>
      <c r="DL16" s="831" t="s">
        <v>758</v>
      </c>
      <c r="DM16" s="829">
        <v>1293.57996257</v>
      </c>
    </row>
    <row r="17" spans="1:117" s="1" customFormat="1" ht="12.75">
      <c r="A17" s="560" t="s">
        <v>344</v>
      </c>
      <c r="B17" s="561" t="s">
        <v>382</v>
      </c>
      <c r="C17" s="574">
        <f t="shared" si="2"/>
        <v>0</v>
      </c>
      <c r="D17" s="353"/>
      <c r="E17" s="348"/>
      <c r="F17" s="348"/>
      <c r="G17" s="372">
        <f t="shared" si="3"/>
        <v>0</v>
      </c>
      <c r="H17" s="816">
        <f t="shared" si="3"/>
        <v>0</v>
      </c>
      <c r="I17" s="810">
        <f t="shared" si="3"/>
        <v>0</v>
      </c>
      <c r="J17" s="349"/>
      <c r="K17" s="34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Q17" s="353">
        <f t="shared" si="4"/>
        <v>0</v>
      </c>
      <c r="BR17" s="372">
        <v>0</v>
      </c>
      <c r="BS17" s="387">
        <v>0</v>
      </c>
      <c r="BT17" s="803"/>
      <c r="DK17" s="830"/>
      <c r="DL17" s="831" t="s">
        <v>759</v>
      </c>
      <c r="DM17" s="829">
        <v>0</v>
      </c>
    </row>
    <row r="18" spans="1:117" s="1" customFormat="1" ht="12.75">
      <c r="A18" s="560" t="s">
        <v>344</v>
      </c>
      <c r="B18" s="561" t="s">
        <v>383</v>
      </c>
      <c r="C18" s="574">
        <f t="shared" si="2"/>
        <v>0</v>
      </c>
      <c r="D18" s="353"/>
      <c r="E18" s="348"/>
      <c r="F18" s="348"/>
      <c r="G18" s="372">
        <f t="shared" si="3"/>
        <v>0</v>
      </c>
      <c r="H18" s="816">
        <f t="shared" si="3"/>
        <v>0</v>
      </c>
      <c r="I18" s="810">
        <f t="shared" si="3"/>
        <v>0</v>
      </c>
      <c r="J18" s="349"/>
      <c r="K18" s="34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N18" s="1" t="s">
        <v>186</v>
      </c>
      <c r="BQ18" s="353">
        <f t="shared" si="4"/>
        <v>0</v>
      </c>
      <c r="BR18" s="372">
        <v>0</v>
      </c>
      <c r="BS18" s="365">
        <v>0</v>
      </c>
      <c r="BT18" s="803"/>
      <c r="DK18" s="830"/>
      <c r="DL18" s="831" t="s">
        <v>760</v>
      </c>
      <c r="DM18" s="829">
        <v>0</v>
      </c>
    </row>
    <row r="19" spans="1:117" s="1" customFormat="1" ht="12.75">
      <c r="A19" s="560" t="s">
        <v>344</v>
      </c>
      <c r="B19" s="561" t="s">
        <v>384</v>
      </c>
      <c r="C19" s="574">
        <f t="shared" si="2"/>
        <v>0</v>
      </c>
      <c r="D19" s="353"/>
      <c r="E19" s="348"/>
      <c r="F19" s="348"/>
      <c r="G19" s="372">
        <f t="shared" si="3"/>
        <v>0</v>
      </c>
      <c r="H19" s="816">
        <f t="shared" si="3"/>
        <v>0</v>
      </c>
      <c r="I19" s="810">
        <f t="shared" si="3"/>
        <v>0</v>
      </c>
      <c r="J19" s="349"/>
      <c r="K19" s="34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Q19" s="353">
        <f t="shared" si="4"/>
        <v>0</v>
      </c>
      <c r="BR19" s="372">
        <v>0</v>
      </c>
      <c r="BS19" s="365">
        <v>0</v>
      </c>
      <c r="BT19" s="803"/>
      <c r="DK19" s="830"/>
      <c r="DL19" s="831" t="s">
        <v>761</v>
      </c>
      <c r="DM19" s="829">
        <v>0</v>
      </c>
    </row>
    <row r="20" spans="1:117" s="1" customFormat="1" ht="12.75">
      <c r="A20" s="560" t="s">
        <v>344</v>
      </c>
      <c r="B20" s="561" t="s">
        <v>385</v>
      </c>
      <c r="C20" s="574">
        <f t="shared" si="2"/>
        <v>146.533</v>
      </c>
      <c r="D20" s="353">
        <v>12</v>
      </c>
      <c r="E20" s="348">
        <v>42</v>
      </c>
      <c r="F20" s="348">
        <v>54</v>
      </c>
      <c r="G20" s="372">
        <f t="shared" si="3"/>
        <v>30.939999999999998</v>
      </c>
      <c r="H20" s="816">
        <f t="shared" si="3"/>
        <v>5.481071660000026</v>
      </c>
      <c r="I20" s="810">
        <f t="shared" si="3"/>
        <v>2.111928339999963</v>
      </c>
      <c r="J20" s="349"/>
      <c r="K20" s="34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Q20" s="353">
        <f t="shared" si="4"/>
        <v>108</v>
      </c>
      <c r="BR20" s="372">
        <v>138.94</v>
      </c>
      <c r="BS20" s="365">
        <v>144.42107166000002</v>
      </c>
      <c r="BT20" s="803">
        <v>146.533</v>
      </c>
      <c r="DK20" s="830"/>
      <c r="DL20" s="831" t="s">
        <v>762</v>
      </c>
      <c r="DM20" s="829">
        <v>146.53340056000002</v>
      </c>
    </row>
    <row r="21" spans="1:117" s="1" customFormat="1" ht="12.75">
      <c r="A21" s="560" t="s">
        <v>344</v>
      </c>
      <c r="B21" s="561" t="s">
        <v>386</v>
      </c>
      <c r="C21" s="574">
        <f t="shared" si="2"/>
        <v>0</v>
      </c>
      <c r="D21" s="353"/>
      <c r="E21" s="348"/>
      <c r="F21" s="348"/>
      <c r="G21" s="372">
        <f t="shared" si="3"/>
        <v>0</v>
      </c>
      <c r="H21" s="816">
        <f t="shared" si="3"/>
        <v>0</v>
      </c>
      <c r="I21" s="810">
        <f t="shared" si="3"/>
        <v>0</v>
      </c>
      <c r="J21" s="349"/>
      <c r="K21" s="34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Q21" s="353">
        <f t="shared" si="4"/>
        <v>0</v>
      </c>
      <c r="BR21" s="372">
        <v>0</v>
      </c>
      <c r="BS21" s="365">
        <v>0</v>
      </c>
      <c r="BT21" s="803"/>
      <c r="DK21" s="830"/>
      <c r="DL21" s="831" t="s">
        <v>763</v>
      </c>
      <c r="DM21" s="829">
        <v>0</v>
      </c>
    </row>
    <row r="22" spans="1:117" s="1" customFormat="1" ht="12.75">
      <c r="A22" s="560" t="s">
        <v>344</v>
      </c>
      <c r="B22" s="561" t="s">
        <v>387</v>
      </c>
      <c r="C22" s="574">
        <f t="shared" si="2"/>
        <v>0</v>
      </c>
      <c r="D22" s="353"/>
      <c r="E22" s="348"/>
      <c r="F22" s="348"/>
      <c r="G22" s="372">
        <f t="shared" si="3"/>
        <v>0</v>
      </c>
      <c r="H22" s="816">
        <f t="shared" si="3"/>
        <v>0</v>
      </c>
      <c r="I22" s="810">
        <f t="shared" si="3"/>
        <v>0</v>
      </c>
      <c r="J22" s="349"/>
      <c r="K22" s="3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Q22" s="353">
        <f t="shared" si="4"/>
        <v>0</v>
      </c>
      <c r="BR22" s="372">
        <v>0</v>
      </c>
      <c r="BS22" s="365">
        <v>0</v>
      </c>
      <c r="BT22" s="803"/>
      <c r="DK22" s="830"/>
      <c r="DL22" s="831" t="s">
        <v>764</v>
      </c>
      <c r="DM22" s="829">
        <v>0</v>
      </c>
    </row>
    <row r="23" spans="1:117" s="1" customFormat="1" ht="12.75">
      <c r="A23" s="560" t="s">
        <v>344</v>
      </c>
      <c r="B23" s="561" t="s">
        <v>388</v>
      </c>
      <c r="C23" s="574">
        <f t="shared" si="2"/>
        <v>14.048</v>
      </c>
      <c r="D23" s="353">
        <v>2</v>
      </c>
      <c r="E23" s="348">
        <v>2</v>
      </c>
      <c r="F23" s="348">
        <v>2</v>
      </c>
      <c r="G23" s="372">
        <f t="shared" si="3"/>
        <v>3.3261002400000006</v>
      </c>
      <c r="H23" s="816">
        <f t="shared" si="3"/>
        <v>2.0333397600000005</v>
      </c>
      <c r="I23" s="810">
        <f t="shared" si="3"/>
        <v>2.688559999999999</v>
      </c>
      <c r="J23" s="349"/>
      <c r="K23" s="34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Q23" s="353">
        <f t="shared" si="4"/>
        <v>6</v>
      </c>
      <c r="BR23" s="372">
        <v>9.32610024</v>
      </c>
      <c r="BS23" s="365">
        <v>11.359440000000001</v>
      </c>
      <c r="BT23" s="803">
        <v>14.048</v>
      </c>
      <c r="DK23" s="830"/>
      <c r="DL23" s="831" t="s">
        <v>765</v>
      </c>
      <c r="DM23" s="829">
        <v>14.048448200000001</v>
      </c>
    </row>
    <row r="24" spans="1:117" s="1" customFormat="1" ht="12.75">
      <c r="A24" s="560" t="s">
        <v>344</v>
      </c>
      <c r="B24" s="561" t="s">
        <v>389</v>
      </c>
      <c r="C24" s="574">
        <f t="shared" si="2"/>
        <v>0</v>
      </c>
      <c r="D24" s="353"/>
      <c r="E24" s="348"/>
      <c r="F24" s="348"/>
      <c r="G24" s="372">
        <f t="shared" si="3"/>
        <v>0</v>
      </c>
      <c r="H24" s="816">
        <f t="shared" si="3"/>
        <v>0</v>
      </c>
      <c r="I24" s="810">
        <f t="shared" si="3"/>
        <v>0</v>
      </c>
      <c r="J24" s="349"/>
      <c r="K24" s="34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Q24" s="353">
        <f t="shared" si="4"/>
        <v>0</v>
      </c>
      <c r="BR24" s="372">
        <v>0</v>
      </c>
      <c r="BS24" s="365">
        <v>0</v>
      </c>
      <c r="BT24" s="803"/>
      <c r="DK24" s="830"/>
      <c r="DL24" s="831" t="s">
        <v>766</v>
      </c>
      <c r="DM24" s="829">
        <v>0</v>
      </c>
    </row>
    <row r="25" spans="1:117" s="1" customFormat="1" ht="12.75">
      <c r="A25" s="560" t="s">
        <v>344</v>
      </c>
      <c r="B25" s="561" t="s">
        <v>390</v>
      </c>
      <c r="C25" s="574">
        <f t="shared" si="2"/>
        <v>0</v>
      </c>
      <c r="D25" s="353"/>
      <c r="E25" s="348"/>
      <c r="F25" s="348"/>
      <c r="G25" s="372">
        <f t="shared" si="3"/>
        <v>0</v>
      </c>
      <c r="H25" s="816">
        <f t="shared" si="3"/>
        <v>0</v>
      </c>
      <c r="I25" s="810">
        <f t="shared" si="3"/>
        <v>0</v>
      </c>
      <c r="J25" s="349"/>
      <c r="K25" s="3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Q25" s="353">
        <f t="shared" si="4"/>
        <v>0</v>
      </c>
      <c r="BR25" s="372">
        <v>0</v>
      </c>
      <c r="BS25" s="365">
        <v>0</v>
      </c>
      <c r="BT25" s="803"/>
      <c r="DK25" s="830"/>
      <c r="DL25" s="831" t="s">
        <v>767</v>
      </c>
      <c r="DM25" s="829">
        <v>0</v>
      </c>
    </row>
    <row r="26" spans="1:117" s="1" customFormat="1" ht="12.75">
      <c r="A26" s="560" t="s">
        <v>344</v>
      </c>
      <c r="B26" s="561" t="s">
        <v>391</v>
      </c>
      <c r="C26" s="574">
        <f t="shared" si="2"/>
        <v>0</v>
      </c>
      <c r="D26" s="353"/>
      <c r="E26" s="348"/>
      <c r="F26" s="348"/>
      <c r="G26" s="372">
        <f t="shared" si="3"/>
        <v>0</v>
      </c>
      <c r="H26" s="816">
        <f t="shared" si="3"/>
        <v>0</v>
      </c>
      <c r="I26" s="810">
        <f t="shared" si="3"/>
        <v>0</v>
      </c>
      <c r="J26" s="349"/>
      <c r="K26" s="349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Q26" s="353">
        <f t="shared" si="4"/>
        <v>0</v>
      </c>
      <c r="BR26" s="372">
        <v>0</v>
      </c>
      <c r="BS26" s="365">
        <v>0</v>
      </c>
      <c r="BT26" s="803"/>
      <c r="DK26" s="830"/>
      <c r="DL26" s="831" t="s">
        <v>768</v>
      </c>
      <c r="DM26" s="829">
        <v>0</v>
      </c>
    </row>
    <row r="27" spans="1:117" s="1" customFormat="1" ht="12.75">
      <c r="A27" s="560" t="s">
        <v>344</v>
      </c>
      <c r="B27" s="561" t="s">
        <v>392</v>
      </c>
      <c r="C27" s="574">
        <f t="shared" si="2"/>
        <v>0</v>
      </c>
      <c r="D27" s="353"/>
      <c r="E27" s="348"/>
      <c r="F27" s="348"/>
      <c r="G27" s="372">
        <f t="shared" si="3"/>
        <v>0</v>
      </c>
      <c r="H27" s="816">
        <f t="shared" si="3"/>
        <v>0</v>
      </c>
      <c r="I27" s="810">
        <f t="shared" si="3"/>
        <v>0</v>
      </c>
      <c r="J27" s="349"/>
      <c r="K27" s="34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Q27" s="353">
        <f t="shared" si="4"/>
        <v>0</v>
      </c>
      <c r="BR27" s="372">
        <v>0</v>
      </c>
      <c r="BS27" s="365">
        <v>0</v>
      </c>
      <c r="BT27" s="803"/>
      <c r="DK27" s="830"/>
      <c r="DL27" s="831" t="s">
        <v>769</v>
      </c>
      <c r="DM27" s="829">
        <v>0</v>
      </c>
    </row>
    <row r="28" spans="1:117" s="1" customFormat="1" ht="12.75">
      <c r="A28" s="560" t="s">
        <v>344</v>
      </c>
      <c r="B28" s="561" t="s">
        <v>393</v>
      </c>
      <c r="C28" s="574">
        <f t="shared" si="2"/>
        <v>2.614</v>
      </c>
      <c r="D28" s="353"/>
      <c r="E28" s="348">
        <v>1</v>
      </c>
      <c r="F28" s="348">
        <v>2</v>
      </c>
      <c r="G28" s="372">
        <f t="shared" si="3"/>
        <v>-0.4467179999999997</v>
      </c>
      <c r="H28" s="816">
        <f t="shared" si="3"/>
        <v>-0.0032820000000004512</v>
      </c>
      <c r="I28" s="810">
        <f t="shared" si="3"/>
        <v>0.06400000000000006</v>
      </c>
      <c r="J28" s="349"/>
      <c r="K28" s="349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Q28" s="353">
        <f t="shared" si="4"/>
        <v>3</v>
      </c>
      <c r="BR28" s="372">
        <v>2.5532820000000003</v>
      </c>
      <c r="BS28" s="365">
        <v>2.55</v>
      </c>
      <c r="BT28" s="803">
        <v>2.614</v>
      </c>
      <c r="DK28" s="830"/>
      <c r="DL28" s="831" t="s">
        <v>770</v>
      </c>
      <c r="DM28" s="829">
        <v>2.614887</v>
      </c>
    </row>
    <row r="29" spans="1:117" s="1" customFormat="1" ht="12.75">
      <c r="A29" s="560" t="s">
        <v>344</v>
      </c>
      <c r="B29" s="561" t="s">
        <v>394</v>
      </c>
      <c r="C29" s="574">
        <f t="shared" si="2"/>
        <v>-306.2</v>
      </c>
      <c r="D29" s="353">
        <v>-308</v>
      </c>
      <c r="E29" s="348"/>
      <c r="F29" s="348"/>
      <c r="G29" s="372">
        <f t="shared" si="3"/>
        <v>-0.30000000000001137</v>
      </c>
      <c r="H29" s="816">
        <f t="shared" si="3"/>
        <v>0</v>
      </c>
      <c r="I29" s="810">
        <f t="shared" si="3"/>
        <v>2.1000000000000227</v>
      </c>
      <c r="J29" s="349"/>
      <c r="K29" s="34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Q29" s="353">
        <f t="shared" si="4"/>
        <v>-308</v>
      </c>
      <c r="BR29" s="372">
        <v>-308.3</v>
      </c>
      <c r="BS29" s="365">
        <v>-308.3</v>
      </c>
      <c r="BT29" s="803">
        <v>-306.2</v>
      </c>
      <c r="DK29" s="830"/>
      <c r="DL29" s="831" t="s">
        <v>771</v>
      </c>
      <c r="DM29" s="829">
        <v>-306.1946539</v>
      </c>
    </row>
    <row r="30" spans="1:117" s="1" customFormat="1" ht="12.75">
      <c r="A30" s="560" t="s">
        <v>344</v>
      </c>
      <c r="B30" s="561" t="s">
        <v>395</v>
      </c>
      <c r="C30" s="574">
        <f t="shared" si="2"/>
        <v>0</v>
      </c>
      <c r="D30" s="353"/>
      <c r="E30" s="348"/>
      <c r="F30" s="348"/>
      <c r="G30" s="372">
        <f t="shared" si="3"/>
        <v>0</v>
      </c>
      <c r="H30" s="816">
        <f t="shared" si="3"/>
        <v>0</v>
      </c>
      <c r="I30" s="810">
        <f t="shared" si="3"/>
        <v>0</v>
      </c>
      <c r="J30" s="349"/>
      <c r="K30" s="34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Q30" s="353">
        <f t="shared" si="4"/>
        <v>0</v>
      </c>
      <c r="BR30" s="372">
        <v>0</v>
      </c>
      <c r="BS30" s="365">
        <v>0</v>
      </c>
      <c r="BT30" s="803"/>
      <c r="DK30" s="830"/>
      <c r="DL30" s="831" t="s">
        <v>772</v>
      </c>
      <c r="DM30" s="829">
        <v>0</v>
      </c>
    </row>
    <row r="31" spans="1:117" s="1" customFormat="1" ht="13.5" thickBot="1">
      <c r="A31" s="560" t="s">
        <v>344</v>
      </c>
      <c r="B31" s="561" t="s">
        <v>396</v>
      </c>
      <c r="C31" s="574">
        <f t="shared" si="2"/>
        <v>0</v>
      </c>
      <c r="D31" s="353"/>
      <c r="E31" s="348"/>
      <c r="F31" s="348"/>
      <c r="G31" s="372">
        <f t="shared" si="3"/>
        <v>0</v>
      </c>
      <c r="H31" s="816">
        <f t="shared" si="3"/>
        <v>0</v>
      </c>
      <c r="I31" s="810">
        <f t="shared" si="3"/>
        <v>0</v>
      </c>
      <c r="J31" s="349"/>
      <c r="K31" s="3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Q31" s="368">
        <f t="shared" si="4"/>
        <v>0</v>
      </c>
      <c r="BR31" s="373">
        <v>0</v>
      </c>
      <c r="BS31" s="759">
        <v>0</v>
      </c>
      <c r="BT31" s="803"/>
      <c r="DK31" s="830"/>
      <c r="DL31" s="831" t="s">
        <v>773</v>
      </c>
      <c r="DM31" s="829">
        <v>0</v>
      </c>
    </row>
    <row r="32" spans="1:117" s="20" customFormat="1" ht="13.5" thickBot="1">
      <c r="A32" s="562" t="s">
        <v>344</v>
      </c>
      <c r="B32" s="563" t="s">
        <v>397</v>
      </c>
      <c r="C32" s="575">
        <f t="shared" si="2"/>
        <v>0</v>
      </c>
      <c r="D32" s="357"/>
      <c r="E32" s="358"/>
      <c r="F32" s="358"/>
      <c r="G32" s="374">
        <f t="shared" si="3"/>
        <v>0</v>
      </c>
      <c r="H32" s="818">
        <f t="shared" si="3"/>
        <v>0</v>
      </c>
      <c r="I32" s="813">
        <f t="shared" si="3"/>
        <v>0</v>
      </c>
      <c r="J32" s="760"/>
      <c r="K32" s="76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Q32" s="756">
        <f t="shared" si="4"/>
        <v>0</v>
      </c>
      <c r="BR32" s="757">
        <v>0</v>
      </c>
      <c r="BS32" s="758">
        <v>0</v>
      </c>
      <c r="BT32" s="804"/>
      <c r="BU32" s="20" t="s">
        <v>186</v>
      </c>
      <c r="DK32" s="830"/>
      <c r="DL32" s="831" t="s">
        <v>774</v>
      </c>
      <c r="DM32" s="829">
        <v>0</v>
      </c>
    </row>
    <row r="33" spans="1:117" s="1" customFormat="1" ht="13.5" thickBot="1">
      <c r="A33" s="4"/>
      <c r="B33" s="424" t="s">
        <v>660</v>
      </c>
      <c r="C33" s="557">
        <f>SUM(C8:C32)</f>
        <v>3794.5060000000003</v>
      </c>
      <c r="D33" s="359">
        <f>SUM(D8:D32)</f>
        <v>122</v>
      </c>
      <c r="E33" s="360">
        <f>SUM(E8:E32)</f>
        <v>656</v>
      </c>
      <c r="F33" s="360">
        <f>SUM(F8:F32)</f>
        <v>669</v>
      </c>
      <c r="G33" s="360">
        <f aca="true" t="shared" si="5" ref="G33:BA33">SUM(G8:G32)</f>
        <v>744.7651680700003</v>
      </c>
      <c r="H33" s="361">
        <f t="shared" si="5"/>
        <v>708.3553435899997</v>
      </c>
      <c r="I33" s="814">
        <f t="shared" si="5"/>
        <v>894.38548834</v>
      </c>
      <c r="J33" s="360">
        <f t="shared" si="5"/>
        <v>0</v>
      </c>
      <c r="K33" s="360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0</v>
      </c>
      <c r="O33" s="21">
        <f t="shared" si="5"/>
        <v>0</v>
      </c>
      <c r="P33" s="21">
        <f t="shared" si="5"/>
        <v>0</v>
      </c>
      <c r="Q33" s="21">
        <f t="shared" si="5"/>
        <v>0</v>
      </c>
      <c r="R33" s="21">
        <f t="shared" si="5"/>
        <v>0</v>
      </c>
      <c r="S33" s="21">
        <f t="shared" si="5"/>
        <v>0</v>
      </c>
      <c r="T33" s="21">
        <f t="shared" si="5"/>
        <v>0</v>
      </c>
      <c r="U33" s="21">
        <f t="shared" si="5"/>
        <v>0</v>
      </c>
      <c r="V33" s="21">
        <f t="shared" si="5"/>
        <v>0</v>
      </c>
      <c r="W33" s="21">
        <f t="shared" si="5"/>
        <v>0</v>
      </c>
      <c r="X33" s="21">
        <f t="shared" si="5"/>
        <v>0</v>
      </c>
      <c r="Y33" s="21">
        <f t="shared" si="5"/>
        <v>0</v>
      </c>
      <c r="Z33" s="21">
        <f t="shared" si="5"/>
        <v>0</v>
      </c>
      <c r="AA33" s="21">
        <f t="shared" si="5"/>
        <v>0</v>
      </c>
      <c r="AB33" s="21">
        <f t="shared" si="5"/>
        <v>0</v>
      </c>
      <c r="AC33" s="21">
        <f t="shared" si="5"/>
        <v>0</v>
      </c>
      <c r="AD33" s="21">
        <f t="shared" si="5"/>
        <v>0</v>
      </c>
      <c r="AE33" s="21">
        <f t="shared" si="5"/>
        <v>0</v>
      </c>
      <c r="AF33" s="21">
        <f t="shared" si="5"/>
        <v>0</v>
      </c>
      <c r="AG33" s="21">
        <f t="shared" si="5"/>
        <v>0</v>
      </c>
      <c r="AH33" s="21">
        <f t="shared" si="5"/>
        <v>0</v>
      </c>
      <c r="AI33" s="21">
        <f t="shared" si="5"/>
        <v>0</v>
      </c>
      <c r="AJ33" s="21">
        <f t="shared" si="5"/>
        <v>0</v>
      </c>
      <c r="AK33" s="21">
        <f t="shared" si="5"/>
        <v>0</v>
      </c>
      <c r="AL33" s="21">
        <f t="shared" si="5"/>
        <v>0</v>
      </c>
      <c r="AM33" s="21">
        <f t="shared" si="5"/>
        <v>0</v>
      </c>
      <c r="AN33" s="21">
        <f t="shared" si="5"/>
        <v>0</v>
      </c>
      <c r="AO33" s="21">
        <f t="shared" si="5"/>
        <v>0</v>
      </c>
      <c r="AP33" s="21">
        <f t="shared" si="5"/>
        <v>0</v>
      </c>
      <c r="AQ33" s="21">
        <f t="shared" si="5"/>
        <v>0</v>
      </c>
      <c r="AR33" s="21">
        <f t="shared" si="5"/>
        <v>0</v>
      </c>
      <c r="AS33" s="21">
        <f t="shared" si="5"/>
        <v>0</v>
      </c>
      <c r="AT33" s="21">
        <f t="shared" si="5"/>
        <v>0</v>
      </c>
      <c r="AU33" s="21">
        <f t="shared" si="5"/>
        <v>0</v>
      </c>
      <c r="AV33" s="21">
        <f t="shared" si="5"/>
        <v>0</v>
      </c>
      <c r="AW33" s="21">
        <f t="shared" si="5"/>
        <v>0</v>
      </c>
      <c r="AX33" s="21">
        <f t="shared" si="5"/>
        <v>0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4"/>
      <c r="BC33" s="4"/>
      <c r="BD33" s="4"/>
      <c r="BE33" s="4"/>
      <c r="BF33" s="4"/>
      <c r="BG33" s="4"/>
      <c r="BH33" s="4"/>
      <c r="BI33" s="4"/>
      <c r="BQ33" s="362">
        <f>SUM(BQ8:BQ32)</f>
        <v>1447</v>
      </c>
      <c r="BR33" s="363">
        <f>SUM(BR8:BR32)</f>
        <v>2191.76516807</v>
      </c>
      <c r="BS33" s="364">
        <f>SUM(BS8:BS32)</f>
        <v>2900.1205116600004</v>
      </c>
      <c r="BT33" s="805">
        <f>SUM(BT8:BT32)</f>
        <v>3794.5060000000003</v>
      </c>
      <c r="DK33" s="827" t="s">
        <v>775</v>
      </c>
      <c r="DL33" s="828"/>
      <c r="DM33" s="829">
        <f>SUM(DM8:DM32)</f>
        <v>3794.6557470199996</v>
      </c>
    </row>
    <row r="34" spans="1:117" s="1" customFormat="1" ht="13.5" thickBot="1">
      <c r="A34" s="4"/>
      <c r="B34" s="375"/>
      <c r="C34" s="55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Q34" s="352"/>
      <c r="BR34" s="356"/>
      <c r="BS34" s="356"/>
      <c r="BT34" s="801"/>
      <c r="DK34" s="827"/>
      <c r="DL34" s="834"/>
      <c r="DM34" s="829"/>
    </row>
    <row r="35" spans="1:117" s="1" customFormat="1" ht="12.75">
      <c r="A35" s="558" t="s">
        <v>345</v>
      </c>
      <c r="B35" s="559" t="s">
        <v>348</v>
      </c>
      <c r="C35" s="573">
        <f aca="true" t="shared" si="6" ref="C35:C60">SUM(D35:I35)</f>
        <v>61.085</v>
      </c>
      <c r="D35" s="354">
        <v>5</v>
      </c>
      <c r="E35" s="355"/>
      <c r="F35" s="355"/>
      <c r="G35" s="371">
        <f aca="true" t="shared" si="7" ref="G35:I60">SUM(BR35-BQ35)</f>
        <v>42.332460999999995</v>
      </c>
      <c r="H35" s="815">
        <f t="shared" si="7"/>
        <v>13.017539000000006</v>
      </c>
      <c r="I35" s="809">
        <f t="shared" si="7"/>
        <v>0.7349999999999994</v>
      </c>
      <c r="J35" s="761"/>
      <c r="K35" s="76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Q35" s="354">
        <f>SUM(D35:F35)</f>
        <v>5</v>
      </c>
      <c r="BR35" s="371">
        <v>47.332460999999995</v>
      </c>
      <c r="BS35" s="367">
        <v>60.35</v>
      </c>
      <c r="BT35" s="806">
        <v>61.085</v>
      </c>
      <c r="DK35" s="827" t="s">
        <v>776</v>
      </c>
      <c r="DL35" s="827" t="s">
        <v>777</v>
      </c>
      <c r="DM35" s="829">
        <v>61.284673</v>
      </c>
    </row>
    <row r="36" spans="1:117" s="1" customFormat="1" ht="12.75">
      <c r="A36" s="560" t="s">
        <v>345</v>
      </c>
      <c r="B36" s="561" t="s">
        <v>349</v>
      </c>
      <c r="C36" s="574">
        <f t="shared" si="6"/>
        <v>0</v>
      </c>
      <c r="D36" s="353"/>
      <c r="E36" s="348"/>
      <c r="F36" s="348"/>
      <c r="G36" s="372">
        <f t="shared" si="7"/>
        <v>0</v>
      </c>
      <c r="H36" s="816">
        <f t="shared" si="7"/>
        <v>0</v>
      </c>
      <c r="I36" s="810">
        <f t="shared" si="7"/>
        <v>0</v>
      </c>
      <c r="J36" s="349"/>
      <c r="K36" s="34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Q36" s="353">
        <f aca="true" t="shared" si="8" ref="BQ36:BQ60">SUM(D36:F36)</f>
        <v>0</v>
      </c>
      <c r="BR36" s="372">
        <v>0</v>
      </c>
      <c r="BS36" s="365">
        <v>0</v>
      </c>
      <c r="BT36" s="807"/>
      <c r="DK36" s="830"/>
      <c r="DL36" s="831" t="s">
        <v>778</v>
      </c>
      <c r="DM36" s="829">
        <v>0</v>
      </c>
    </row>
    <row r="37" spans="1:117" s="1" customFormat="1" ht="12.75">
      <c r="A37" s="560" t="s">
        <v>345</v>
      </c>
      <c r="B37" s="561" t="s">
        <v>350</v>
      </c>
      <c r="C37" s="574">
        <f t="shared" si="6"/>
        <v>0</v>
      </c>
      <c r="D37" s="353"/>
      <c r="E37" s="348"/>
      <c r="F37" s="348"/>
      <c r="G37" s="372">
        <f t="shared" si="7"/>
        <v>0</v>
      </c>
      <c r="H37" s="816">
        <f t="shared" si="7"/>
        <v>0</v>
      </c>
      <c r="I37" s="810">
        <f t="shared" si="7"/>
        <v>0</v>
      </c>
      <c r="J37" s="349"/>
      <c r="K37" s="34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Q37" s="353">
        <f t="shared" si="8"/>
        <v>0</v>
      </c>
      <c r="BR37" s="372">
        <v>0</v>
      </c>
      <c r="BS37" s="365">
        <v>0</v>
      </c>
      <c r="BT37" s="807"/>
      <c r="DK37" s="830"/>
      <c r="DL37" s="831" t="s">
        <v>779</v>
      </c>
      <c r="DM37" s="829">
        <v>0</v>
      </c>
    </row>
    <row r="38" spans="1:117" s="1" customFormat="1" ht="12.75">
      <c r="A38" s="560" t="s">
        <v>345</v>
      </c>
      <c r="B38" s="561" t="s">
        <v>351</v>
      </c>
      <c r="C38" s="574">
        <f t="shared" si="6"/>
        <v>0</v>
      </c>
      <c r="D38" s="353"/>
      <c r="E38" s="348"/>
      <c r="F38" s="348"/>
      <c r="G38" s="372">
        <f t="shared" si="7"/>
        <v>0</v>
      </c>
      <c r="H38" s="816">
        <f t="shared" si="7"/>
        <v>0</v>
      </c>
      <c r="I38" s="810">
        <f t="shared" si="7"/>
        <v>0</v>
      </c>
      <c r="J38" s="349"/>
      <c r="K38" s="34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Q38" s="353">
        <f t="shared" si="8"/>
        <v>0</v>
      </c>
      <c r="BR38" s="372">
        <v>0</v>
      </c>
      <c r="BS38" s="365">
        <v>0</v>
      </c>
      <c r="BT38" s="807"/>
      <c r="DK38" s="830"/>
      <c r="DL38" s="831" t="s">
        <v>780</v>
      </c>
      <c r="DM38" s="829">
        <v>0</v>
      </c>
    </row>
    <row r="39" spans="1:117" s="1" customFormat="1" ht="12.75">
      <c r="A39" s="560" t="s">
        <v>345</v>
      </c>
      <c r="B39" s="561" t="s">
        <v>352</v>
      </c>
      <c r="C39" s="574">
        <f t="shared" si="6"/>
        <v>0</v>
      </c>
      <c r="D39" s="353"/>
      <c r="E39" s="348"/>
      <c r="F39" s="348"/>
      <c r="G39" s="372">
        <f t="shared" si="7"/>
        <v>0</v>
      </c>
      <c r="H39" s="816">
        <f t="shared" si="7"/>
        <v>0</v>
      </c>
      <c r="I39" s="810">
        <f t="shared" si="7"/>
        <v>0</v>
      </c>
      <c r="J39" s="349"/>
      <c r="K39" s="34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Q39" s="353">
        <f t="shared" si="8"/>
        <v>0</v>
      </c>
      <c r="BR39" s="372">
        <v>0</v>
      </c>
      <c r="BS39" s="365">
        <v>0</v>
      </c>
      <c r="BT39" s="807"/>
      <c r="DK39" s="830"/>
      <c r="DL39" s="831" t="s">
        <v>781</v>
      </c>
      <c r="DM39" s="829">
        <v>0</v>
      </c>
    </row>
    <row r="40" spans="1:117" s="1" customFormat="1" ht="12.75">
      <c r="A40" s="560" t="s">
        <v>345</v>
      </c>
      <c r="B40" s="561" t="s">
        <v>347</v>
      </c>
      <c r="C40" s="574">
        <f t="shared" si="6"/>
        <v>331.282</v>
      </c>
      <c r="D40" s="353">
        <v>4</v>
      </c>
      <c r="E40" s="348">
        <v>45</v>
      </c>
      <c r="F40" s="348">
        <v>59</v>
      </c>
      <c r="G40" s="372">
        <f t="shared" si="7"/>
        <v>91.41206949999997</v>
      </c>
      <c r="H40" s="816">
        <f t="shared" si="7"/>
        <v>68.2379305</v>
      </c>
      <c r="I40" s="810">
        <f t="shared" si="7"/>
        <v>63.632000000000005</v>
      </c>
      <c r="J40" s="349"/>
      <c r="K40" s="34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Q40" s="353">
        <f t="shared" si="8"/>
        <v>108</v>
      </c>
      <c r="BR40" s="372">
        <v>199.41206949999997</v>
      </c>
      <c r="BS40" s="365">
        <v>267.65</v>
      </c>
      <c r="BT40" s="807">
        <v>331.282</v>
      </c>
      <c r="DK40" s="830"/>
      <c r="DL40" s="831" t="s">
        <v>782</v>
      </c>
      <c r="DM40" s="829">
        <v>331.28252043482547</v>
      </c>
    </row>
    <row r="41" spans="1:117" s="1" customFormat="1" ht="12.75">
      <c r="A41" s="560" t="s">
        <v>345</v>
      </c>
      <c r="B41" s="561" t="s">
        <v>353</v>
      </c>
      <c r="C41" s="574">
        <f t="shared" si="6"/>
        <v>-35.94</v>
      </c>
      <c r="D41" s="353">
        <v>-36</v>
      </c>
      <c r="E41" s="348"/>
      <c r="F41" s="348"/>
      <c r="G41" s="372">
        <f t="shared" si="7"/>
        <v>0.060000000000002274</v>
      </c>
      <c r="H41" s="816">
        <f t="shared" si="7"/>
        <v>0</v>
      </c>
      <c r="I41" s="810">
        <f t="shared" si="7"/>
        <v>0</v>
      </c>
      <c r="J41" s="349"/>
      <c r="K41" s="34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Q41" s="353">
        <f t="shared" si="8"/>
        <v>-36</v>
      </c>
      <c r="BR41" s="372">
        <v>-35.94</v>
      </c>
      <c r="BS41" s="365">
        <v>-35.94</v>
      </c>
      <c r="BT41" s="807">
        <v>-35.94</v>
      </c>
      <c r="DK41" s="830"/>
      <c r="DL41" s="831" t="s">
        <v>783</v>
      </c>
      <c r="DM41" s="829">
        <v>-35.94</v>
      </c>
    </row>
    <row r="42" spans="1:117" s="22" customFormat="1" ht="12.75">
      <c r="A42" s="560" t="s">
        <v>345</v>
      </c>
      <c r="B42" s="561" t="s">
        <v>355</v>
      </c>
      <c r="C42" s="574">
        <f t="shared" si="6"/>
        <v>-80.39</v>
      </c>
      <c r="D42" s="353">
        <v>6</v>
      </c>
      <c r="E42" s="348">
        <v>4</v>
      </c>
      <c r="F42" s="348">
        <v>-90</v>
      </c>
      <c r="G42" s="372">
        <f t="shared" si="7"/>
        <v>-0.3907999999999987</v>
      </c>
      <c r="H42" s="816">
        <f t="shared" si="7"/>
        <v>0.0007999999999981355</v>
      </c>
      <c r="I42" s="810">
        <f t="shared" si="7"/>
        <v>0</v>
      </c>
      <c r="J42" s="349"/>
      <c r="K42" s="349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Q42" s="353">
        <f t="shared" si="8"/>
        <v>-80</v>
      </c>
      <c r="BR42" s="372">
        <v>-80.3908</v>
      </c>
      <c r="BS42" s="365">
        <v>-80.39</v>
      </c>
      <c r="BT42" s="807">
        <v>-80.39</v>
      </c>
      <c r="DK42" s="830"/>
      <c r="DL42" s="831" t="s">
        <v>784</v>
      </c>
      <c r="DM42" s="829">
        <v>-80.3908</v>
      </c>
    </row>
    <row r="43" spans="1:117" s="1" customFormat="1" ht="12.75">
      <c r="A43" s="560" t="s">
        <v>345</v>
      </c>
      <c r="B43" s="561" t="s">
        <v>354</v>
      </c>
      <c r="C43" s="574">
        <f t="shared" si="6"/>
        <v>103.832</v>
      </c>
      <c r="D43" s="353">
        <v>4</v>
      </c>
      <c r="E43" s="348">
        <v>29</v>
      </c>
      <c r="F43" s="348">
        <v>55</v>
      </c>
      <c r="G43" s="372">
        <f t="shared" si="7"/>
        <v>15.153266000000002</v>
      </c>
      <c r="H43" s="816">
        <f t="shared" si="7"/>
        <v>0.04673400000000072</v>
      </c>
      <c r="I43" s="810">
        <f t="shared" si="7"/>
        <v>0.6319999999999908</v>
      </c>
      <c r="J43" s="349"/>
      <c r="K43" s="349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Q43" s="353">
        <f t="shared" si="8"/>
        <v>88</v>
      </c>
      <c r="BR43" s="372">
        <v>103.153266</v>
      </c>
      <c r="BS43" s="387">
        <v>103.2</v>
      </c>
      <c r="BT43" s="807">
        <v>103.832</v>
      </c>
      <c r="DK43" s="830"/>
      <c r="DL43" s="831" t="s">
        <v>785</v>
      </c>
      <c r="DM43" s="829">
        <v>103.55935500000001</v>
      </c>
    </row>
    <row r="44" spans="1:117" s="1" customFormat="1" ht="12.75">
      <c r="A44" s="560" t="s">
        <v>345</v>
      </c>
      <c r="B44" s="561" t="s">
        <v>356</v>
      </c>
      <c r="C44" s="574">
        <f t="shared" si="6"/>
        <v>940.494</v>
      </c>
      <c r="D44" s="353">
        <v>62</v>
      </c>
      <c r="E44" s="348">
        <v>167</v>
      </c>
      <c r="F44" s="348">
        <v>406</v>
      </c>
      <c r="G44" s="372">
        <f t="shared" si="7"/>
        <v>76.18185579999988</v>
      </c>
      <c r="H44" s="816">
        <f t="shared" si="7"/>
        <v>30.118144200000074</v>
      </c>
      <c r="I44" s="810">
        <f t="shared" si="7"/>
        <v>199.19400000000007</v>
      </c>
      <c r="J44" s="349"/>
      <c r="K44" s="349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Q44" s="353">
        <f t="shared" si="8"/>
        <v>635</v>
      </c>
      <c r="BR44" s="372">
        <v>711.1818557999999</v>
      </c>
      <c r="BS44" s="387">
        <v>741.3</v>
      </c>
      <c r="BT44" s="807">
        <v>940.494</v>
      </c>
      <c r="DK44" s="830"/>
      <c r="DL44" s="831" t="s">
        <v>742</v>
      </c>
      <c r="DM44" s="829">
        <v>940.23384667</v>
      </c>
    </row>
    <row r="45" spans="1:117" s="1" customFormat="1" ht="12.75">
      <c r="A45" s="560" t="s">
        <v>345</v>
      </c>
      <c r="B45" s="561" t="s">
        <v>357</v>
      </c>
      <c r="C45" s="574">
        <f t="shared" si="6"/>
        <v>78.065</v>
      </c>
      <c r="D45" s="353">
        <v>30</v>
      </c>
      <c r="E45" s="348"/>
      <c r="F45" s="348">
        <v>44</v>
      </c>
      <c r="G45" s="372">
        <f t="shared" si="7"/>
        <v>9.236510410000008</v>
      </c>
      <c r="H45" s="816">
        <f t="shared" si="7"/>
        <v>-9.236510410000008</v>
      </c>
      <c r="I45" s="810">
        <f t="shared" si="7"/>
        <v>4.064999999999998</v>
      </c>
      <c r="J45" s="349"/>
      <c r="K45" s="349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Q45" s="353">
        <f t="shared" si="8"/>
        <v>74</v>
      </c>
      <c r="BR45" s="372">
        <v>83.23651041000001</v>
      </c>
      <c r="BS45" s="387">
        <v>74</v>
      </c>
      <c r="BT45" s="807">
        <v>78.065</v>
      </c>
      <c r="DK45" s="830"/>
      <c r="DL45" s="831" t="s">
        <v>786</v>
      </c>
      <c r="DM45" s="829">
        <v>78.065371</v>
      </c>
    </row>
    <row r="46" spans="1:117" s="1" customFormat="1" ht="12.75">
      <c r="A46" s="560" t="s">
        <v>345</v>
      </c>
      <c r="B46" s="561" t="s">
        <v>363</v>
      </c>
      <c r="C46" s="574">
        <f t="shared" si="6"/>
        <v>145.001</v>
      </c>
      <c r="D46" s="353">
        <v>2</v>
      </c>
      <c r="E46" s="348">
        <v>43</v>
      </c>
      <c r="F46" s="348">
        <v>30</v>
      </c>
      <c r="G46" s="372">
        <f t="shared" si="7"/>
        <v>6.942384500000003</v>
      </c>
      <c r="H46" s="816">
        <f t="shared" si="7"/>
        <v>54.757615499999986</v>
      </c>
      <c r="I46" s="810">
        <f t="shared" si="7"/>
        <v>8.301000000000016</v>
      </c>
      <c r="J46" s="349"/>
      <c r="K46" s="34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Q46" s="353">
        <f t="shared" si="8"/>
        <v>75</v>
      </c>
      <c r="BR46" s="372">
        <v>81.9423845</v>
      </c>
      <c r="BS46" s="365">
        <v>136.7</v>
      </c>
      <c r="BT46" s="807">
        <v>145.001</v>
      </c>
      <c r="DK46" s="830"/>
      <c r="DL46" s="831" t="s">
        <v>744</v>
      </c>
      <c r="DM46" s="829">
        <v>145.00154350000003</v>
      </c>
    </row>
    <row r="47" spans="1:117" s="1" customFormat="1" ht="12.75">
      <c r="A47" s="560" t="s">
        <v>345</v>
      </c>
      <c r="B47" s="561" t="s">
        <v>364</v>
      </c>
      <c r="C47" s="574">
        <f t="shared" si="6"/>
        <v>0</v>
      </c>
      <c r="D47" s="353"/>
      <c r="E47" s="348"/>
      <c r="F47" s="348"/>
      <c r="G47" s="372">
        <f t="shared" si="7"/>
        <v>0</v>
      </c>
      <c r="H47" s="816">
        <f t="shared" si="7"/>
        <v>0</v>
      </c>
      <c r="I47" s="810">
        <f t="shared" si="7"/>
        <v>0</v>
      </c>
      <c r="J47" s="349"/>
      <c r="K47" s="34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Q47" s="353">
        <f t="shared" si="8"/>
        <v>0</v>
      </c>
      <c r="BR47" s="372">
        <v>0</v>
      </c>
      <c r="BS47" s="365">
        <v>0</v>
      </c>
      <c r="BT47" s="807"/>
      <c r="DK47" s="830"/>
      <c r="DL47" s="831" t="s">
        <v>787</v>
      </c>
      <c r="DM47" s="829">
        <v>0</v>
      </c>
    </row>
    <row r="48" spans="1:117" s="1" customFormat="1" ht="12.75">
      <c r="A48" s="560" t="s">
        <v>345</v>
      </c>
      <c r="B48" s="561" t="s">
        <v>365</v>
      </c>
      <c r="C48" s="574">
        <f t="shared" si="6"/>
        <v>14.597999999999999</v>
      </c>
      <c r="D48" s="353"/>
      <c r="E48" s="348">
        <v>6</v>
      </c>
      <c r="F48" s="348"/>
      <c r="G48" s="372">
        <f t="shared" si="7"/>
        <v>0.22880000000000056</v>
      </c>
      <c r="H48" s="816">
        <f t="shared" si="7"/>
        <v>8.371199999999998</v>
      </c>
      <c r="I48" s="810">
        <f t="shared" si="7"/>
        <v>-0.0019999999999988916</v>
      </c>
      <c r="J48" s="349"/>
      <c r="K48" s="34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Q48" s="353">
        <f t="shared" si="8"/>
        <v>6</v>
      </c>
      <c r="BR48" s="372">
        <v>6.228800000000001</v>
      </c>
      <c r="BS48" s="365">
        <v>14.6</v>
      </c>
      <c r="BT48" s="807">
        <v>14.598</v>
      </c>
      <c r="DK48" s="830"/>
      <c r="DL48" s="831" t="s">
        <v>788</v>
      </c>
      <c r="DM48" s="829">
        <v>14.598295000000002</v>
      </c>
    </row>
    <row r="49" spans="1:117" s="1" customFormat="1" ht="12.75">
      <c r="A49" s="560" t="s">
        <v>345</v>
      </c>
      <c r="B49" s="561" t="s">
        <v>360</v>
      </c>
      <c r="C49" s="574">
        <f t="shared" si="6"/>
        <v>0</v>
      </c>
      <c r="D49" s="353"/>
      <c r="E49" s="348"/>
      <c r="F49" s="348"/>
      <c r="G49" s="372">
        <f t="shared" si="7"/>
        <v>0</v>
      </c>
      <c r="H49" s="816">
        <f t="shared" si="7"/>
        <v>0</v>
      </c>
      <c r="I49" s="810">
        <f t="shared" si="7"/>
        <v>0</v>
      </c>
      <c r="J49" s="349"/>
      <c r="K49" s="349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Q49" s="353">
        <f t="shared" si="8"/>
        <v>0</v>
      </c>
      <c r="BR49" s="372">
        <v>0</v>
      </c>
      <c r="BS49" s="365">
        <v>0</v>
      </c>
      <c r="BT49" s="807"/>
      <c r="DK49" s="830"/>
      <c r="DL49" s="831" t="s">
        <v>789</v>
      </c>
      <c r="DM49" s="829">
        <v>0</v>
      </c>
    </row>
    <row r="50" spans="1:117" s="1" customFormat="1" ht="12.75">
      <c r="A50" s="560" t="s">
        <v>345</v>
      </c>
      <c r="B50" s="561" t="s">
        <v>358</v>
      </c>
      <c r="C50" s="574">
        <f t="shared" si="6"/>
        <v>11.09</v>
      </c>
      <c r="D50" s="353"/>
      <c r="E50" s="348"/>
      <c r="F50" s="348"/>
      <c r="G50" s="372">
        <f t="shared" si="7"/>
        <v>0</v>
      </c>
      <c r="H50" s="816">
        <f t="shared" si="7"/>
        <v>10.83</v>
      </c>
      <c r="I50" s="810">
        <f t="shared" si="7"/>
        <v>0.2599999999999998</v>
      </c>
      <c r="J50" s="349"/>
      <c r="K50" s="34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Q50" s="353">
        <f t="shared" si="8"/>
        <v>0</v>
      </c>
      <c r="BR50" s="372">
        <v>0</v>
      </c>
      <c r="BS50" s="365">
        <v>10.83</v>
      </c>
      <c r="BT50" s="807">
        <v>11.09</v>
      </c>
      <c r="DK50" s="830"/>
      <c r="DL50" s="831" t="s">
        <v>790</v>
      </c>
      <c r="DM50" s="829">
        <v>11.090320500000002</v>
      </c>
    </row>
    <row r="51" spans="1:117" s="1" customFormat="1" ht="12.75">
      <c r="A51" s="560" t="s">
        <v>345</v>
      </c>
      <c r="B51" s="561" t="s">
        <v>361</v>
      </c>
      <c r="C51" s="574">
        <f t="shared" si="6"/>
        <v>0</v>
      </c>
      <c r="D51" s="353"/>
      <c r="E51" s="348"/>
      <c r="F51" s="348"/>
      <c r="G51" s="372">
        <f t="shared" si="7"/>
        <v>0</v>
      </c>
      <c r="H51" s="816">
        <f t="shared" si="7"/>
        <v>0</v>
      </c>
      <c r="I51" s="810">
        <f t="shared" si="7"/>
        <v>0</v>
      </c>
      <c r="J51" s="349"/>
      <c r="K51" s="349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Q51" s="353">
        <f t="shared" si="8"/>
        <v>0</v>
      </c>
      <c r="BR51" s="372">
        <v>0</v>
      </c>
      <c r="BS51" s="365">
        <v>0</v>
      </c>
      <c r="BT51" s="807"/>
      <c r="DK51" s="830"/>
      <c r="DL51" s="831" t="s">
        <v>791</v>
      </c>
      <c r="DM51" s="829">
        <v>0</v>
      </c>
    </row>
    <row r="52" spans="1:117" s="1" customFormat="1" ht="12.75">
      <c r="A52" s="560" t="s">
        <v>345</v>
      </c>
      <c r="B52" s="561" t="s">
        <v>359</v>
      </c>
      <c r="C52" s="574">
        <f t="shared" si="6"/>
        <v>0</v>
      </c>
      <c r="D52" s="353"/>
      <c r="E52" s="348"/>
      <c r="F52" s="348"/>
      <c r="G52" s="372">
        <f t="shared" si="7"/>
        <v>0</v>
      </c>
      <c r="H52" s="816">
        <f t="shared" si="7"/>
        <v>0</v>
      </c>
      <c r="I52" s="810">
        <f t="shared" si="7"/>
        <v>0</v>
      </c>
      <c r="J52" s="349"/>
      <c r="K52" s="34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Q52" s="353">
        <f t="shared" si="8"/>
        <v>0</v>
      </c>
      <c r="BR52" s="372">
        <v>0</v>
      </c>
      <c r="BS52" s="365">
        <v>0</v>
      </c>
      <c r="BT52" s="807"/>
      <c r="DK52" s="830"/>
      <c r="DL52" s="831" t="s">
        <v>792</v>
      </c>
      <c r="DM52" s="829">
        <v>0</v>
      </c>
    </row>
    <row r="53" spans="1:117" s="1" customFormat="1" ht="12.75">
      <c r="A53" s="560" t="s">
        <v>345</v>
      </c>
      <c r="B53" s="561" t="s">
        <v>362</v>
      </c>
      <c r="C53" s="574">
        <f t="shared" si="6"/>
        <v>39.838</v>
      </c>
      <c r="D53" s="353"/>
      <c r="E53" s="348">
        <v>3</v>
      </c>
      <c r="F53" s="348">
        <v>22</v>
      </c>
      <c r="G53" s="372">
        <f t="shared" si="7"/>
        <v>2.7446854999999992</v>
      </c>
      <c r="H53" s="816">
        <f t="shared" si="7"/>
        <v>8.4053145</v>
      </c>
      <c r="I53" s="810">
        <f t="shared" si="7"/>
        <v>3.6880000000000024</v>
      </c>
      <c r="J53" s="349"/>
      <c r="K53" s="34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Q53" s="353">
        <f t="shared" si="8"/>
        <v>25</v>
      </c>
      <c r="BR53" s="372">
        <v>27.7446855</v>
      </c>
      <c r="BS53" s="365">
        <v>36.15</v>
      </c>
      <c r="BT53" s="807">
        <v>39.838</v>
      </c>
      <c r="DK53" s="830"/>
      <c r="DL53" s="831" t="s">
        <v>793</v>
      </c>
      <c r="DM53" s="829">
        <v>39.8388835</v>
      </c>
    </row>
    <row r="54" spans="1:117" s="1" customFormat="1" ht="12.75">
      <c r="A54" s="560" t="s">
        <v>345</v>
      </c>
      <c r="B54" s="561" t="s">
        <v>366</v>
      </c>
      <c r="C54" s="574">
        <f t="shared" si="6"/>
        <v>199.131</v>
      </c>
      <c r="D54" s="353">
        <v>34</v>
      </c>
      <c r="E54" s="348">
        <v>32</v>
      </c>
      <c r="F54" s="348">
        <v>32</v>
      </c>
      <c r="G54" s="372">
        <f t="shared" si="7"/>
        <v>34.64167952</v>
      </c>
      <c r="H54" s="816">
        <f t="shared" si="7"/>
        <v>28.918320480000006</v>
      </c>
      <c r="I54" s="810">
        <f t="shared" si="7"/>
        <v>37.571</v>
      </c>
      <c r="J54" s="349"/>
      <c r="K54" s="349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Q54" s="353">
        <f t="shared" si="8"/>
        <v>98</v>
      </c>
      <c r="BR54" s="372">
        <v>132.64167952</v>
      </c>
      <c r="BS54" s="365">
        <v>161.56</v>
      </c>
      <c r="BT54" s="807">
        <v>199.131</v>
      </c>
      <c r="DK54" s="830"/>
      <c r="DL54" s="831" t="s">
        <v>794</v>
      </c>
      <c r="DM54" s="829">
        <v>199.13190888000003</v>
      </c>
    </row>
    <row r="55" spans="1:117" s="1" customFormat="1" ht="12.75">
      <c r="A55" s="560" t="s">
        <v>345</v>
      </c>
      <c r="B55" s="561" t="s">
        <v>367</v>
      </c>
      <c r="C55" s="574">
        <f t="shared" si="6"/>
        <v>403.1</v>
      </c>
      <c r="D55" s="353">
        <v>108</v>
      </c>
      <c r="E55" s="348">
        <v>100</v>
      </c>
      <c r="F55" s="348">
        <v>87</v>
      </c>
      <c r="G55" s="372">
        <f t="shared" si="7"/>
        <v>-5.797008329999983</v>
      </c>
      <c r="H55" s="816">
        <f t="shared" si="7"/>
        <v>53.25700832999996</v>
      </c>
      <c r="I55" s="810">
        <f t="shared" si="7"/>
        <v>60.64000000000004</v>
      </c>
      <c r="J55" s="349"/>
      <c r="K55" s="349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Q55" s="353">
        <f t="shared" si="8"/>
        <v>295</v>
      </c>
      <c r="BR55" s="372">
        <v>289.20299167</v>
      </c>
      <c r="BS55" s="365">
        <v>342.46</v>
      </c>
      <c r="BT55" s="807">
        <v>403.1</v>
      </c>
      <c r="DK55" s="830"/>
      <c r="DL55" s="831" t="s">
        <v>795</v>
      </c>
      <c r="DM55" s="829">
        <v>403.10121823</v>
      </c>
    </row>
    <row r="56" spans="1:117" s="1" customFormat="1" ht="12.75">
      <c r="A56" s="560" t="s">
        <v>345</v>
      </c>
      <c r="B56" s="561" t="s">
        <v>368</v>
      </c>
      <c r="C56" s="574">
        <f t="shared" si="6"/>
        <v>194.2511</v>
      </c>
      <c r="D56" s="353">
        <v>31</v>
      </c>
      <c r="E56" s="348">
        <v>29</v>
      </c>
      <c r="F56" s="348">
        <v>29</v>
      </c>
      <c r="G56" s="372">
        <f t="shared" si="7"/>
        <v>41.90838006999999</v>
      </c>
      <c r="H56" s="816">
        <f t="shared" si="7"/>
        <v>29.561619930000006</v>
      </c>
      <c r="I56" s="810">
        <f t="shared" si="7"/>
        <v>33.78110000000001</v>
      </c>
      <c r="J56" s="349"/>
      <c r="K56" s="349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Q56" s="353">
        <f t="shared" si="8"/>
        <v>89</v>
      </c>
      <c r="BR56" s="372">
        <v>130.90838007</v>
      </c>
      <c r="BS56" s="365">
        <v>160.47</v>
      </c>
      <c r="BT56" s="807">
        <v>194.2511</v>
      </c>
      <c r="DK56" s="830"/>
      <c r="DL56" s="831" t="s">
        <v>796</v>
      </c>
      <c r="DM56" s="829">
        <v>194.25114462000002</v>
      </c>
    </row>
    <row r="57" spans="1:117" s="1" customFormat="1" ht="12.75">
      <c r="A57" s="560" t="s">
        <v>345</v>
      </c>
      <c r="B57" s="561" t="s">
        <v>369</v>
      </c>
      <c r="C57" s="574">
        <f t="shared" si="6"/>
        <v>207.311</v>
      </c>
      <c r="D57" s="353">
        <v>35</v>
      </c>
      <c r="E57" s="348">
        <v>34</v>
      </c>
      <c r="F57" s="348">
        <v>34</v>
      </c>
      <c r="G57" s="372">
        <f t="shared" si="7"/>
        <v>44.91024786999995</v>
      </c>
      <c r="H57" s="816">
        <f t="shared" si="7"/>
        <v>33.03975213000004</v>
      </c>
      <c r="I57" s="810">
        <f t="shared" si="7"/>
        <v>26.36100000000002</v>
      </c>
      <c r="J57" s="349"/>
      <c r="K57" s="349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Q57" s="353">
        <f t="shared" si="8"/>
        <v>103</v>
      </c>
      <c r="BR57" s="372">
        <v>147.91024786999995</v>
      </c>
      <c r="BS57" s="365">
        <v>180.95</v>
      </c>
      <c r="BT57" s="807">
        <v>207.311</v>
      </c>
      <c r="DK57" s="830"/>
      <c r="DL57" s="831" t="s">
        <v>797</v>
      </c>
      <c r="DM57" s="829">
        <v>207.31104982000002</v>
      </c>
    </row>
    <row r="58" spans="1:117" s="1" customFormat="1" ht="12.75">
      <c r="A58" s="560" t="s">
        <v>345</v>
      </c>
      <c r="B58" s="561" t="s">
        <v>370</v>
      </c>
      <c r="C58" s="574">
        <f t="shared" si="6"/>
        <v>87.581</v>
      </c>
      <c r="D58" s="353"/>
      <c r="E58" s="348">
        <v>21</v>
      </c>
      <c r="F58" s="348">
        <v>21</v>
      </c>
      <c r="G58" s="372">
        <f t="shared" si="7"/>
        <v>33.26736</v>
      </c>
      <c r="H58" s="816">
        <f t="shared" si="7"/>
        <v>0.7326400000000035</v>
      </c>
      <c r="I58" s="810">
        <f t="shared" si="7"/>
        <v>11.581000000000003</v>
      </c>
      <c r="J58" s="349"/>
      <c r="K58" s="34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Q58" s="353">
        <f t="shared" si="8"/>
        <v>42</v>
      </c>
      <c r="BR58" s="372">
        <v>75.26736</v>
      </c>
      <c r="BS58" s="365">
        <v>76</v>
      </c>
      <c r="BT58" s="807">
        <v>87.581</v>
      </c>
      <c r="DK58" s="830"/>
      <c r="DL58" s="831" t="s">
        <v>798</v>
      </c>
      <c r="DM58" s="829">
        <v>87.9122274</v>
      </c>
    </row>
    <row r="59" spans="1:117" s="1" customFormat="1" ht="12.75">
      <c r="A59" s="560" t="s">
        <v>345</v>
      </c>
      <c r="B59" s="561" t="s">
        <v>371</v>
      </c>
      <c r="C59" s="574">
        <f t="shared" si="6"/>
        <v>18.814</v>
      </c>
      <c r="D59" s="353">
        <v>15</v>
      </c>
      <c r="E59" s="348">
        <v>4</v>
      </c>
      <c r="F59" s="348"/>
      <c r="G59" s="372">
        <f t="shared" si="7"/>
        <v>-0.1858000000000004</v>
      </c>
      <c r="H59" s="816">
        <f t="shared" si="7"/>
        <v>-0.00420000000000087</v>
      </c>
      <c r="I59" s="810">
        <f t="shared" si="7"/>
        <v>0.004000000000001336</v>
      </c>
      <c r="J59" s="349"/>
      <c r="K59" s="34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Q59" s="353">
        <f t="shared" si="8"/>
        <v>19</v>
      </c>
      <c r="BR59" s="372">
        <v>18.8142</v>
      </c>
      <c r="BS59" s="365">
        <v>18.81</v>
      </c>
      <c r="BT59" s="807">
        <v>18.814</v>
      </c>
      <c r="DK59" s="830"/>
      <c r="DL59" s="831" t="s">
        <v>799</v>
      </c>
      <c r="DM59" s="829">
        <v>18.8142</v>
      </c>
    </row>
    <row r="60" spans="1:117" s="20" customFormat="1" ht="13.5" thickBot="1">
      <c r="A60" s="562" t="s">
        <v>345</v>
      </c>
      <c r="B60" s="563" t="s">
        <v>372</v>
      </c>
      <c r="C60" s="575">
        <f t="shared" si="6"/>
        <v>3</v>
      </c>
      <c r="D60" s="357"/>
      <c r="E60" s="358"/>
      <c r="F60" s="358"/>
      <c r="G60" s="374">
        <f t="shared" si="7"/>
        <v>0</v>
      </c>
      <c r="H60" s="818">
        <f t="shared" si="7"/>
        <v>0</v>
      </c>
      <c r="I60" s="813">
        <f t="shared" si="7"/>
        <v>3</v>
      </c>
      <c r="J60" s="760"/>
      <c r="K60" s="76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Q60" s="357">
        <f t="shared" si="8"/>
        <v>0</v>
      </c>
      <c r="BR60" s="374">
        <v>0</v>
      </c>
      <c r="BS60" s="366">
        <v>0</v>
      </c>
      <c r="BT60" s="808">
        <v>3</v>
      </c>
      <c r="DK60" s="830"/>
      <c r="DL60" s="831" t="s">
        <v>800</v>
      </c>
      <c r="DM60" s="829">
        <v>2.96013256</v>
      </c>
    </row>
    <row r="61" spans="1:117" s="1" customFormat="1" ht="13.5" thickBot="1">
      <c r="A61" s="4"/>
      <c r="B61" s="424" t="s">
        <v>661</v>
      </c>
      <c r="C61" s="557">
        <f>SUM(C35:C60)</f>
        <v>2722.1431000000002</v>
      </c>
      <c r="D61" s="359">
        <f aca="true" t="shared" si="9" ref="D61:BA61">SUM(D35:D60)</f>
        <v>300</v>
      </c>
      <c r="E61" s="360">
        <f t="shared" si="9"/>
        <v>517</v>
      </c>
      <c r="F61" s="360">
        <f t="shared" si="9"/>
        <v>729</v>
      </c>
      <c r="G61" s="360">
        <f t="shared" si="9"/>
        <v>392.6460918399998</v>
      </c>
      <c r="H61" s="361">
        <f t="shared" si="9"/>
        <v>330.05390816</v>
      </c>
      <c r="I61" s="814">
        <f t="shared" si="9"/>
        <v>453.4431000000001</v>
      </c>
      <c r="J61" s="360">
        <f t="shared" si="9"/>
        <v>0</v>
      </c>
      <c r="K61" s="360">
        <f t="shared" si="9"/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1">
        <f t="shared" si="9"/>
        <v>0</v>
      </c>
      <c r="R61" s="21">
        <f t="shared" si="9"/>
        <v>0</v>
      </c>
      <c r="S61" s="21">
        <f t="shared" si="9"/>
        <v>0</v>
      </c>
      <c r="T61" s="21">
        <f t="shared" si="9"/>
        <v>0</v>
      </c>
      <c r="U61" s="21">
        <f t="shared" si="9"/>
        <v>0</v>
      </c>
      <c r="V61" s="21">
        <f t="shared" si="9"/>
        <v>0</v>
      </c>
      <c r="W61" s="21">
        <f t="shared" si="9"/>
        <v>0</v>
      </c>
      <c r="X61" s="21">
        <f t="shared" si="9"/>
        <v>0</v>
      </c>
      <c r="Y61" s="21">
        <f t="shared" si="9"/>
        <v>0</v>
      </c>
      <c r="Z61" s="21">
        <f t="shared" si="9"/>
        <v>0</v>
      </c>
      <c r="AA61" s="21">
        <f t="shared" si="9"/>
        <v>0</v>
      </c>
      <c r="AB61" s="21">
        <f t="shared" si="9"/>
        <v>0</v>
      </c>
      <c r="AC61" s="21">
        <f t="shared" si="9"/>
        <v>0</v>
      </c>
      <c r="AD61" s="21">
        <f t="shared" si="9"/>
        <v>0</v>
      </c>
      <c r="AE61" s="21">
        <f t="shared" si="9"/>
        <v>0</v>
      </c>
      <c r="AF61" s="21">
        <f t="shared" si="9"/>
        <v>0</v>
      </c>
      <c r="AG61" s="21">
        <f t="shared" si="9"/>
        <v>0</v>
      </c>
      <c r="AH61" s="21">
        <f t="shared" si="9"/>
        <v>0</v>
      </c>
      <c r="AI61" s="21">
        <f t="shared" si="9"/>
        <v>0</v>
      </c>
      <c r="AJ61" s="21">
        <f t="shared" si="9"/>
        <v>0</v>
      </c>
      <c r="AK61" s="21">
        <f t="shared" si="9"/>
        <v>0</v>
      </c>
      <c r="AL61" s="21">
        <f t="shared" si="9"/>
        <v>0</v>
      </c>
      <c r="AM61" s="21">
        <f t="shared" si="9"/>
        <v>0</v>
      </c>
      <c r="AN61" s="21">
        <f t="shared" si="9"/>
        <v>0</v>
      </c>
      <c r="AO61" s="21">
        <f t="shared" si="9"/>
        <v>0</v>
      </c>
      <c r="AP61" s="21">
        <f t="shared" si="9"/>
        <v>0</v>
      </c>
      <c r="AQ61" s="21">
        <f t="shared" si="9"/>
        <v>0</v>
      </c>
      <c r="AR61" s="21">
        <f t="shared" si="9"/>
        <v>0</v>
      </c>
      <c r="AS61" s="21">
        <f t="shared" si="9"/>
        <v>0</v>
      </c>
      <c r="AT61" s="21">
        <f t="shared" si="9"/>
        <v>0</v>
      </c>
      <c r="AU61" s="21">
        <f t="shared" si="9"/>
        <v>0</v>
      </c>
      <c r="AV61" s="21">
        <f t="shared" si="9"/>
        <v>0</v>
      </c>
      <c r="AW61" s="21">
        <f t="shared" si="9"/>
        <v>0</v>
      </c>
      <c r="AX61" s="21">
        <f t="shared" si="9"/>
        <v>0</v>
      </c>
      <c r="AY61" s="21">
        <f t="shared" si="9"/>
        <v>0</v>
      </c>
      <c r="AZ61" s="21">
        <f t="shared" si="9"/>
        <v>0</v>
      </c>
      <c r="BA61" s="21">
        <f t="shared" si="9"/>
        <v>0</v>
      </c>
      <c r="BB61" s="4"/>
      <c r="BC61" s="4"/>
      <c r="BD61" s="4"/>
      <c r="BE61" s="4"/>
      <c r="BF61" s="4"/>
      <c r="BG61" s="4"/>
      <c r="BH61" s="4"/>
      <c r="BI61" s="4"/>
      <c r="BQ61" s="362">
        <f>SUM(BQ35:BQ60)</f>
        <v>1546</v>
      </c>
      <c r="BR61" s="363">
        <f>SUM(BR35:BR60)</f>
        <v>1938.64609184</v>
      </c>
      <c r="BS61" s="364">
        <f>SUM(BS35:BS60)</f>
        <v>2268.7</v>
      </c>
      <c r="BT61" s="805">
        <f>SUM(BT35:BT60)</f>
        <v>2722.1431000000002</v>
      </c>
      <c r="BU61" s="347" t="s">
        <v>186</v>
      </c>
      <c r="DK61" s="827" t="s">
        <v>801</v>
      </c>
      <c r="DL61" s="828"/>
      <c r="DM61" s="829">
        <f>SUM(DM35:DM60)</f>
        <v>2722.105890114826</v>
      </c>
    </row>
    <row r="62" spans="1:117" s="1" customFormat="1" ht="13.5" thickBot="1">
      <c r="A62" s="4"/>
      <c r="B62" s="4"/>
      <c r="C62" s="55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Q62" s="352"/>
      <c r="BR62" s="356"/>
      <c r="BS62" s="356"/>
      <c r="BT62" s="801"/>
      <c r="DK62" s="827"/>
      <c r="DL62" s="834"/>
      <c r="DM62" s="829"/>
    </row>
    <row r="63" spans="1:117" s="1" customFormat="1" ht="12.75">
      <c r="A63" s="558" t="s">
        <v>346</v>
      </c>
      <c r="B63" s="559" t="s">
        <v>398</v>
      </c>
      <c r="C63" s="573">
        <f aca="true" t="shared" si="10" ref="C63:C74">SUM(D63:I63)</f>
        <v>-104.1</v>
      </c>
      <c r="D63" s="354">
        <v>-104</v>
      </c>
      <c r="E63" s="355"/>
      <c r="F63" s="355"/>
      <c r="G63" s="371">
        <f aca="true" t="shared" si="11" ref="G63:I74">SUM(BR63-BQ63)</f>
        <v>-0.09999999999999432</v>
      </c>
      <c r="H63" s="815">
        <f t="shared" si="11"/>
        <v>0</v>
      </c>
      <c r="I63" s="809">
        <f t="shared" si="11"/>
        <v>0</v>
      </c>
      <c r="J63" s="761"/>
      <c r="K63" s="76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Q63" s="354">
        <f>SUM(D63:F63)</f>
        <v>-104</v>
      </c>
      <c r="BR63" s="371">
        <v>-104.1</v>
      </c>
      <c r="BS63" s="367">
        <v>-104.1</v>
      </c>
      <c r="BT63" s="806">
        <v>-104.1</v>
      </c>
      <c r="DK63" s="827" t="s">
        <v>802</v>
      </c>
      <c r="DL63" s="827" t="s">
        <v>803</v>
      </c>
      <c r="DM63" s="829">
        <v>-104.1</v>
      </c>
    </row>
    <row r="64" spans="1:117" s="1" customFormat="1" ht="12.75">
      <c r="A64" s="560" t="s">
        <v>346</v>
      </c>
      <c r="B64" s="561" t="s">
        <v>399</v>
      </c>
      <c r="C64" s="574">
        <f t="shared" si="10"/>
        <v>0</v>
      </c>
      <c r="D64" s="353"/>
      <c r="E64" s="348"/>
      <c r="F64" s="348"/>
      <c r="G64" s="372">
        <f t="shared" si="11"/>
        <v>0</v>
      </c>
      <c r="H64" s="816">
        <f t="shared" si="11"/>
        <v>0</v>
      </c>
      <c r="I64" s="810">
        <f t="shared" si="11"/>
        <v>0</v>
      </c>
      <c r="J64" s="349"/>
      <c r="K64" s="34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Q64" s="353">
        <f aca="true" t="shared" si="12" ref="BQ64:BQ74">SUM(D64:F64)</f>
        <v>0</v>
      </c>
      <c r="BR64" s="372">
        <v>0</v>
      </c>
      <c r="BS64" s="365">
        <v>0</v>
      </c>
      <c r="BT64" s="807"/>
      <c r="DK64" s="830"/>
      <c r="DL64" s="831" t="s">
        <v>804</v>
      </c>
      <c r="DM64" s="829">
        <v>1.0132134799999999</v>
      </c>
    </row>
    <row r="65" spans="1:117" s="1" customFormat="1" ht="12.75">
      <c r="A65" s="560" t="s">
        <v>346</v>
      </c>
      <c r="B65" s="561" t="s">
        <v>400</v>
      </c>
      <c r="C65" s="574">
        <f t="shared" si="10"/>
        <v>0</v>
      </c>
      <c r="D65" s="353"/>
      <c r="E65" s="348"/>
      <c r="F65" s="348"/>
      <c r="G65" s="372">
        <f t="shared" si="11"/>
        <v>0</v>
      </c>
      <c r="H65" s="816">
        <f t="shared" si="11"/>
        <v>0</v>
      </c>
      <c r="I65" s="810">
        <f t="shared" si="11"/>
        <v>0</v>
      </c>
      <c r="J65" s="349"/>
      <c r="K65" s="34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Q65" s="353">
        <f t="shared" si="12"/>
        <v>0</v>
      </c>
      <c r="BR65" s="372">
        <v>0</v>
      </c>
      <c r="BS65" s="365">
        <v>0</v>
      </c>
      <c r="BT65" s="807"/>
      <c r="DK65" s="830"/>
      <c r="DL65" s="831" t="s">
        <v>805</v>
      </c>
      <c r="DM65" s="829">
        <v>0</v>
      </c>
    </row>
    <row r="66" spans="1:117" s="1" customFormat="1" ht="12.75">
      <c r="A66" s="560" t="s">
        <v>346</v>
      </c>
      <c r="B66" s="561" t="s">
        <v>401</v>
      </c>
      <c r="C66" s="574">
        <f t="shared" si="10"/>
        <v>0</v>
      </c>
      <c r="D66" s="353"/>
      <c r="E66" s="348"/>
      <c r="F66" s="348"/>
      <c r="G66" s="372">
        <f t="shared" si="11"/>
        <v>0</v>
      </c>
      <c r="H66" s="816">
        <f t="shared" si="11"/>
        <v>0</v>
      </c>
      <c r="I66" s="810">
        <f t="shared" si="11"/>
        <v>0</v>
      </c>
      <c r="J66" s="349"/>
      <c r="K66" s="349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Q66" s="353">
        <f t="shared" si="12"/>
        <v>0</v>
      </c>
      <c r="BR66" s="372">
        <v>0</v>
      </c>
      <c r="BS66" s="365">
        <v>0</v>
      </c>
      <c r="BT66" s="807"/>
      <c r="DK66" s="830"/>
      <c r="DL66" s="831" t="s">
        <v>806</v>
      </c>
      <c r="DM66" s="829">
        <v>0</v>
      </c>
    </row>
    <row r="67" spans="1:117" s="1" customFormat="1" ht="12.75">
      <c r="A67" s="560" t="s">
        <v>346</v>
      </c>
      <c r="B67" s="561" t="s">
        <v>402</v>
      </c>
      <c r="C67" s="574">
        <f t="shared" si="10"/>
        <v>0</v>
      </c>
      <c r="D67" s="353"/>
      <c r="E67" s="348"/>
      <c r="F67" s="348"/>
      <c r="G67" s="372">
        <f t="shared" si="11"/>
        <v>0</v>
      </c>
      <c r="H67" s="816">
        <f t="shared" si="11"/>
        <v>0</v>
      </c>
      <c r="I67" s="810">
        <f t="shared" si="11"/>
        <v>0</v>
      </c>
      <c r="J67" s="349"/>
      <c r="K67" s="34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Q67" s="353">
        <f t="shared" si="12"/>
        <v>0</v>
      </c>
      <c r="BR67" s="372">
        <v>0</v>
      </c>
      <c r="BS67" s="365">
        <v>0</v>
      </c>
      <c r="BT67" s="807"/>
      <c r="DK67" s="830"/>
      <c r="DL67" s="831" t="s">
        <v>807</v>
      </c>
      <c r="DM67" s="829">
        <v>0</v>
      </c>
    </row>
    <row r="68" spans="1:117" s="1" customFormat="1" ht="12.75">
      <c r="A68" s="560" t="s">
        <v>346</v>
      </c>
      <c r="B68" s="561" t="s">
        <v>403</v>
      </c>
      <c r="C68" s="574">
        <f t="shared" si="10"/>
        <v>0</v>
      </c>
      <c r="D68" s="353"/>
      <c r="E68" s="348"/>
      <c r="F68" s="348"/>
      <c r="G68" s="372">
        <f t="shared" si="11"/>
        <v>0</v>
      </c>
      <c r="H68" s="816">
        <f t="shared" si="11"/>
        <v>0</v>
      </c>
      <c r="I68" s="810">
        <f t="shared" si="11"/>
        <v>0</v>
      </c>
      <c r="J68" s="349"/>
      <c r="K68" s="34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Q68" s="353">
        <f t="shared" si="12"/>
        <v>0</v>
      </c>
      <c r="BR68" s="372">
        <v>0</v>
      </c>
      <c r="BS68" s="365">
        <v>0</v>
      </c>
      <c r="BT68" s="807"/>
      <c r="DK68" s="830"/>
      <c r="DL68" s="831" t="s">
        <v>808</v>
      </c>
      <c r="DM68" s="829">
        <v>0</v>
      </c>
    </row>
    <row r="69" spans="1:117" s="1" customFormat="1" ht="12.75">
      <c r="A69" s="560" t="s">
        <v>346</v>
      </c>
      <c r="B69" s="561" t="s">
        <v>404</v>
      </c>
      <c r="C69" s="574">
        <f t="shared" si="10"/>
        <v>0</v>
      </c>
      <c r="D69" s="353"/>
      <c r="E69" s="348"/>
      <c r="F69" s="348"/>
      <c r="G69" s="372">
        <f t="shared" si="11"/>
        <v>0</v>
      </c>
      <c r="H69" s="816">
        <f t="shared" si="11"/>
        <v>0</v>
      </c>
      <c r="I69" s="810">
        <f t="shared" si="11"/>
        <v>0</v>
      </c>
      <c r="J69" s="349"/>
      <c r="K69" s="34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Q69" s="353">
        <f t="shared" si="12"/>
        <v>0</v>
      </c>
      <c r="BR69" s="372">
        <v>0</v>
      </c>
      <c r="BS69" s="365">
        <v>0</v>
      </c>
      <c r="BT69" s="807"/>
      <c r="DK69" s="830"/>
      <c r="DL69" s="831" t="s">
        <v>809</v>
      </c>
      <c r="DM69" s="829">
        <v>0</v>
      </c>
    </row>
    <row r="70" spans="1:117" s="1" customFormat="1" ht="12.75">
      <c r="A70" s="560" t="s">
        <v>346</v>
      </c>
      <c r="B70" s="561" t="s">
        <v>405</v>
      </c>
      <c r="C70" s="574">
        <f t="shared" si="10"/>
        <v>0</v>
      </c>
      <c r="D70" s="353"/>
      <c r="E70" s="348"/>
      <c r="F70" s="348"/>
      <c r="G70" s="372">
        <f t="shared" si="11"/>
        <v>0</v>
      </c>
      <c r="H70" s="816">
        <f t="shared" si="11"/>
        <v>0</v>
      </c>
      <c r="I70" s="810">
        <f t="shared" si="11"/>
        <v>0</v>
      </c>
      <c r="J70" s="349"/>
      <c r="K70" s="34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Q70" s="353">
        <f t="shared" si="12"/>
        <v>0</v>
      </c>
      <c r="BR70" s="372">
        <v>0</v>
      </c>
      <c r="BS70" s="365">
        <v>0</v>
      </c>
      <c r="BT70" s="807"/>
      <c r="DK70" s="830"/>
      <c r="DL70" s="831" t="s">
        <v>810</v>
      </c>
      <c r="DM70" s="829">
        <v>0</v>
      </c>
    </row>
    <row r="71" spans="1:117" s="1" customFormat="1" ht="12.75">
      <c r="A71" s="560" t="s">
        <v>346</v>
      </c>
      <c r="B71" s="561" t="s">
        <v>406</v>
      </c>
      <c r="C71" s="574">
        <f t="shared" si="10"/>
        <v>0</v>
      </c>
      <c r="D71" s="353"/>
      <c r="E71" s="348"/>
      <c r="F71" s="348"/>
      <c r="G71" s="372">
        <f t="shared" si="11"/>
        <v>0</v>
      </c>
      <c r="H71" s="816">
        <f t="shared" si="11"/>
        <v>0</v>
      </c>
      <c r="I71" s="810">
        <f t="shared" si="11"/>
        <v>0</v>
      </c>
      <c r="J71" s="349"/>
      <c r="K71" s="34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Q71" s="353">
        <f t="shared" si="12"/>
        <v>0</v>
      </c>
      <c r="BR71" s="372">
        <v>0</v>
      </c>
      <c r="BS71" s="365">
        <v>0</v>
      </c>
      <c r="BT71" s="807"/>
      <c r="DK71" s="830"/>
      <c r="DL71" s="831" t="s">
        <v>811</v>
      </c>
      <c r="DM71" s="829">
        <v>0</v>
      </c>
    </row>
    <row r="72" spans="1:117" s="1" customFormat="1" ht="12.75">
      <c r="A72" s="560" t="s">
        <v>346</v>
      </c>
      <c r="B72" s="561" t="s">
        <v>407</v>
      </c>
      <c r="C72" s="574">
        <f t="shared" si="10"/>
        <v>0</v>
      </c>
      <c r="D72" s="353"/>
      <c r="E72" s="348"/>
      <c r="F72" s="348"/>
      <c r="G72" s="372">
        <f t="shared" si="11"/>
        <v>0</v>
      </c>
      <c r="H72" s="816">
        <f t="shared" si="11"/>
        <v>0</v>
      </c>
      <c r="I72" s="810">
        <f t="shared" si="11"/>
        <v>0</v>
      </c>
      <c r="J72" s="349"/>
      <c r="K72" s="349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Q72" s="353">
        <f t="shared" si="12"/>
        <v>0</v>
      </c>
      <c r="BR72" s="372">
        <v>0</v>
      </c>
      <c r="BS72" s="365">
        <v>0</v>
      </c>
      <c r="BT72" s="807"/>
      <c r="DK72" s="830"/>
      <c r="DL72" s="831" t="s">
        <v>812</v>
      </c>
      <c r="DM72" s="829">
        <v>0</v>
      </c>
    </row>
    <row r="73" spans="1:117" s="1" customFormat="1" ht="12.75">
      <c r="A73" s="560" t="s">
        <v>346</v>
      </c>
      <c r="B73" s="561" t="s">
        <v>408</v>
      </c>
      <c r="C73" s="574">
        <f t="shared" si="10"/>
        <v>9.3</v>
      </c>
      <c r="D73" s="353">
        <v>1</v>
      </c>
      <c r="E73" s="348">
        <v>1</v>
      </c>
      <c r="F73" s="348">
        <v>1</v>
      </c>
      <c r="G73" s="372">
        <f t="shared" si="11"/>
        <v>2.72324358</v>
      </c>
      <c r="H73" s="816">
        <f t="shared" si="11"/>
        <v>1.2567564200000003</v>
      </c>
      <c r="I73" s="810">
        <f t="shared" si="11"/>
        <v>2.3200000000000003</v>
      </c>
      <c r="J73" s="349"/>
      <c r="K73" s="349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Q73" s="353">
        <f t="shared" si="12"/>
        <v>3</v>
      </c>
      <c r="BR73" s="372">
        <v>5.72324358</v>
      </c>
      <c r="BS73" s="365">
        <v>6.98</v>
      </c>
      <c r="BT73" s="807">
        <v>9.3</v>
      </c>
      <c r="DK73" s="830"/>
      <c r="DL73" s="831" t="s">
        <v>813</v>
      </c>
      <c r="DM73" s="829">
        <v>9.2528624</v>
      </c>
    </row>
    <row r="74" spans="1:117" s="20" customFormat="1" ht="13.5" thickBot="1">
      <c r="A74" s="562" t="s">
        <v>346</v>
      </c>
      <c r="B74" s="563" t="s">
        <v>409</v>
      </c>
      <c r="C74" s="575">
        <f t="shared" si="10"/>
        <v>0</v>
      </c>
      <c r="D74" s="368"/>
      <c r="E74" s="369"/>
      <c r="F74" s="369"/>
      <c r="G74" s="373">
        <f t="shared" si="11"/>
        <v>0</v>
      </c>
      <c r="H74" s="817">
        <f t="shared" si="11"/>
        <v>0</v>
      </c>
      <c r="I74" s="811">
        <f t="shared" si="11"/>
        <v>0</v>
      </c>
      <c r="J74" s="760"/>
      <c r="K74" s="760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Q74" s="357">
        <f t="shared" si="12"/>
        <v>0</v>
      </c>
      <c r="BR74" s="374">
        <v>0</v>
      </c>
      <c r="BS74" s="366">
        <v>0</v>
      </c>
      <c r="BT74" s="808"/>
      <c r="DK74" s="830"/>
      <c r="DL74" s="831" t="s">
        <v>814</v>
      </c>
      <c r="DM74" s="829">
        <v>0</v>
      </c>
    </row>
    <row r="75" spans="1:117" s="1" customFormat="1" ht="13.5" thickBot="1">
      <c r="A75" s="4"/>
      <c r="B75" s="424" t="s">
        <v>662</v>
      </c>
      <c r="C75" s="557">
        <f>SUM(C63:C74)</f>
        <v>-94.8</v>
      </c>
      <c r="D75" s="359">
        <f aca="true" t="shared" si="13" ref="D75:BA75">SUM(D63:D74)</f>
        <v>-103</v>
      </c>
      <c r="E75" s="360">
        <f t="shared" si="13"/>
        <v>1</v>
      </c>
      <c r="F75" s="360">
        <f t="shared" si="13"/>
        <v>1</v>
      </c>
      <c r="G75" s="360">
        <f t="shared" si="13"/>
        <v>2.623243580000006</v>
      </c>
      <c r="H75" s="361">
        <f t="shared" si="13"/>
        <v>1.2567564200000003</v>
      </c>
      <c r="I75" s="814">
        <f t="shared" si="13"/>
        <v>2.3200000000000003</v>
      </c>
      <c r="J75" s="360">
        <f t="shared" si="13"/>
        <v>0</v>
      </c>
      <c r="K75" s="360">
        <f t="shared" si="13"/>
        <v>0</v>
      </c>
      <c r="L75" s="21">
        <f t="shared" si="13"/>
        <v>0</v>
      </c>
      <c r="M75" s="21">
        <f t="shared" si="13"/>
        <v>0</v>
      </c>
      <c r="N75" s="21">
        <f t="shared" si="13"/>
        <v>0</v>
      </c>
      <c r="O75" s="21">
        <f t="shared" si="13"/>
        <v>0</v>
      </c>
      <c r="P75" s="21">
        <f t="shared" si="13"/>
        <v>0</v>
      </c>
      <c r="Q75" s="21">
        <f t="shared" si="13"/>
        <v>0</v>
      </c>
      <c r="R75" s="21">
        <f t="shared" si="13"/>
        <v>0</v>
      </c>
      <c r="S75" s="21">
        <f t="shared" si="13"/>
        <v>0</v>
      </c>
      <c r="T75" s="21">
        <f t="shared" si="13"/>
        <v>0</v>
      </c>
      <c r="U75" s="21">
        <f t="shared" si="13"/>
        <v>0</v>
      </c>
      <c r="V75" s="21">
        <f t="shared" si="13"/>
        <v>0</v>
      </c>
      <c r="W75" s="21">
        <f t="shared" si="13"/>
        <v>0</v>
      </c>
      <c r="X75" s="21">
        <f t="shared" si="13"/>
        <v>0</v>
      </c>
      <c r="Y75" s="21">
        <f t="shared" si="13"/>
        <v>0</v>
      </c>
      <c r="Z75" s="21">
        <f t="shared" si="13"/>
        <v>0</v>
      </c>
      <c r="AA75" s="21">
        <f t="shared" si="13"/>
        <v>0</v>
      </c>
      <c r="AB75" s="21">
        <f t="shared" si="13"/>
        <v>0</v>
      </c>
      <c r="AC75" s="21">
        <f t="shared" si="13"/>
        <v>0</v>
      </c>
      <c r="AD75" s="21">
        <f t="shared" si="13"/>
        <v>0</v>
      </c>
      <c r="AE75" s="21">
        <f t="shared" si="13"/>
        <v>0</v>
      </c>
      <c r="AF75" s="21">
        <f t="shared" si="13"/>
        <v>0</v>
      </c>
      <c r="AG75" s="21">
        <f t="shared" si="13"/>
        <v>0</v>
      </c>
      <c r="AH75" s="21">
        <f t="shared" si="13"/>
        <v>0</v>
      </c>
      <c r="AI75" s="21">
        <f t="shared" si="13"/>
        <v>0</v>
      </c>
      <c r="AJ75" s="21">
        <f t="shared" si="13"/>
        <v>0</v>
      </c>
      <c r="AK75" s="21">
        <f t="shared" si="13"/>
        <v>0</v>
      </c>
      <c r="AL75" s="21">
        <f t="shared" si="13"/>
        <v>0</v>
      </c>
      <c r="AM75" s="21">
        <f t="shared" si="13"/>
        <v>0</v>
      </c>
      <c r="AN75" s="21">
        <f t="shared" si="13"/>
        <v>0</v>
      </c>
      <c r="AO75" s="21">
        <f t="shared" si="13"/>
        <v>0</v>
      </c>
      <c r="AP75" s="21">
        <f t="shared" si="13"/>
        <v>0</v>
      </c>
      <c r="AQ75" s="21">
        <f t="shared" si="13"/>
        <v>0</v>
      </c>
      <c r="AR75" s="21">
        <f t="shared" si="13"/>
        <v>0</v>
      </c>
      <c r="AS75" s="21">
        <f t="shared" si="13"/>
        <v>0</v>
      </c>
      <c r="AT75" s="21">
        <f t="shared" si="13"/>
        <v>0</v>
      </c>
      <c r="AU75" s="21">
        <f t="shared" si="13"/>
        <v>0</v>
      </c>
      <c r="AV75" s="21">
        <f t="shared" si="13"/>
        <v>0</v>
      </c>
      <c r="AW75" s="21">
        <f t="shared" si="13"/>
        <v>0</v>
      </c>
      <c r="AX75" s="21">
        <f t="shared" si="13"/>
        <v>0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Q75" s="362">
        <f>SUM(BQ63:BQ74)</f>
        <v>-101</v>
      </c>
      <c r="BR75" s="363">
        <f>SUM(BR63:BR74)</f>
        <v>-98.37675641999999</v>
      </c>
      <c r="BS75" s="364">
        <f>SUM(BS63:BS74)</f>
        <v>-97.11999999999999</v>
      </c>
      <c r="BT75" s="805">
        <f>SUM(BT63:BT74)</f>
        <v>-94.8</v>
      </c>
      <c r="BU75" s="1" t="s">
        <v>186</v>
      </c>
      <c r="DK75" s="827" t="s">
        <v>815</v>
      </c>
      <c r="DL75" s="828"/>
      <c r="DM75" s="829">
        <f>SUM(DM63:DM74)</f>
        <v>-93.83392411999999</v>
      </c>
    </row>
    <row r="76" spans="1:117" s="1" customFormat="1" ht="12.75">
      <c r="A76" s="4"/>
      <c r="B76" s="4"/>
      <c r="C76" s="55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BQ76" s="352"/>
      <c r="BR76" s="356"/>
      <c r="BS76" s="356"/>
      <c r="BT76" s="801"/>
      <c r="DK76" s="827"/>
      <c r="DL76" s="828"/>
      <c r="DM76" s="829"/>
    </row>
    <row r="77" spans="1:117" s="1" customFormat="1" ht="12.75">
      <c r="A77" s="4"/>
      <c r="B77" s="4"/>
      <c r="C77" s="837">
        <f>SUM(D77:I77)</f>
        <v>7049.5471</v>
      </c>
      <c r="D77" s="23">
        <f aca="true" t="shared" si="14" ref="D77:BM77">SUM(D75,D61,D33,D6)</f>
        <v>421</v>
      </c>
      <c r="E77" s="23">
        <f t="shared" si="14"/>
        <v>1271</v>
      </c>
      <c r="F77" s="23">
        <f t="shared" si="14"/>
        <v>1494</v>
      </c>
      <c r="G77" s="23">
        <f t="shared" si="14"/>
        <v>1243.0134102000002</v>
      </c>
      <c r="H77" s="23">
        <f t="shared" si="14"/>
        <v>1125.2471014599998</v>
      </c>
      <c r="I77" s="835">
        <f t="shared" si="14"/>
        <v>1495.28658834</v>
      </c>
      <c r="J77" s="23">
        <f t="shared" si="14"/>
        <v>0</v>
      </c>
      <c r="K77" s="23">
        <f t="shared" si="14"/>
        <v>0</v>
      </c>
      <c r="L77" s="23">
        <f t="shared" si="14"/>
        <v>0</v>
      </c>
      <c r="M77" s="23">
        <f t="shared" si="14"/>
        <v>0</v>
      </c>
      <c r="N77" s="23">
        <f t="shared" si="14"/>
        <v>0</v>
      </c>
      <c r="O77" s="23">
        <f t="shared" si="14"/>
        <v>0</v>
      </c>
      <c r="P77" s="23">
        <f t="shared" si="14"/>
        <v>0</v>
      </c>
      <c r="Q77" s="23">
        <f t="shared" si="14"/>
        <v>0</v>
      </c>
      <c r="R77" s="23">
        <f t="shared" si="14"/>
        <v>0</v>
      </c>
      <c r="S77" s="23">
        <f t="shared" si="14"/>
        <v>0</v>
      </c>
      <c r="T77" s="23">
        <f t="shared" si="14"/>
        <v>0</v>
      </c>
      <c r="U77" s="23">
        <f t="shared" si="14"/>
        <v>0</v>
      </c>
      <c r="V77" s="23">
        <f t="shared" si="14"/>
        <v>0</v>
      </c>
      <c r="W77" s="23">
        <f t="shared" si="14"/>
        <v>0</v>
      </c>
      <c r="X77" s="23">
        <f t="shared" si="14"/>
        <v>0</v>
      </c>
      <c r="Y77" s="23">
        <f t="shared" si="14"/>
        <v>0</v>
      </c>
      <c r="Z77" s="23">
        <f t="shared" si="14"/>
        <v>0</v>
      </c>
      <c r="AA77" s="23">
        <f t="shared" si="14"/>
        <v>0</v>
      </c>
      <c r="AB77" s="23">
        <f t="shared" si="14"/>
        <v>0</v>
      </c>
      <c r="AC77" s="23">
        <f t="shared" si="14"/>
        <v>0</v>
      </c>
      <c r="AD77" s="23">
        <f t="shared" si="14"/>
        <v>0</v>
      </c>
      <c r="AE77" s="23">
        <f t="shared" si="14"/>
        <v>0</v>
      </c>
      <c r="AF77" s="23">
        <f t="shared" si="14"/>
        <v>0</v>
      </c>
      <c r="AG77" s="23">
        <f t="shared" si="14"/>
        <v>0</v>
      </c>
      <c r="AH77" s="23">
        <f t="shared" si="14"/>
        <v>0</v>
      </c>
      <c r="AI77" s="23">
        <f t="shared" si="14"/>
        <v>0</v>
      </c>
      <c r="AJ77" s="23">
        <f t="shared" si="14"/>
        <v>0</v>
      </c>
      <c r="AK77" s="23">
        <f t="shared" si="14"/>
        <v>0</v>
      </c>
      <c r="AL77" s="23">
        <f t="shared" si="14"/>
        <v>0</v>
      </c>
      <c r="AM77" s="23">
        <f t="shared" si="14"/>
        <v>0</v>
      </c>
      <c r="AN77" s="23">
        <f t="shared" si="14"/>
        <v>0</v>
      </c>
      <c r="AO77" s="23">
        <f t="shared" si="14"/>
        <v>0</v>
      </c>
      <c r="AP77" s="23">
        <f t="shared" si="14"/>
        <v>0</v>
      </c>
      <c r="AQ77" s="23">
        <f t="shared" si="14"/>
        <v>0</v>
      </c>
      <c r="AR77" s="23">
        <f t="shared" si="14"/>
        <v>0</v>
      </c>
      <c r="AS77" s="23">
        <f t="shared" si="14"/>
        <v>0</v>
      </c>
      <c r="AT77" s="23">
        <f t="shared" si="14"/>
        <v>0</v>
      </c>
      <c r="AU77" s="23">
        <f t="shared" si="14"/>
        <v>0</v>
      </c>
      <c r="AV77" s="23">
        <f t="shared" si="14"/>
        <v>0</v>
      </c>
      <c r="AW77" s="23">
        <f t="shared" si="14"/>
        <v>0</v>
      </c>
      <c r="AX77" s="23">
        <f t="shared" si="14"/>
        <v>0</v>
      </c>
      <c r="AY77" s="23">
        <f t="shared" si="14"/>
        <v>0</v>
      </c>
      <c r="AZ77" s="23">
        <f t="shared" si="14"/>
        <v>0</v>
      </c>
      <c r="BA77" s="23">
        <f t="shared" si="14"/>
        <v>0</v>
      </c>
      <c r="BB77" s="23">
        <f t="shared" si="14"/>
        <v>0</v>
      </c>
      <c r="BC77" s="23">
        <f t="shared" si="14"/>
        <v>0</v>
      </c>
      <c r="BD77" s="23">
        <f t="shared" si="14"/>
        <v>0</v>
      </c>
      <c r="BE77" s="23">
        <f t="shared" si="14"/>
        <v>0</v>
      </c>
      <c r="BF77" s="23">
        <f t="shared" si="14"/>
        <v>0</v>
      </c>
      <c r="BG77" s="23">
        <f t="shared" si="14"/>
        <v>0</v>
      </c>
      <c r="BH77" s="23">
        <f t="shared" si="14"/>
        <v>0</v>
      </c>
      <c r="BI77" s="23">
        <f t="shared" si="14"/>
        <v>0</v>
      </c>
      <c r="BJ77" s="23">
        <f t="shared" si="14"/>
        <v>0</v>
      </c>
      <c r="BK77" s="23">
        <f t="shared" si="14"/>
        <v>0</v>
      </c>
      <c r="BL77" s="23">
        <f t="shared" si="14"/>
        <v>0</v>
      </c>
      <c r="BM77" s="23">
        <f t="shared" si="14"/>
        <v>0</v>
      </c>
      <c r="BN77" s="23">
        <f aca="true" t="shared" si="15" ref="BN77:BT77">SUM(BN75,BN61,BN33,BN6)</f>
        <v>0</v>
      </c>
      <c r="BO77" s="23">
        <f t="shared" si="15"/>
        <v>0</v>
      </c>
      <c r="BP77" s="23">
        <f t="shared" si="15"/>
        <v>0</v>
      </c>
      <c r="BQ77" s="23">
        <f t="shared" si="15"/>
        <v>3186</v>
      </c>
      <c r="BR77" s="23">
        <f t="shared" si="15"/>
        <v>4429.0134102</v>
      </c>
      <c r="BS77" s="23">
        <f t="shared" si="15"/>
        <v>5554.260511660001</v>
      </c>
      <c r="BT77" s="836">
        <f t="shared" si="15"/>
        <v>7049.547100000001</v>
      </c>
      <c r="DK77" s="832" t="s">
        <v>816</v>
      </c>
      <c r="DL77" s="833"/>
      <c r="DM77" s="829">
        <f>SUM(DM75,DM61,DM33,DM6)</f>
        <v>7050.626828374826</v>
      </c>
    </row>
    <row r="78" spans="69:71" ht="12.75">
      <c r="BQ78" s="1"/>
      <c r="BR78" s="1"/>
      <c r="BS78" s="1"/>
    </row>
    <row r="81" ht="12.75">
      <c r="BU81" t="s">
        <v>186</v>
      </c>
    </row>
  </sheetData>
  <mergeCells count="6">
    <mergeCell ref="CF1:CQ1"/>
    <mergeCell ref="CR1:DC1"/>
    <mergeCell ref="BQ1:BS1"/>
    <mergeCell ref="D1:H1"/>
    <mergeCell ref="I1:T1"/>
    <mergeCell ref="BT1:CE1"/>
  </mergeCells>
  <printOptions gridLines="1" headings="1"/>
  <pageMargins left="0.25" right="0.25" top="0.17" bottom="0.17" header="0.17" footer="0.17"/>
  <pageSetup fitToHeight="1" fitToWidth="1" horizontalDpi="600" verticalDpi="600" orientation="landscape" paperSize="218" scale="55" r:id="rId2"/>
  <headerFooter alignWithMargins="0">
    <oddFooter xml:space="preserve">&amp;R&amp;F    &amp;A    &amp;D   &amp;T  </oddFooter>
  </headerFooter>
  <ignoredErrors>
    <ignoredError sqref="BQ3 BQ5 BQ8 BQ9:BQ30 BQ47 BQ63:BQ74 BQ48:BQ59 BQ41:BQ46 D6:H6 J6:BO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H26"/>
  <sheetViews>
    <sheetView workbookViewId="0" topLeftCell="A1">
      <selection activeCell="I7" sqref="I7"/>
    </sheetView>
  </sheetViews>
  <sheetFormatPr defaultColWidth="9.140625" defaultRowHeight="12.75"/>
  <cols>
    <col min="2" max="2" width="11.421875" style="0" customWidth="1"/>
    <col min="3" max="3" width="33.28125" style="0" customWidth="1"/>
    <col min="4" max="4" width="19.00390625" style="0" bestFit="1" customWidth="1"/>
    <col min="5" max="6" width="20.140625" style="0" bestFit="1" customWidth="1"/>
    <col min="7" max="7" width="19.00390625" style="0" bestFit="1" customWidth="1"/>
    <col min="8" max="9" width="20.140625" style="0" bestFit="1" customWidth="1"/>
    <col min="10" max="15" width="10.421875" style="0" bestFit="1" customWidth="1"/>
    <col min="16" max="16" width="9.421875" style="0" bestFit="1" customWidth="1"/>
    <col min="17" max="17" width="9.8515625" style="0" bestFit="1" customWidth="1"/>
    <col min="18" max="21" width="10.421875" style="0" bestFit="1" customWidth="1"/>
    <col min="22" max="48" width="9.28125" style="0" bestFit="1" customWidth="1"/>
    <col min="59" max="59" width="9.140625" style="334" customWidth="1"/>
  </cols>
  <sheetData>
    <row r="5" spans="3:60" ht="12.75">
      <c r="C5" t="s">
        <v>572</v>
      </c>
      <c r="D5" s="17" t="s">
        <v>264</v>
      </c>
      <c r="E5" s="17" t="s">
        <v>265</v>
      </c>
      <c r="F5" s="17" t="s">
        <v>266</v>
      </c>
      <c r="G5" s="17" t="s">
        <v>267</v>
      </c>
      <c r="H5" s="17" t="s">
        <v>268</v>
      </c>
      <c r="I5" s="17" t="s">
        <v>269</v>
      </c>
      <c r="J5" s="17" t="s">
        <v>270</v>
      </c>
      <c r="K5" s="17" t="s">
        <v>271</v>
      </c>
      <c r="L5" s="17" t="s">
        <v>272</v>
      </c>
      <c r="M5" s="17" t="s">
        <v>273</v>
      </c>
      <c r="N5" s="17" t="s">
        <v>274</v>
      </c>
      <c r="O5" s="17" t="s">
        <v>275</v>
      </c>
      <c r="P5" s="17" t="s">
        <v>276</v>
      </c>
      <c r="Q5" s="17" t="s">
        <v>277</v>
      </c>
      <c r="R5" s="17" t="s">
        <v>278</v>
      </c>
      <c r="S5" s="17" t="s">
        <v>279</v>
      </c>
      <c r="T5" s="17" t="s">
        <v>280</v>
      </c>
      <c r="U5" s="17" t="s">
        <v>281</v>
      </c>
      <c r="V5" s="17" t="s">
        <v>282</v>
      </c>
      <c r="W5" s="17" t="s">
        <v>283</v>
      </c>
      <c r="X5" s="17" t="s">
        <v>284</v>
      </c>
      <c r="Y5" s="17" t="s">
        <v>285</v>
      </c>
      <c r="Z5" s="17" t="s">
        <v>286</v>
      </c>
      <c r="AA5" s="17" t="s">
        <v>287</v>
      </c>
      <c r="AB5" s="17" t="s">
        <v>288</v>
      </c>
      <c r="AC5" s="17" t="s">
        <v>289</v>
      </c>
      <c r="AD5" s="17" t="s">
        <v>290</v>
      </c>
      <c r="AE5" s="17" t="s">
        <v>291</v>
      </c>
      <c r="AF5" s="17" t="s">
        <v>292</v>
      </c>
      <c r="AG5" s="17" t="s">
        <v>313</v>
      </c>
      <c r="AH5" s="17" t="s">
        <v>314</v>
      </c>
      <c r="AI5" s="17" t="s">
        <v>315</v>
      </c>
      <c r="AJ5" s="17" t="s">
        <v>316</v>
      </c>
      <c r="AK5" s="17" t="s">
        <v>317</v>
      </c>
      <c r="AL5" s="17" t="s">
        <v>318</v>
      </c>
      <c r="AM5" s="17" t="s">
        <v>319</v>
      </c>
      <c r="AN5" s="17" t="s">
        <v>320</v>
      </c>
      <c r="AO5" s="17" t="s">
        <v>321</v>
      </c>
      <c r="AP5" s="17" t="s">
        <v>322</v>
      </c>
      <c r="AQ5" s="17" t="s">
        <v>307</v>
      </c>
      <c r="AR5" s="17" t="s">
        <v>308</v>
      </c>
      <c r="AS5" s="17" t="s">
        <v>323</v>
      </c>
      <c r="AT5" s="17" t="s">
        <v>324</v>
      </c>
      <c r="AU5" s="17" t="s">
        <v>325</v>
      </c>
      <c r="AV5" s="17" t="s">
        <v>326</v>
      </c>
      <c r="AW5" s="17" t="s">
        <v>327</v>
      </c>
      <c r="AX5" s="17" t="s">
        <v>328</v>
      </c>
      <c r="AY5" s="17" t="s">
        <v>329</v>
      </c>
      <c r="AZ5" s="17" t="s">
        <v>330</v>
      </c>
      <c r="BA5" s="17" t="s">
        <v>331</v>
      </c>
      <c r="BB5" s="17" t="s">
        <v>332</v>
      </c>
      <c r="BC5" s="17" t="s">
        <v>309</v>
      </c>
      <c r="BD5" s="17" t="s">
        <v>310</v>
      </c>
      <c r="BE5" s="17" t="s">
        <v>333</v>
      </c>
      <c r="BF5" s="17" t="s">
        <v>334</v>
      </c>
      <c r="BG5" s="333" t="s">
        <v>335</v>
      </c>
      <c r="BH5" s="17"/>
    </row>
    <row r="6" ht="17.25">
      <c r="B6" s="325" t="s">
        <v>565</v>
      </c>
    </row>
    <row r="7" spans="3:20" ht="12.75">
      <c r="C7" t="s">
        <v>566</v>
      </c>
      <c r="D7" s="306">
        <v>14380</v>
      </c>
      <c r="E7" s="306">
        <v>14380</v>
      </c>
      <c r="F7" s="306">
        <v>14380</v>
      </c>
      <c r="G7" s="306">
        <v>14380</v>
      </c>
      <c r="H7" s="306">
        <v>14380</v>
      </c>
      <c r="I7" s="306">
        <v>14380</v>
      </c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</row>
    <row r="8" spans="3:20" ht="12.75">
      <c r="C8" t="s">
        <v>567</v>
      </c>
      <c r="D8" s="306">
        <v>0</v>
      </c>
      <c r="E8" s="306">
        <v>0</v>
      </c>
      <c r="F8" s="306">
        <v>0</v>
      </c>
      <c r="G8" s="306">
        <v>0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</row>
    <row r="9" spans="3:20" ht="12.75">
      <c r="C9" s="326" t="s">
        <v>569</v>
      </c>
      <c r="D9" s="328" t="s">
        <v>570</v>
      </c>
      <c r="E9" s="328" t="s">
        <v>570</v>
      </c>
      <c r="F9" s="328" t="s">
        <v>570</v>
      </c>
      <c r="G9" s="328" t="s">
        <v>570</v>
      </c>
      <c r="H9" s="328" t="s">
        <v>570</v>
      </c>
      <c r="I9" s="328" t="s">
        <v>570</v>
      </c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</row>
    <row r="10" spans="3:20" ht="12.75">
      <c r="C10" t="s">
        <v>731</v>
      </c>
      <c r="D10" s="306">
        <v>0</v>
      </c>
      <c r="E10" s="306">
        <v>0</v>
      </c>
      <c r="F10" s="306">
        <v>0</v>
      </c>
      <c r="G10" s="306">
        <v>0</v>
      </c>
      <c r="H10" s="306">
        <v>-531</v>
      </c>
      <c r="I10" s="306">
        <f>-SUM('COST PERFORMANCE BY RLM &amp; JOB'!X82)</f>
        <v>-42.746899627651146</v>
      </c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</row>
    <row r="11" spans="3:20" ht="12.75">
      <c r="C11" t="s">
        <v>732</v>
      </c>
      <c r="D11" s="306">
        <v>-209.45471999999995</v>
      </c>
      <c r="E11" s="306">
        <v>49.055450000000064</v>
      </c>
      <c r="F11" s="306">
        <v>671.9424374648838</v>
      </c>
      <c r="G11" s="306">
        <v>452.1688476648842</v>
      </c>
      <c r="H11" s="306">
        <v>278</v>
      </c>
      <c r="I11" s="306">
        <f>SUM('COST PERFORMANCE BY RLM &amp; JOB'!I82)</f>
        <v>900.9455374648851</v>
      </c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</row>
    <row r="12" spans="2:20" ht="15">
      <c r="B12" s="338"/>
      <c r="C12" t="s">
        <v>733</v>
      </c>
      <c r="D12" s="321">
        <v>0</v>
      </c>
      <c r="E12" s="321">
        <v>0</v>
      </c>
      <c r="F12" s="321">
        <v>0</v>
      </c>
      <c r="G12" s="321">
        <f>+G24*202</f>
        <v>-221.23809523809527</v>
      </c>
      <c r="H12" s="321">
        <f>+H24*202</f>
        <v>-548.2857142857143</v>
      </c>
      <c r="I12" s="321">
        <f>+I24*202</f>
        <v>-375.114</v>
      </c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</row>
    <row r="13" spans="1:20" ht="13.5">
      <c r="A13" s="337"/>
      <c r="B13" s="337"/>
      <c r="C13" s="322" t="s">
        <v>575</v>
      </c>
      <c r="D13" s="324">
        <f aca="true" t="shared" si="0" ref="D13:I13">SUM(D7:D12)</f>
        <v>14170.54528</v>
      </c>
      <c r="E13" s="324">
        <f t="shared" si="0"/>
        <v>14429.05545</v>
      </c>
      <c r="F13" s="324">
        <f t="shared" si="0"/>
        <v>15051.942437464884</v>
      </c>
      <c r="G13" s="324">
        <f t="shared" si="0"/>
        <v>14610.93075242679</v>
      </c>
      <c r="H13" s="324">
        <f t="shared" si="0"/>
        <v>13578.714285714286</v>
      </c>
      <c r="I13" s="324">
        <f t="shared" si="0"/>
        <v>14863.084637837235</v>
      </c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</row>
    <row r="14" ht="12.75">
      <c r="B14" s="338"/>
    </row>
    <row r="15" spans="2:9" ht="12.75">
      <c r="B15" s="338"/>
      <c r="C15" t="s">
        <v>568</v>
      </c>
      <c r="D15" s="306">
        <f>50854-Summary!F35-D10-D12</f>
        <v>50433</v>
      </c>
      <c r="E15" s="306">
        <f>50854-Summary!G35-E10-E12</f>
        <v>49162</v>
      </c>
      <c r="F15" s="306">
        <f>50854-Summary!H35-F10-F12</f>
        <v>47668</v>
      </c>
      <c r="G15" s="306">
        <f>50853-4429</f>
        <v>46424</v>
      </c>
      <c r="H15" s="306">
        <f>50853-5554</f>
        <v>45299</v>
      </c>
      <c r="I15" s="306">
        <f>50853-'COST PERFORMANCE BY RLM &amp; JOB'!D82</f>
        <v>43803.4529</v>
      </c>
    </row>
    <row r="16" spans="2:9" ht="13.5">
      <c r="B16" s="338"/>
      <c r="C16" s="322" t="s">
        <v>576</v>
      </c>
      <c r="D16" s="323">
        <f aca="true" t="shared" si="1" ref="D16:I16">+D13/D15</f>
        <v>0.2809776392441457</v>
      </c>
      <c r="E16" s="323">
        <f t="shared" si="1"/>
        <v>0.29350017188072086</v>
      </c>
      <c r="F16" s="323">
        <f t="shared" si="1"/>
        <v>0.3157661835500731</v>
      </c>
      <c r="G16" s="323">
        <f t="shared" si="1"/>
        <v>0.314727958651275</v>
      </c>
      <c r="H16" s="323">
        <f t="shared" si="1"/>
        <v>0.2997574843973219</v>
      </c>
      <c r="I16" s="323">
        <f t="shared" si="1"/>
        <v>0.33931308273273675</v>
      </c>
    </row>
    <row r="17" spans="2:48" ht="12.75">
      <c r="B17" s="338"/>
      <c r="C17" t="s">
        <v>573</v>
      </c>
      <c r="D17" s="320">
        <v>0.283</v>
      </c>
      <c r="E17" s="320">
        <v>0.283</v>
      </c>
      <c r="F17" s="320">
        <v>0.283</v>
      </c>
      <c r="G17" s="320">
        <v>0.283</v>
      </c>
      <c r="H17" s="320">
        <v>0.283</v>
      </c>
      <c r="I17" s="320">
        <v>0.283</v>
      </c>
      <c r="J17" s="320">
        <v>0.283</v>
      </c>
      <c r="K17" s="320">
        <v>0.283</v>
      </c>
      <c r="L17" s="320">
        <v>0.283</v>
      </c>
      <c r="M17" s="320">
        <v>0.283</v>
      </c>
      <c r="N17" s="320">
        <v>0.283</v>
      </c>
      <c r="O17" s="320">
        <v>0.283</v>
      </c>
      <c r="P17" s="320">
        <v>0.283</v>
      </c>
      <c r="Q17" s="320">
        <v>0.283</v>
      </c>
      <c r="R17" s="320">
        <v>0.283</v>
      </c>
      <c r="S17" s="320">
        <v>0.283</v>
      </c>
      <c r="T17" s="320">
        <v>0.283</v>
      </c>
      <c r="U17" s="320">
        <v>0.283</v>
      </c>
      <c r="V17" s="320">
        <v>0.283</v>
      </c>
      <c r="W17" s="320">
        <v>0.283</v>
      </c>
      <c r="X17" s="320">
        <v>0.283</v>
      </c>
      <c r="Y17" s="320">
        <v>0.283</v>
      </c>
      <c r="Z17" s="320">
        <v>0.283</v>
      </c>
      <c r="AA17" s="320">
        <v>0.283</v>
      </c>
      <c r="AB17" s="320">
        <v>0.283</v>
      </c>
      <c r="AC17" s="320">
        <v>0.283</v>
      </c>
      <c r="AD17" s="320">
        <v>0.283</v>
      </c>
      <c r="AE17" s="320">
        <v>0.283</v>
      </c>
      <c r="AF17" s="320">
        <v>0.283</v>
      </c>
      <c r="AG17" s="320">
        <v>0.283</v>
      </c>
      <c r="AH17" s="320">
        <v>0.283</v>
      </c>
      <c r="AI17" s="320">
        <v>0.283</v>
      </c>
      <c r="AJ17" s="320">
        <v>0.283</v>
      </c>
      <c r="AK17" s="320">
        <v>0.283</v>
      </c>
      <c r="AL17" s="320">
        <v>0.283</v>
      </c>
      <c r="AM17" s="320">
        <v>0.283</v>
      </c>
      <c r="AN17" s="320">
        <v>0.283</v>
      </c>
      <c r="AO17" s="320">
        <v>0.283</v>
      </c>
      <c r="AP17" s="320">
        <v>0.283</v>
      </c>
      <c r="AQ17" s="320">
        <v>0.283</v>
      </c>
      <c r="AR17" s="320">
        <v>0.283</v>
      </c>
      <c r="AS17" s="320">
        <v>0.283</v>
      </c>
      <c r="AT17" s="320">
        <v>0.283</v>
      </c>
      <c r="AU17" s="320">
        <v>0.283</v>
      </c>
      <c r="AV17" s="320">
        <v>0.283</v>
      </c>
    </row>
    <row r="18" spans="2:48" ht="12.75">
      <c r="B18" s="338"/>
      <c r="C18" t="s">
        <v>568</v>
      </c>
      <c r="D18" s="319">
        <f>50625-D19</f>
        <v>50004</v>
      </c>
      <c r="E18" s="319">
        <f>+D18-E19</f>
        <v>48796</v>
      </c>
      <c r="F18" s="319">
        <f aca="true" t="shared" si="2" ref="F18:AV18">+E18-F19</f>
        <v>47244</v>
      </c>
      <c r="G18" s="319">
        <f t="shared" si="2"/>
        <v>45880</v>
      </c>
      <c r="H18" s="319">
        <f t="shared" si="2"/>
        <v>44747</v>
      </c>
      <c r="I18" s="319">
        <f t="shared" si="2"/>
        <v>42784</v>
      </c>
      <c r="J18" s="319">
        <f t="shared" si="2"/>
        <v>41635</v>
      </c>
      <c r="K18" s="319">
        <f t="shared" si="2"/>
        <v>40752</v>
      </c>
      <c r="L18" s="319">
        <f t="shared" si="2"/>
        <v>39450</v>
      </c>
      <c r="M18" s="319">
        <f t="shared" si="2"/>
        <v>38335</v>
      </c>
      <c r="N18" s="319">
        <f t="shared" si="2"/>
        <v>37213</v>
      </c>
      <c r="O18" s="319">
        <f t="shared" si="2"/>
        <v>36161</v>
      </c>
      <c r="P18" s="319">
        <f t="shared" si="2"/>
        <v>35165</v>
      </c>
      <c r="Q18" s="319">
        <f t="shared" si="2"/>
        <v>34114</v>
      </c>
      <c r="R18" s="319">
        <f t="shared" si="2"/>
        <v>32769</v>
      </c>
      <c r="S18" s="319">
        <f t="shared" si="2"/>
        <v>31484</v>
      </c>
      <c r="T18" s="319">
        <f t="shared" si="2"/>
        <v>30259</v>
      </c>
      <c r="U18" s="319">
        <f t="shared" si="2"/>
        <v>28922</v>
      </c>
      <c r="V18" s="319">
        <f t="shared" si="2"/>
        <v>27784</v>
      </c>
      <c r="W18" s="319">
        <f t="shared" si="2"/>
        <v>26546</v>
      </c>
      <c r="X18" s="319">
        <f t="shared" si="2"/>
        <v>25056</v>
      </c>
      <c r="Y18" s="319">
        <f t="shared" si="2"/>
        <v>23790</v>
      </c>
      <c r="Z18" s="319">
        <f t="shared" si="2"/>
        <v>22420</v>
      </c>
      <c r="AA18" s="319">
        <f t="shared" si="2"/>
        <v>21112</v>
      </c>
      <c r="AB18" s="319">
        <f t="shared" si="2"/>
        <v>19903</v>
      </c>
      <c r="AC18" s="319">
        <f t="shared" si="2"/>
        <v>18646</v>
      </c>
      <c r="AD18" s="319">
        <f t="shared" si="2"/>
        <v>17495</v>
      </c>
      <c r="AE18" s="319">
        <f t="shared" si="2"/>
        <v>16340</v>
      </c>
      <c r="AF18" s="319">
        <f t="shared" si="2"/>
        <v>15192</v>
      </c>
      <c r="AG18" s="319">
        <f t="shared" si="2"/>
        <v>13640</v>
      </c>
      <c r="AH18" s="319">
        <f t="shared" si="2"/>
        <v>12387</v>
      </c>
      <c r="AI18" s="319">
        <f t="shared" si="2"/>
        <v>11389</v>
      </c>
      <c r="AJ18" s="319">
        <f t="shared" si="2"/>
        <v>10182</v>
      </c>
      <c r="AK18" s="319">
        <f t="shared" si="2"/>
        <v>9153</v>
      </c>
      <c r="AL18" s="319">
        <f t="shared" si="2"/>
        <v>7846</v>
      </c>
      <c r="AM18" s="319">
        <f t="shared" si="2"/>
        <v>6639</v>
      </c>
      <c r="AN18" s="319">
        <f t="shared" si="2"/>
        <v>5680</v>
      </c>
      <c r="AO18" s="319">
        <f t="shared" si="2"/>
        <v>4777</v>
      </c>
      <c r="AP18" s="319">
        <f t="shared" si="2"/>
        <v>4013</v>
      </c>
      <c r="AQ18" s="319">
        <f t="shared" si="2"/>
        <v>3276</v>
      </c>
      <c r="AR18" s="319">
        <f t="shared" si="2"/>
        <v>2599</v>
      </c>
      <c r="AS18" s="319">
        <f t="shared" si="2"/>
        <v>1755</v>
      </c>
      <c r="AT18" s="319">
        <f t="shared" si="2"/>
        <v>1017</v>
      </c>
      <c r="AU18" s="319">
        <f t="shared" si="2"/>
        <v>391</v>
      </c>
      <c r="AV18" s="319">
        <f t="shared" si="2"/>
        <v>0</v>
      </c>
    </row>
    <row r="19" spans="2:50" ht="12.75">
      <c r="B19" s="338"/>
      <c r="C19" t="s">
        <v>187</v>
      </c>
      <c r="D19" s="23">
        <v>621</v>
      </c>
      <c r="E19" s="23">
        <v>1208</v>
      </c>
      <c r="F19" s="23">
        <v>1552</v>
      </c>
      <c r="G19" s="23">
        <v>1364</v>
      </c>
      <c r="H19" s="23">
        <v>1133</v>
      </c>
      <c r="I19" s="23">
        <v>1963</v>
      </c>
      <c r="J19" s="23">
        <v>1149</v>
      </c>
      <c r="K19" s="23">
        <v>883</v>
      </c>
      <c r="L19" s="23">
        <v>1302</v>
      </c>
      <c r="M19" s="23">
        <v>1115</v>
      </c>
      <c r="N19" s="23">
        <v>1122</v>
      </c>
      <c r="O19" s="23">
        <v>1052</v>
      </c>
      <c r="P19" s="23">
        <v>996</v>
      </c>
      <c r="Q19" s="23">
        <v>1051</v>
      </c>
      <c r="R19" s="23">
        <v>1345</v>
      </c>
      <c r="S19" s="23">
        <v>1285</v>
      </c>
      <c r="T19" s="23">
        <v>1225</v>
      </c>
      <c r="U19" s="23">
        <v>1337</v>
      </c>
      <c r="V19" s="23">
        <v>1138</v>
      </c>
      <c r="W19" s="23">
        <v>1238</v>
      </c>
      <c r="X19" s="23">
        <v>1490</v>
      </c>
      <c r="Y19" s="23">
        <v>1266</v>
      </c>
      <c r="Z19" s="23">
        <v>1370</v>
      </c>
      <c r="AA19" s="23">
        <v>1308</v>
      </c>
      <c r="AB19" s="23">
        <v>1209</v>
      </c>
      <c r="AC19" s="23">
        <v>1257</v>
      </c>
      <c r="AD19" s="23">
        <v>1151</v>
      </c>
      <c r="AE19" s="23">
        <v>1155</v>
      </c>
      <c r="AF19" s="23">
        <v>1148</v>
      </c>
      <c r="AG19" s="23">
        <v>1552</v>
      </c>
      <c r="AH19" s="23">
        <v>1253</v>
      </c>
      <c r="AI19" s="23">
        <v>998</v>
      </c>
      <c r="AJ19" s="23">
        <v>1207</v>
      </c>
      <c r="AK19" s="23">
        <v>1029</v>
      </c>
      <c r="AL19" s="23">
        <v>1307</v>
      </c>
      <c r="AM19" s="23">
        <v>1207</v>
      </c>
      <c r="AN19" s="23">
        <v>959</v>
      </c>
      <c r="AO19" s="23">
        <v>903</v>
      </c>
      <c r="AP19" s="23">
        <v>764</v>
      </c>
      <c r="AQ19" s="23">
        <v>737</v>
      </c>
      <c r="AR19" s="23">
        <v>677</v>
      </c>
      <c r="AS19" s="23">
        <v>844</v>
      </c>
      <c r="AT19" s="23">
        <v>738</v>
      </c>
      <c r="AU19" s="23">
        <v>626</v>
      </c>
      <c r="AV19" s="23">
        <v>391</v>
      </c>
      <c r="AX19" s="319">
        <f>SUM(D19:AW19)</f>
        <v>50625</v>
      </c>
    </row>
    <row r="20" spans="1:59" s="306" customFormat="1" ht="12.75">
      <c r="A20" s="336"/>
      <c r="B20" s="336"/>
      <c r="C20" s="335" t="s">
        <v>574</v>
      </c>
      <c r="D20" s="306">
        <f>+D17*D18</f>
        <v>14151.131999999998</v>
      </c>
      <c r="E20" s="306">
        <f aca="true" t="shared" si="3" ref="E20:AV20">+E17*E18</f>
        <v>13809.267999999998</v>
      </c>
      <c r="F20" s="306">
        <f t="shared" si="3"/>
        <v>13370.051999999998</v>
      </c>
      <c r="G20" s="306">
        <f t="shared" si="3"/>
        <v>12984.039999999999</v>
      </c>
      <c r="H20" s="306">
        <f t="shared" si="3"/>
        <v>12663.400999999998</v>
      </c>
      <c r="I20" s="306">
        <f t="shared" si="3"/>
        <v>12107.872</v>
      </c>
      <c r="J20" s="306">
        <f t="shared" si="3"/>
        <v>11782.704999999998</v>
      </c>
      <c r="K20" s="306">
        <f t="shared" si="3"/>
        <v>11532.815999999999</v>
      </c>
      <c r="L20" s="306">
        <f t="shared" si="3"/>
        <v>11164.349999999999</v>
      </c>
      <c r="M20" s="306">
        <f t="shared" si="3"/>
        <v>10848.804999999998</v>
      </c>
      <c r="N20" s="306">
        <f t="shared" si="3"/>
        <v>10531.278999999999</v>
      </c>
      <c r="O20" s="306">
        <f t="shared" si="3"/>
        <v>10233.562999999998</v>
      </c>
      <c r="P20" s="306">
        <f t="shared" si="3"/>
        <v>9951.695</v>
      </c>
      <c r="Q20" s="306">
        <f t="shared" si="3"/>
        <v>9654.261999999999</v>
      </c>
      <c r="R20" s="306">
        <f t="shared" si="3"/>
        <v>9273.626999999999</v>
      </c>
      <c r="S20" s="306">
        <f t="shared" si="3"/>
        <v>8909.972</v>
      </c>
      <c r="T20" s="306">
        <f t="shared" si="3"/>
        <v>8563.296999999999</v>
      </c>
      <c r="U20" s="306">
        <f t="shared" si="3"/>
        <v>8184.9259999999995</v>
      </c>
      <c r="V20" s="306">
        <f t="shared" si="3"/>
        <v>7862.871999999999</v>
      </c>
      <c r="W20" s="306">
        <f t="shared" si="3"/>
        <v>7512.517999999999</v>
      </c>
      <c r="X20" s="306">
        <f t="shared" si="3"/>
        <v>7090.847999999999</v>
      </c>
      <c r="Y20" s="306">
        <f t="shared" si="3"/>
        <v>6732.57</v>
      </c>
      <c r="Z20" s="306">
        <f t="shared" si="3"/>
        <v>6344.86</v>
      </c>
      <c r="AA20" s="306">
        <f t="shared" si="3"/>
        <v>5974.695999999999</v>
      </c>
      <c r="AB20" s="306">
        <f t="shared" si="3"/>
        <v>5632.548999999999</v>
      </c>
      <c r="AC20" s="306">
        <f t="shared" si="3"/>
        <v>5276.817999999999</v>
      </c>
      <c r="AD20" s="306">
        <f t="shared" si="3"/>
        <v>4951.084999999999</v>
      </c>
      <c r="AE20" s="306">
        <f t="shared" si="3"/>
        <v>4624.219999999999</v>
      </c>
      <c r="AF20" s="306">
        <f t="shared" si="3"/>
        <v>4299.335999999999</v>
      </c>
      <c r="AG20" s="306">
        <f t="shared" si="3"/>
        <v>3860.1199999999994</v>
      </c>
      <c r="AH20" s="306">
        <f t="shared" si="3"/>
        <v>3505.5209999999997</v>
      </c>
      <c r="AI20" s="306">
        <f t="shared" si="3"/>
        <v>3223.0869999999995</v>
      </c>
      <c r="AJ20" s="306">
        <f t="shared" si="3"/>
        <v>2881.506</v>
      </c>
      <c r="AK20" s="306">
        <f t="shared" si="3"/>
        <v>2590.299</v>
      </c>
      <c r="AL20" s="306">
        <f t="shared" si="3"/>
        <v>2220.4179999999997</v>
      </c>
      <c r="AM20" s="306">
        <f t="shared" si="3"/>
        <v>1878.8369999999998</v>
      </c>
      <c r="AN20" s="306">
        <f t="shared" si="3"/>
        <v>1607.4399999999998</v>
      </c>
      <c r="AO20" s="306">
        <f t="shared" si="3"/>
        <v>1351.8909999999998</v>
      </c>
      <c r="AP20" s="306">
        <f t="shared" si="3"/>
        <v>1135.6789999999999</v>
      </c>
      <c r="AQ20" s="306">
        <f t="shared" si="3"/>
        <v>927.108</v>
      </c>
      <c r="AR20" s="306">
        <f t="shared" si="3"/>
        <v>735.5169999999999</v>
      </c>
      <c r="AS20" s="306">
        <f t="shared" si="3"/>
        <v>496.66499999999996</v>
      </c>
      <c r="AT20" s="306">
        <f t="shared" si="3"/>
        <v>287.811</v>
      </c>
      <c r="AU20" s="306">
        <f t="shared" si="3"/>
        <v>110.65299999999999</v>
      </c>
      <c r="AV20" s="306">
        <f t="shared" si="3"/>
        <v>0</v>
      </c>
      <c r="BG20" s="327"/>
    </row>
    <row r="21" ht="17.25">
      <c r="B21" s="325" t="s">
        <v>248</v>
      </c>
    </row>
    <row r="22" spans="3:9" ht="12.75">
      <c r="C22" t="s">
        <v>566</v>
      </c>
      <c r="D22">
        <v>11</v>
      </c>
      <c r="E22">
        <v>11</v>
      </c>
      <c r="F22">
        <v>11</v>
      </c>
      <c r="G22">
        <v>11</v>
      </c>
      <c r="H22">
        <v>11</v>
      </c>
      <c r="I22">
        <v>11</v>
      </c>
    </row>
    <row r="23" spans="3:9" ht="12.75">
      <c r="C23" t="s">
        <v>571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3:9" ht="12.75">
      <c r="C24" t="s">
        <v>827</v>
      </c>
      <c r="D24" s="330">
        <v>0</v>
      </c>
      <c r="E24" s="330">
        <v>0</v>
      </c>
      <c r="F24" s="330">
        <v>0</v>
      </c>
      <c r="G24" s="332">
        <f>-23/21</f>
        <v>-1.0952380952380953</v>
      </c>
      <c r="H24" s="689">
        <f>-57/21</f>
        <v>-2.7142857142857144</v>
      </c>
      <c r="I24" s="330">
        <v>-1.857</v>
      </c>
    </row>
    <row r="25" spans="3:9" ht="13.5">
      <c r="C25" s="322" t="s">
        <v>577</v>
      </c>
      <c r="D25" s="331">
        <f aca="true" t="shared" si="4" ref="D25:I25">SUM(D22:D24)</f>
        <v>11</v>
      </c>
      <c r="E25" s="331">
        <f t="shared" si="4"/>
        <v>11</v>
      </c>
      <c r="F25" s="331">
        <f t="shared" si="4"/>
        <v>11</v>
      </c>
      <c r="G25" s="331">
        <f t="shared" si="4"/>
        <v>9.904761904761905</v>
      </c>
      <c r="H25" s="331">
        <f t="shared" si="4"/>
        <v>8.285714285714285</v>
      </c>
      <c r="I25" s="331">
        <f t="shared" si="4"/>
        <v>9.143</v>
      </c>
    </row>
    <row r="26" spans="3:59" ht="12.75">
      <c r="C26" t="s">
        <v>578</v>
      </c>
      <c r="D26" s="10">
        <f>11-(11/56)</f>
        <v>10.803571428571429</v>
      </c>
      <c r="E26" s="10">
        <f>+D26-(11/56)</f>
        <v>10.607142857142858</v>
      </c>
      <c r="F26" s="10">
        <f aca="true" t="shared" si="5" ref="F26:BF26">+E26-(11/56)</f>
        <v>10.410714285714286</v>
      </c>
      <c r="G26" s="10">
        <f>+F26-(11/56)</f>
        <v>10.214285714285715</v>
      </c>
      <c r="H26" s="10">
        <f t="shared" si="5"/>
        <v>10.017857142857144</v>
      </c>
      <c r="I26" s="10">
        <f t="shared" si="5"/>
        <v>9.821428571428573</v>
      </c>
      <c r="J26" s="10">
        <f t="shared" si="5"/>
        <v>9.625000000000002</v>
      </c>
      <c r="K26" s="10">
        <f t="shared" si="5"/>
        <v>9.42857142857143</v>
      </c>
      <c r="L26" s="10">
        <f t="shared" si="5"/>
        <v>9.23214285714286</v>
      </c>
      <c r="M26" s="10">
        <f t="shared" si="5"/>
        <v>9.035714285714288</v>
      </c>
      <c r="N26" s="10">
        <f t="shared" si="5"/>
        <v>8.839285714285717</v>
      </c>
      <c r="O26" s="10">
        <f t="shared" si="5"/>
        <v>8.642857142857146</v>
      </c>
      <c r="P26" s="10">
        <f t="shared" si="5"/>
        <v>8.446428571428575</v>
      </c>
      <c r="Q26" s="10">
        <f t="shared" si="5"/>
        <v>8.250000000000004</v>
      </c>
      <c r="R26" s="10">
        <f t="shared" si="5"/>
        <v>8.053571428571432</v>
      </c>
      <c r="S26" s="10">
        <f t="shared" si="5"/>
        <v>7.857142857142861</v>
      </c>
      <c r="T26" s="10">
        <f t="shared" si="5"/>
        <v>7.66071428571429</v>
      </c>
      <c r="U26" s="10">
        <f t="shared" si="5"/>
        <v>7.464285714285719</v>
      </c>
      <c r="V26" s="10">
        <f t="shared" si="5"/>
        <v>7.267857142857148</v>
      </c>
      <c r="W26" s="10">
        <f t="shared" si="5"/>
        <v>7.0714285714285765</v>
      </c>
      <c r="X26" s="10">
        <f t="shared" si="5"/>
        <v>6.875000000000005</v>
      </c>
      <c r="Y26" s="10">
        <f t="shared" si="5"/>
        <v>6.678571428571434</v>
      </c>
      <c r="Z26" s="10">
        <f t="shared" si="5"/>
        <v>6.482142857142863</v>
      </c>
      <c r="AA26" s="10">
        <f t="shared" si="5"/>
        <v>6.285714285714292</v>
      </c>
      <c r="AB26" s="10">
        <f t="shared" si="5"/>
        <v>6.089285714285721</v>
      </c>
      <c r="AC26" s="10">
        <f t="shared" si="5"/>
        <v>5.8928571428571495</v>
      </c>
      <c r="AD26" s="10">
        <f t="shared" si="5"/>
        <v>5.696428571428578</v>
      </c>
      <c r="AE26" s="10">
        <f t="shared" si="5"/>
        <v>5.500000000000007</v>
      </c>
      <c r="AF26" s="10">
        <f t="shared" si="5"/>
        <v>5.303571428571436</v>
      </c>
      <c r="AG26" s="10">
        <f t="shared" si="5"/>
        <v>5.107142857142865</v>
      </c>
      <c r="AH26" s="10">
        <f t="shared" si="5"/>
        <v>4.910714285714294</v>
      </c>
      <c r="AI26" s="10">
        <f t="shared" si="5"/>
        <v>4.714285714285722</v>
      </c>
      <c r="AJ26" s="10">
        <f t="shared" si="5"/>
        <v>4.517857142857151</v>
      </c>
      <c r="AK26" s="10">
        <f t="shared" si="5"/>
        <v>4.32142857142858</v>
      </c>
      <c r="AL26" s="10">
        <f t="shared" si="5"/>
        <v>4.125000000000009</v>
      </c>
      <c r="AM26" s="10">
        <f t="shared" si="5"/>
        <v>3.9285714285714373</v>
      </c>
      <c r="AN26" s="10">
        <f t="shared" si="5"/>
        <v>3.7321428571428656</v>
      </c>
      <c r="AO26" s="10">
        <f t="shared" si="5"/>
        <v>3.535714285714294</v>
      </c>
      <c r="AP26" s="10">
        <f t="shared" si="5"/>
        <v>3.3392857142857224</v>
      </c>
      <c r="AQ26" s="10">
        <f t="shared" si="5"/>
        <v>3.142857142857151</v>
      </c>
      <c r="AR26" s="10">
        <f t="shared" si="5"/>
        <v>2.946428571428579</v>
      </c>
      <c r="AS26" s="10">
        <f t="shared" si="5"/>
        <v>2.7500000000000075</v>
      </c>
      <c r="AT26" s="10">
        <f t="shared" si="5"/>
        <v>2.553571428571436</v>
      </c>
      <c r="AU26" s="10">
        <f t="shared" si="5"/>
        <v>2.3571428571428643</v>
      </c>
      <c r="AV26" s="10">
        <f t="shared" si="5"/>
        <v>2.1607142857142927</v>
      </c>
      <c r="AW26" s="10">
        <f t="shared" si="5"/>
        <v>1.9642857142857213</v>
      </c>
      <c r="AX26" s="10">
        <f t="shared" si="5"/>
        <v>1.76785714285715</v>
      </c>
      <c r="AY26" s="10">
        <f t="shared" si="5"/>
        <v>1.5714285714285785</v>
      </c>
      <c r="AZ26" s="10">
        <f t="shared" si="5"/>
        <v>1.375000000000007</v>
      </c>
      <c r="BA26" s="10">
        <f t="shared" si="5"/>
        <v>1.1785714285714357</v>
      </c>
      <c r="BB26" s="10">
        <f t="shared" si="5"/>
        <v>0.9821428571428643</v>
      </c>
      <c r="BC26" s="10">
        <f t="shared" si="5"/>
        <v>0.7857142857142929</v>
      </c>
      <c r="BD26" s="10">
        <f t="shared" si="5"/>
        <v>0.5892857142857215</v>
      </c>
      <c r="BE26" s="10">
        <f t="shared" si="5"/>
        <v>0.3928571428571501</v>
      </c>
      <c r="BF26" s="10">
        <f t="shared" si="5"/>
        <v>0.1964285714285787</v>
      </c>
      <c r="BG26" s="329">
        <f>+BF26-(11/56)</f>
        <v>7.271960811294775E-15</v>
      </c>
    </row>
  </sheetData>
  <printOptions gridLines="1"/>
  <pageMargins left="0.46" right="0.3" top="0.54" bottom="0.37" header="0.5" footer="0.19"/>
  <pageSetup fitToHeight="1" fitToWidth="1" horizontalDpi="600" verticalDpi="600" orientation="portrait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1"/>
  <sheetViews>
    <sheetView workbookViewId="0" topLeftCell="A2">
      <pane ySplit="4" topLeftCell="BM6" activePane="bottomLeft" state="frozen"/>
      <selection pane="topLeft" activeCell="A2" sqref="A2"/>
      <selection pane="bottomLeft" activeCell="V54" sqref="V54"/>
    </sheetView>
  </sheetViews>
  <sheetFormatPr defaultColWidth="9.140625" defaultRowHeight="12.75"/>
  <cols>
    <col min="1" max="1" width="8.140625" style="680" customWidth="1"/>
    <col min="2" max="2" width="42.00390625" style="431" customWidth="1"/>
    <col min="3" max="4" width="8.57421875" style="241" customWidth="1"/>
    <col min="5" max="5" width="8.421875" style="241" customWidth="1"/>
    <col min="6" max="6" width="5.57421875" style="447" customWidth="1"/>
    <col min="7" max="7" width="8.00390625" style="448" customWidth="1"/>
    <col min="8" max="8" width="8.140625" style="448" customWidth="1"/>
    <col min="9" max="9" width="7.140625" style="431" customWidth="1"/>
    <col min="10" max="10" width="1.1484375" style="431" customWidth="1"/>
    <col min="11" max="13" width="5.57421875" style="241" customWidth="1"/>
    <col min="14" max="14" width="5.57421875" style="447" hidden="1" customWidth="1"/>
    <col min="15" max="15" width="5.57421875" style="448" hidden="1" customWidth="1"/>
    <col min="16" max="16" width="5.57421875" style="448" customWidth="1"/>
    <col min="17" max="17" width="5.57421875" style="449" customWidth="1"/>
    <col min="18" max="18" width="13.7109375" style="431" customWidth="1"/>
    <col min="19" max="19" width="6.140625" style="431" hidden="1" customWidth="1"/>
    <col min="20" max="20" width="7.421875" style="431" hidden="1" customWidth="1"/>
    <col min="21" max="21" width="7.57421875" style="431" hidden="1" customWidth="1"/>
    <col min="22" max="22" width="12.57421875" style="431" customWidth="1"/>
    <col min="23" max="23" width="11.140625" style="431" customWidth="1"/>
    <col min="24" max="24" width="7.140625" style="431" customWidth="1"/>
    <col min="25" max="25" width="12.00390625" style="431" customWidth="1"/>
    <col min="26" max="16384" width="9.140625" style="431" customWidth="1"/>
  </cols>
  <sheetData>
    <row r="1" spans="1:21" s="318" customFormat="1" ht="17.25">
      <c r="A1" s="668" t="s">
        <v>540</v>
      </c>
      <c r="B1" s="314"/>
      <c r="C1" s="315"/>
      <c r="D1" s="315"/>
      <c r="E1" s="315"/>
      <c r="F1" s="316"/>
      <c r="G1" s="314"/>
      <c r="H1" s="314"/>
      <c r="I1" s="314"/>
      <c r="J1" s="314"/>
      <c r="K1" s="315"/>
      <c r="L1" s="315"/>
      <c r="M1" s="315"/>
      <c r="N1" s="316"/>
      <c r="O1" s="314"/>
      <c r="P1" s="314"/>
      <c r="Q1" s="317"/>
      <c r="R1" s="376"/>
      <c r="S1" s="376"/>
      <c r="T1" s="377"/>
      <c r="U1" s="376"/>
    </row>
    <row r="2" spans="1:21" s="318" customFormat="1" ht="17.25">
      <c r="A2" s="668" t="s">
        <v>740</v>
      </c>
      <c r="B2" s="314"/>
      <c r="C2" s="315"/>
      <c r="D2" s="315"/>
      <c r="E2" s="315"/>
      <c r="F2" s="316"/>
      <c r="G2" s="314"/>
      <c r="H2" s="314"/>
      <c r="I2" s="314"/>
      <c r="J2" s="314"/>
      <c r="K2" s="315"/>
      <c r="L2" s="315"/>
      <c r="M2" s="315"/>
      <c r="N2" s="316"/>
      <c r="O2" s="314"/>
      <c r="P2" s="314"/>
      <c r="Q2" s="317"/>
      <c r="R2" s="378"/>
      <c r="S2" s="378"/>
      <c r="T2" s="379"/>
      <c r="U2" s="378"/>
    </row>
    <row r="3" spans="1:21" s="318" customFormat="1" ht="18" thickBot="1">
      <c r="A3" s="668" t="s">
        <v>541</v>
      </c>
      <c r="B3" s="314"/>
      <c r="C3" s="315"/>
      <c r="D3" s="315"/>
      <c r="E3" s="315"/>
      <c r="F3" s="316"/>
      <c r="G3" s="314"/>
      <c r="H3" s="314"/>
      <c r="I3" s="314"/>
      <c r="J3" s="314"/>
      <c r="K3" s="315"/>
      <c r="L3" s="315"/>
      <c r="M3" s="315"/>
      <c r="N3" s="316"/>
      <c r="O3" s="314"/>
      <c r="P3" s="314"/>
      <c r="Q3" s="317"/>
      <c r="R3" s="378"/>
      <c r="S3" s="378"/>
      <c r="T3" s="379"/>
      <c r="U3" s="378"/>
    </row>
    <row r="4" spans="1:25" ht="15.75" thickBot="1">
      <c r="A4" s="669"/>
      <c r="B4" s="256"/>
      <c r="C4" s="299" t="s">
        <v>562</v>
      </c>
      <c r="D4" s="300"/>
      <c r="E4" s="300"/>
      <c r="F4" s="301"/>
      <c r="G4" s="302"/>
      <c r="H4" s="302"/>
      <c r="I4" s="303"/>
      <c r="J4" s="310"/>
      <c r="K4" s="841" t="s">
        <v>563</v>
      </c>
      <c r="L4" s="842"/>
      <c r="M4" s="842"/>
      <c r="N4" s="843"/>
      <c r="O4" s="844"/>
      <c r="P4" s="844"/>
      <c r="Q4" s="845"/>
      <c r="R4" s="681"/>
      <c r="S4" s="429"/>
      <c r="T4" s="430"/>
      <c r="U4" s="429"/>
      <c r="V4" s="681"/>
      <c r="W4" s="681"/>
      <c r="X4" s="681"/>
      <c r="Y4" s="681"/>
    </row>
    <row r="5" spans="1:29" s="585" customFormat="1" ht="57.75" customHeight="1" thickBot="1">
      <c r="A5" s="584" t="s">
        <v>486</v>
      </c>
      <c r="B5" s="584" t="s">
        <v>252</v>
      </c>
      <c r="C5" s="594" t="s">
        <v>187</v>
      </c>
      <c r="D5" s="595" t="s">
        <v>188</v>
      </c>
      <c r="E5" s="596" t="s">
        <v>189</v>
      </c>
      <c r="F5" s="597" t="s">
        <v>190</v>
      </c>
      <c r="G5" s="598" t="s">
        <v>191</v>
      </c>
      <c r="H5" s="599" t="s">
        <v>537</v>
      </c>
      <c r="I5" s="598" t="s">
        <v>501</v>
      </c>
      <c r="J5" s="600"/>
      <c r="K5" s="846" t="s">
        <v>187</v>
      </c>
      <c r="L5" s="847" t="s">
        <v>188</v>
      </c>
      <c r="M5" s="847" t="s">
        <v>189</v>
      </c>
      <c r="N5" s="848" t="s">
        <v>190</v>
      </c>
      <c r="O5" s="849" t="s">
        <v>191</v>
      </c>
      <c r="P5" s="849" t="s">
        <v>564</v>
      </c>
      <c r="Q5" s="850" t="s">
        <v>501</v>
      </c>
      <c r="R5" s="682" t="s">
        <v>636</v>
      </c>
      <c r="S5" s="601" t="s">
        <v>637</v>
      </c>
      <c r="T5" s="602" t="s">
        <v>638</v>
      </c>
      <c r="U5" s="601" t="s">
        <v>639</v>
      </c>
      <c r="V5" s="682" t="s">
        <v>723</v>
      </c>
      <c r="W5" s="682" t="s">
        <v>724</v>
      </c>
      <c r="X5" s="682" t="s">
        <v>640</v>
      </c>
      <c r="Y5" s="740" t="s">
        <v>641</v>
      </c>
      <c r="AC5" s="688"/>
    </row>
    <row r="6" spans="1:25" s="1" customFormat="1" ht="65.25" customHeight="1" thickBot="1">
      <c r="A6" s="670" t="s">
        <v>343</v>
      </c>
      <c r="B6" s="458" t="s">
        <v>410</v>
      </c>
      <c r="C6" s="903">
        <f>'BCWS by JOB'!E3</f>
        <v>372</v>
      </c>
      <c r="D6" s="904">
        <f>'BCWP by JOB'!C3</f>
        <v>373.246</v>
      </c>
      <c r="E6" s="905">
        <f>'ACWP by JOB'!$C$3</f>
        <v>339.8648102088415</v>
      </c>
      <c r="F6" s="906">
        <f>+D6/C6</f>
        <v>1.0033494623655914</v>
      </c>
      <c r="G6" s="907">
        <f>+D6/E6</f>
        <v>1.0982190235306981</v>
      </c>
      <c r="H6" s="908">
        <f>+D6-C6</f>
        <v>1.245999999999981</v>
      </c>
      <c r="I6" s="909">
        <f>+D6-E6</f>
        <v>33.38118979115848</v>
      </c>
      <c r="J6" s="311"/>
      <c r="K6" s="851">
        <f>'BCWS by JOB'!K3</f>
        <v>95</v>
      </c>
      <c r="L6" s="852">
        <f>'BCWP by JOB'!I3</f>
        <v>95.14599999999996</v>
      </c>
      <c r="M6" s="852">
        <f>SUM('ACWP by JOB'!J3)</f>
        <v>47.586</v>
      </c>
      <c r="N6" s="853">
        <f>+L6/K6</f>
        <v>1.0015368421052626</v>
      </c>
      <c r="O6" s="854">
        <f>+L6/M6</f>
        <v>1.9994536208128433</v>
      </c>
      <c r="P6" s="854">
        <f>+L6-K6</f>
        <v>0.14599999999995816</v>
      </c>
      <c r="Q6" s="855">
        <f>+L6-M6</f>
        <v>47.55999999999996</v>
      </c>
      <c r="R6" s="603">
        <v>3843</v>
      </c>
      <c r="S6" s="380">
        <f>+C6/R6</f>
        <v>0.09679937548790007</v>
      </c>
      <c r="T6" s="381">
        <f>+D6/R6</f>
        <v>0.09712360135310955</v>
      </c>
      <c r="U6" s="380">
        <f>+E6/R6</f>
        <v>0.08843736929712243</v>
      </c>
      <c r="V6" s="605">
        <v>3843</v>
      </c>
      <c r="W6" s="2" t="s">
        <v>176</v>
      </c>
      <c r="X6" s="940">
        <f>+V6-R6</f>
        <v>0</v>
      </c>
      <c r="Y6" s="382">
        <f>+V6</f>
        <v>3843</v>
      </c>
    </row>
    <row r="7" spans="1:25" s="18" customFormat="1" ht="12.75">
      <c r="A7" s="671"/>
      <c r="B7" s="459" t="s">
        <v>411</v>
      </c>
      <c r="C7" s="910">
        <f>'BCWS by JOB'!E4</f>
        <v>75</v>
      </c>
      <c r="D7" s="911">
        <f>'BCWP by JOB'!C4</f>
        <v>75.048</v>
      </c>
      <c r="E7" s="905">
        <f>'ACWP by JOB'!$C$4</f>
        <v>124.583</v>
      </c>
      <c r="F7" s="912">
        <f>+D7/C7</f>
        <v>1.00064</v>
      </c>
      <c r="G7" s="929">
        <f>+D7/E7</f>
        <v>0.6023935849995585</v>
      </c>
      <c r="H7" s="913">
        <f>+D7-C7</f>
        <v>0.04800000000000182</v>
      </c>
      <c r="I7" s="930">
        <f>+D7-E7</f>
        <v>-49.535</v>
      </c>
      <c r="J7" s="312"/>
      <c r="K7" s="856">
        <f>'BCWS by JOB'!K4</f>
        <v>14</v>
      </c>
      <c r="L7" s="857">
        <f>'BCWP by JOB'!I4</f>
        <v>14.628</v>
      </c>
      <c r="M7" s="857">
        <f>SUM('ACWP by JOB'!J4)</f>
        <v>15.755</v>
      </c>
      <c r="N7" s="858">
        <f>+L7/K7</f>
        <v>1.044857142857143</v>
      </c>
      <c r="O7" s="859">
        <f>+L7/M7</f>
        <v>0.9284671532846714</v>
      </c>
      <c r="P7" s="860">
        <f>+L7-K7</f>
        <v>0.6280000000000001</v>
      </c>
      <c r="Q7" s="861">
        <f>+L7-M7</f>
        <v>-1.1270000000000007</v>
      </c>
      <c r="R7" s="605">
        <v>499</v>
      </c>
      <c r="S7" s="383">
        <f>+C7/R7</f>
        <v>0.15030060120240482</v>
      </c>
      <c r="T7" s="384">
        <f>+D7/R7</f>
        <v>0.15039679358717437</v>
      </c>
      <c r="U7" s="383">
        <f>+E7/R7</f>
        <v>0.24966533066132265</v>
      </c>
      <c r="V7" s="605">
        <f>SUM(Y7)</f>
        <v>499</v>
      </c>
      <c r="W7" s="2" t="s">
        <v>178</v>
      </c>
      <c r="X7" s="940">
        <f>+V7-R7</f>
        <v>0</v>
      </c>
      <c r="Y7" s="382">
        <v>499</v>
      </c>
    </row>
    <row r="8" spans="1:25" s="1" customFormat="1" ht="13.5" thickBot="1">
      <c r="A8" s="671"/>
      <c r="B8" s="460" t="s">
        <v>412</v>
      </c>
      <c r="C8" s="914">
        <f>'BCWS by JOB'!E5</f>
        <v>181</v>
      </c>
      <c r="D8" s="915">
        <f>'BCWP by JOB'!C5</f>
        <v>179.404</v>
      </c>
      <c r="E8" s="905">
        <f>'ACWP by JOB'!$C$5</f>
        <v>229.29777865970607</v>
      </c>
      <c r="F8" s="916">
        <f>+D8/C8</f>
        <v>0.991182320441989</v>
      </c>
      <c r="G8" s="934">
        <f>+D8/E8</f>
        <v>0.7824061839964358</v>
      </c>
      <c r="H8" s="917">
        <f>+D8-C8</f>
        <v>-1.5960000000000036</v>
      </c>
      <c r="I8" s="935">
        <f>+D8-E8</f>
        <v>-49.89377865970607</v>
      </c>
      <c r="J8" s="311"/>
      <c r="K8" s="862">
        <f>'BCWS by JOB'!K5</f>
        <v>36</v>
      </c>
      <c r="L8" s="863">
        <f>'BCWP by JOB'!I5</f>
        <v>35.364000000000004</v>
      </c>
      <c r="M8" s="864">
        <f>SUM('ACWP by JOB'!J5)</f>
        <v>32.921</v>
      </c>
      <c r="N8" s="865">
        <f>+L8/K8</f>
        <v>0.9823333333333335</v>
      </c>
      <c r="O8" s="866">
        <f>+L8/M8</f>
        <v>1.0742079523708272</v>
      </c>
      <c r="P8" s="867">
        <f>+L8-K8</f>
        <v>-0.6359999999999957</v>
      </c>
      <c r="Q8" s="868">
        <f>+L8-M8</f>
        <v>2.443000000000005</v>
      </c>
      <c r="R8" s="605">
        <v>1453</v>
      </c>
      <c r="S8" s="383">
        <f>+C8/R8</f>
        <v>0.12456985547143841</v>
      </c>
      <c r="T8" s="384">
        <f>+D8/R8</f>
        <v>0.1234714384033035</v>
      </c>
      <c r="U8" s="383">
        <f>+E8/R8</f>
        <v>0.157809895842881</v>
      </c>
      <c r="V8" s="605">
        <f>SUM(Y8)</f>
        <v>1536</v>
      </c>
      <c r="W8" s="2" t="s">
        <v>176</v>
      </c>
      <c r="X8" s="945">
        <f>+V8-R8</f>
        <v>83</v>
      </c>
      <c r="Y8" s="382">
        <f>+R8+83</f>
        <v>1536</v>
      </c>
    </row>
    <row r="9" spans="1:25" s="442" customFormat="1" ht="15.75" thickBot="1">
      <c r="A9" s="672"/>
      <c r="B9" s="428" t="s">
        <v>663</v>
      </c>
      <c r="C9" s="437">
        <f>SUM(C6:C8)</f>
        <v>628</v>
      </c>
      <c r="D9" s="438">
        <f>SUM(D6:D8)</f>
        <v>627.698</v>
      </c>
      <c r="E9" s="564">
        <f>SUM(E6:E8)</f>
        <v>693.7455888685475</v>
      </c>
      <c r="F9" s="568">
        <f>+D9/C9</f>
        <v>0.9995191082802547</v>
      </c>
      <c r="G9" s="569">
        <f>+D9/E9</f>
        <v>0.9047956629515054</v>
      </c>
      <c r="H9" s="566">
        <f>+D9-C9</f>
        <v>-0.3020000000000209</v>
      </c>
      <c r="I9" s="439">
        <f>+D9-E9</f>
        <v>-66.04758886854756</v>
      </c>
      <c r="J9" s="440"/>
      <c r="K9" s="869">
        <f>SUM(K6:K8)</f>
        <v>145</v>
      </c>
      <c r="L9" s="870">
        <f>SUM(L6:L8)</f>
        <v>145.13799999999998</v>
      </c>
      <c r="M9" s="870">
        <f>SUM(M6:M8)</f>
        <v>96.262</v>
      </c>
      <c r="N9" s="871">
        <f>+L9/K9</f>
        <v>1.0009517241379309</v>
      </c>
      <c r="O9" s="872">
        <f>+L9/M9</f>
        <v>1.5077392948411623</v>
      </c>
      <c r="P9" s="873">
        <f>+L9-K9</f>
        <v>0.1379999999999768</v>
      </c>
      <c r="Q9" s="874">
        <f>+L9-M9</f>
        <v>48.875999999999976</v>
      </c>
      <c r="R9" s="606">
        <f>SUM(R6:R8)</f>
        <v>5795</v>
      </c>
      <c r="S9" s="383">
        <f>+C9/R9</f>
        <v>0.1083692838654012</v>
      </c>
      <c r="T9" s="384">
        <f>+D9/R9</f>
        <v>0.10831716997411561</v>
      </c>
      <c r="U9" s="383">
        <f>+E9/R9</f>
        <v>0.1197145105899133</v>
      </c>
      <c r="V9" s="938">
        <f>SUM(V6:V8)</f>
        <v>5878</v>
      </c>
      <c r="W9" s="305"/>
      <c r="X9" s="940">
        <f>+V9-R9</f>
        <v>83</v>
      </c>
      <c r="Y9" s="441">
        <f>SUM(Y6:Y8)</f>
        <v>5878</v>
      </c>
    </row>
    <row r="10" spans="1:24" s="1" customFormat="1" ht="12.75" hidden="1">
      <c r="A10" s="673"/>
      <c r="B10" s="443"/>
      <c r="C10" s="9"/>
      <c r="D10" s="9"/>
      <c r="E10" s="9"/>
      <c r="F10" s="304"/>
      <c r="G10" s="239"/>
      <c r="H10" s="249"/>
      <c r="I10" s="12" t="e">
        <f>+'BCWP by JOB'!#REF!-'ACWP by JOB'!C7</f>
        <v>#REF!</v>
      </c>
      <c r="J10" s="311"/>
      <c r="K10" s="875"/>
      <c r="L10" s="875"/>
      <c r="M10" s="875"/>
      <c r="N10" s="876"/>
      <c r="O10" s="877"/>
      <c r="P10" s="878"/>
      <c r="Q10" s="879">
        <f>+'BCWP by JOB'!H7-'ACWP by JOB'!K7</f>
        <v>0</v>
      </c>
      <c r="R10" s="605"/>
      <c r="T10" s="386"/>
      <c r="V10" s="443">
        <f>IF(U10&gt;T10*1.5,"X","")</f>
      </c>
      <c r="X10" s="443"/>
    </row>
    <row r="11" spans="1:24" s="1" customFormat="1" ht="19.5" customHeight="1" thickBot="1">
      <c r="A11" s="673"/>
      <c r="B11" s="443"/>
      <c r="C11" s="9"/>
      <c r="D11" s="9"/>
      <c r="E11" s="9"/>
      <c r="F11" s="304"/>
      <c r="G11" s="239"/>
      <c r="H11" s="249"/>
      <c r="I11" s="12"/>
      <c r="J11" s="311"/>
      <c r="K11" s="875"/>
      <c r="L11" s="875"/>
      <c r="M11" s="875"/>
      <c r="N11" s="876"/>
      <c r="O11" s="877"/>
      <c r="P11" s="878"/>
      <c r="Q11" s="879"/>
      <c r="R11" s="605"/>
      <c r="T11" s="386"/>
      <c r="V11" s="443"/>
      <c r="X11" s="443"/>
    </row>
    <row r="12" spans="1:25" s="1" customFormat="1" ht="39.75" thickBot="1">
      <c r="A12" s="674" t="s">
        <v>344</v>
      </c>
      <c r="B12" s="1154" t="s">
        <v>373</v>
      </c>
      <c r="C12" s="918">
        <f>'BCWS by JOB'!E8</f>
        <v>73</v>
      </c>
      <c r="D12" s="919">
        <f>'BCWP by JOB'!C8</f>
        <v>119.183</v>
      </c>
      <c r="E12" s="920">
        <f>'ACWP by JOB'!C8</f>
        <v>166.30990615972354</v>
      </c>
      <c r="F12" s="921">
        <f aca="true" t="shared" si="0" ref="F12:F37">+D12/C12</f>
        <v>1.6326438356164386</v>
      </c>
      <c r="G12" s="1156">
        <f aca="true" t="shared" si="1" ref="F12:G37">+D12/E12</f>
        <v>0.7166319959650329</v>
      </c>
      <c r="H12" s="922">
        <f aca="true" t="shared" si="2" ref="H12:H37">+D12-C12</f>
        <v>46.18300000000001</v>
      </c>
      <c r="I12" s="923">
        <f aca="true" t="shared" si="3" ref="I12:I37">+D12-E12</f>
        <v>-47.12690615972353</v>
      </c>
      <c r="J12" s="313"/>
      <c r="K12" s="851">
        <f>'BCWS by JOB'!K8</f>
        <v>27</v>
      </c>
      <c r="L12" s="880">
        <f>'BCWP by JOB'!I8</f>
        <v>36.153000000000006</v>
      </c>
      <c r="M12" s="852">
        <f>SUM('ACWP by JOB'!J8)</f>
        <v>25.926000000000002</v>
      </c>
      <c r="N12" s="853">
        <f aca="true" t="shared" si="4" ref="N12:N20">+L12/K12</f>
        <v>1.3390000000000002</v>
      </c>
      <c r="O12" s="854">
        <f aca="true" t="shared" si="5" ref="O12:O37">+L12/M12</f>
        <v>1.3944688729460775</v>
      </c>
      <c r="P12" s="881">
        <f aca="true" t="shared" si="6" ref="P12:P37">+L12-K12</f>
        <v>9.153000000000006</v>
      </c>
      <c r="Q12" s="855">
        <f aca="true" t="shared" si="7" ref="Q12:Q37">+L12-M12</f>
        <v>10.227000000000004</v>
      </c>
      <c r="R12" s="746">
        <v>408</v>
      </c>
      <c r="S12" s="383">
        <f aca="true" t="shared" si="8" ref="S12:S76">+C12/R12</f>
        <v>0.17892156862745098</v>
      </c>
      <c r="T12" s="384">
        <f aca="true" t="shared" si="9" ref="T12:T37">+D12/R12</f>
        <v>0.2921151960784314</v>
      </c>
      <c r="U12" s="383">
        <f aca="true" t="shared" si="10" ref="U12:U37">+E12/R12</f>
        <v>0.40762231901893026</v>
      </c>
      <c r="V12" s="746">
        <f>+R12</f>
        <v>408</v>
      </c>
      <c r="W12" s="749" t="s">
        <v>726</v>
      </c>
      <c r="X12" s="941">
        <f aca="true" t="shared" si="11" ref="X12:X37">+V12-R12</f>
        <v>0</v>
      </c>
      <c r="Y12" s="750">
        <f aca="true" t="shared" si="12" ref="Y12:Y36">+V12</f>
        <v>408</v>
      </c>
    </row>
    <row r="13" spans="1:25" s="1" customFormat="1" ht="12.75">
      <c r="A13" s="671"/>
      <c r="B13" s="459" t="s">
        <v>374</v>
      </c>
      <c r="C13" s="924">
        <f>'BCWS by JOB'!E9</f>
        <v>-252</v>
      </c>
      <c r="D13" s="911">
        <f>'BCWP by JOB'!C9</f>
        <v>-251.695</v>
      </c>
      <c r="E13" s="925">
        <f>'ACWP by JOB'!C9</f>
        <v>-251.77029999848764</v>
      </c>
      <c r="F13" s="912">
        <f t="shared" si="0"/>
        <v>0.9987896825396825</v>
      </c>
      <c r="G13" s="926">
        <f t="shared" si="1"/>
        <v>0.9997009178664517</v>
      </c>
      <c r="H13" s="913">
        <f t="shared" si="2"/>
        <v>0.3050000000000068</v>
      </c>
      <c r="I13" s="927">
        <f t="shared" si="3"/>
        <v>0.07529999848765101</v>
      </c>
      <c r="J13" s="311"/>
      <c r="K13" s="856">
        <f>'BCWS by JOB'!K9</f>
        <v>0</v>
      </c>
      <c r="L13" s="857">
        <f>'BCWP by JOB'!I9</f>
        <v>-0.0049999999999954525</v>
      </c>
      <c r="M13" s="857">
        <f>SUM('ACWP by JOB'!J9)</f>
        <v>0</v>
      </c>
      <c r="N13" s="858" t="e">
        <f t="shared" si="4"/>
        <v>#DIV/0!</v>
      </c>
      <c r="O13" s="882" t="e">
        <f t="shared" si="5"/>
        <v>#DIV/0!</v>
      </c>
      <c r="P13" s="860">
        <f t="shared" si="6"/>
        <v>-0.0049999999999954525</v>
      </c>
      <c r="Q13" s="883">
        <f t="shared" si="7"/>
        <v>-0.0049999999999954525</v>
      </c>
      <c r="R13" s="747">
        <v>-252</v>
      </c>
      <c r="S13" s="383">
        <f t="shared" si="8"/>
        <v>1</v>
      </c>
      <c r="T13" s="384">
        <f t="shared" si="9"/>
        <v>0.9987896825396825</v>
      </c>
      <c r="U13" s="383">
        <f t="shared" si="10"/>
        <v>0.9990884920574906</v>
      </c>
      <c r="V13" s="747">
        <f>+R13</f>
        <v>-252</v>
      </c>
      <c r="W13" s="751" t="s">
        <v>726</v>
      </c>
      <c r="X13" s="942">
        <f t="shared" si="11"/>
        <v>0</v>
      </c>
      <c r="Y13" s="752">
        <f t="shared" si="12"/>
        <v>-252</v>
      </c>
    </row>
    <row r="14" spans="1:25" s="1" customFormat="1" ht="12.75">
      <c r="A14" s="671"/>
      <c r="B14" s="459" t="s">
        <v>375</v>
      </c>
      <c r="C14" s="924">
        <f>'BCWS by JOB'!E10</f>
        <v>203</v>
      </c>
      <c r="D14" s="911">
        <f>'BCWP by JOB'!C10</f>
        <v>203.968</v>
      </c>
      <c r="E14" s="925">
        <f>'ACWP by JOB'!C10</f>
        <v>105.13139687830606</v>
      </c>
      <c r="F14" s="912">
        <f t="shared" si="0"/>
        <v>1.004768472906404</v>
      </c>
      <c r="G14" s="926">
        <f t="shared" si="1"/>
        <v>1.9401245113874153</v>
      </c>
      <c r="H14" s="913">
        <f t="shared" si="2"/>
        <v>0.9679999999999893</v>
      </c>
      <c r="I14" s="927">
        <f t="shared" si="3"/>
        <v>98.83660312169393</v>
      </c>
      <c r="J14" s="311"/>
      <c r="K14" s="856">
        <f>'BCWS by JOB'!K10</f>
        <v>26</v>
      </c>
      <c r="L14" s="857">
        <f>'BCWP by JOB'!I10</f>
        <v>41.567999999999984</v>
      </c>
      <c r="M14" s="857">
        <f>SUM('ACWP by JOB'!J10)</f>
        <v>8.641</v>
      </c>
      <c r="N14" s="858">
        <f t="shared" si="4"/>
        <v>1.59876923076923</v>
      </c>
      <c r="O14" s="882">
        <f t="shared" si="5"/>
        <v>4.81055433398912</v>
      </c>
      <c r="P14" s="860">
        <f t="shared" si="6"/>
        <v>15.567999999999984</v>
      </c>
      <c r="Q14" s="883">
        <f t="shared" si="7"/>
        <v>32.926999999999985</v>
      </c>
      <c r="R14" s="747">
        <v>350</v>
      </c>
      <c r="S14" s="383">
        <f t="shared" si="8"/>
        <v>0.58</v>
      </c>
      <c r="T14" s="384">
        <f t="shared" si="9"/>
        <v>0.5827657142857142</v>
      </c>
      <c r="U14" s="383">
        <f t="shared" si="10"/>
        <v>0.300375419652303</v>
      </c>
      <c r="V14" s="747">
        <f>+R14</f>
        <v>350</v>
      </c>
      <c r="W14" s="751" t="s">
        <v>726</v>
      </c>
      <c r="X14" s="942">
        <f t="shared" si="11"/>
        <v>0</v>
      </c>
      <c r="Y14" s="752">
        <f t="shared" si="12"/>
        <v>350</v>
      </c>
    </row>
    <row r="15" spans="1:34" s="1" customFormat="1" ht="12.75">
      <c r="A15" s="671"/>
      <c r="B15" s="1155" t="s">
        <v>378</v>
      </c>
      <c r="C15" s="924">
        <f>'BCWS by JOB'!E11</f>
        <v>815</v>
      </c>
      <c r="D15" s="911">
        <f>'BCWP by JOB'!C11</f>
        <v>589.7</v>
      </c>
      <c r="E15" s="925">
        <f>'ACWP by JOB'!C11</f>
        <v>304.07588999999996</v>
      </c>
      <c r="F15" s="1157">
        <f t="shared" si="0"/>
        <v>0.723558282208589</v>
      </c>
      <c r="G15" s="926">
        <f t="shared" si="1"/>
        <v>1.939318503680118</v>
      </c>
      <c r="H15" s="928">
        <f t="shared" si="2"/>
        <v>-225.29999999999995</v>
      </c>
      <c r="I15" s="927">
        <f t="shared" si="3"/>
        <v>285.6241100000001</v>
      </c>
      <c r="J15" s="311"/>
      <c r="K15" s="856">
        <f>'BCWS by JOB'!K11</f>
        <v>452</v>
      </c>
      <c r="L15" s="857">
        <f>'BCWP by JOB'!I11</f>
        <v>280.1</v>
      </c>
      <c r="M15" s="857">
        <f>SUM('ACWP by JOB'!J11)</f>
        <v>16.395</v>
      </c>
      <c r="N15" s="858">
        <f t="shared" si="4"/>
        <v>0.6196902654867257</v>
      </c>
      <c r="O15" s="882">
        <f t="shared" si="5"/>
        <v>17.084476974687405</v>
      </c>
      <c r="P15" s="860">
        <f t="shared" si="6"/>
        <v>-171.89999999999998</v>
      </c>
      <c r="Q15" s="883">
        <f t="shared" si="7"/>
        <v>263.70500000000004</v>
      </c>
      <c r="R15" s="747">
        <v>1039</v>
      </c>
      <c r="S15" s="383">
        <f t="shared" si="8"/>
        <v>0.7844080846968239</v>
      </c>
      <c r="T15" s="384">
        <f t="shared" si="9"/>
        <v>0.5675649663137633</v>
      </c>
      <c r="U15" s="383">
        <f t="shared" si="10"/>
        <v>0.2926620692974013</v>
      </c>
      <c r="V15" s="747">
        <f>+R15</f>
        <v>1039</v>
      </c>
      <c r="W15" s="751" t="s">
        <v>726</v>
      </c>
      <c r="X15" s="942">
        <f t="shared" si="11"/>
        <v>0</v>
      </c>
      <c r="Y15" s="752">
        <f t="shared" si="12"/>
        <v>1039</v>
      </c>
      <c r="AH15" s="1">
        <f>6430+3509+6430+11685+47620+12081+4694</f>
        <v>92449</v>
      </c>
    </row>
    <row r="16" spans="1:34" s="1" customFormat="1" ht="12.75">
      <c r="A16" s="671"/>
      <c r="B16" s="459" t="s">
        <v>376</v>
      </c>
      <c r="C16" s="924">
        <f>'BCWS by JOB'!E12</f>
        <v>1170</v>
      </c>
      <c r="D16" s="911">
        <f>'BCWP by JOB'!C12</f>
        <v>1439.27</v>
      </c>
      <c r="E16" s="925">
        <f>'ACWP by JOB'!C12</f>
        <v>1245.018693632146</v>
      </c>
      <c r="F16" s="912">
        <f t="shared" si="0"/>
        <v>1.230145299145299</v>
      </c>
      <c r="G16" s="926">
        <f t="shared" si="1"/>
        <v>1.1560228029999744</v>
      </c>
      <c r="H16" s="913">
        <f t="shared" si="2"/>
        <v>269.27</v>
      </c>
      <c r="I16" s="927">
        <f t="shared" si="3"/>
        <v>194.25130636785389</v>
      </c>
      <c r="J16" s="311"/>
      <c r="K16" s="856">
        <f>'BCWS by JOB'!K12</f>
        <v>213</v>
      </c>
      <c r="L16" s="857">
        <f>'BCWP by JOB'!I12</f>
        <v>255.26999999999998</v>
      </c>
      <c r="M16" s="857">
        <f>SUM('ACWP by JOB'!J12)</f>
        <v>154.595</v>
      </c>
      <c r="N16" s="858">
        <f t="shared" si="4"/>
        <v>1.198450704225352</v>
      </c>
      <c r="O16" s="882">
        <f t="shared" si="5"/>
        <v>1.6512176978556874</v>
      </c>
      <c r="P16" s="860">
        <f t="shared" si="6"/>
        <v>42.26999999999998</v>
      </c>
      <c r="Q16" s="883">
        <f t="shared" si="7"/>
        <v>100.67499999999998</v>
      </c>
      <c r="R16" s="747">
        <v>2867</v>
      </c>
      <c r="S16" s="383">
        <f t="shared" si="8"/>
        <v>0.40809208231600974</v>
      </c>
      <c r="T16" s="384">
        <f t="shared" si="9"/>
        <v>0.5020125566794559</v>
      </c>
      <c r="U16" s="383">
        <f t="shared" si="10"/>
        <v>0.43425835145871855</v>
      </c>
      <c r="V16" s="747">
        <f>+R16</f>
        <v>2867</v>
      </c>
      <c r="W16" s="751" t="s">
        <v>726</v>
      </c>
      <c r="X16" s="942">
        <f t="shared" si="11"/>
        <v>0</v>
      </c>
      <c r="Y16" s="752">
        <f t="shared" si="12"/>
        <v>2867</v>
      </c>
      <c r="AH16" s="1">
        <f>22970+48458+3001+40989</f>
        <v>115418</v>
      </c>
    </row>
    <row r="17" spans="1:34" s="1" customFormat="1" ht="12.75">
      <c r="A17" s="671"/>
      <c r="B17" s="1155" t="s">
        <v>377</v>
      </c>
      <c r="C17" s="924">
        <f>'BCWS by JOB'!E13</f>
        <v>147</v>
      </c>
      <c r="D17" s="911">
        <f>'BCWP by JOB'!C13</f>
        <v>168.318</v>
      </c>
      <c r="E17" s="925">
        <f>'ACWP by JOB'!C13</f>
        <v>339.2299940026223</v>
      </c>
      <c r="F17" s="912">
        <f t="shared" si="0"/>
        <v>1.1450204081632653</v>
      </c>
      <c r="G17" s="1159">
        <f t="shared" si="1"/>
        <v>0.4961766440932664</v>
      </c>
      <c r="H17" s="913">
        <f t="shared" si="2"/>
        <v>21.318000000000012</v>
      </c>
      <c r="I17" s="930">
        <f t="shared" si="3"/>
        <v>-170.91199400262227</v>
      </c>
      <c r="J17" s="312"/>
      <c r="K17" s="856">
        <f>'BCWS by JOB'!K13</f>
        <v>57</v>
      </c>
      <c r="L17" s="857">
        <f>'BCWP by JOB'!I13</f>
        <v>33.018</v>
      </c>
      <c r="M17" s="857">
        <f>SUM('ACWP by JOB'!J13)</f>
        <v>49.777</v>
      </c>
      <c r="N17" s="858">
        <f t="shared" si="4"/>
        <v>0.5792631578947368</v>
      </c>
      <c r="O17" s="859">
        <f t="shared" si="5"/>
        <v>0.6633184000642868</v>
      </c>
      <c r="P17" s="860">
        <f t="shared" si="6"/>
        <v>-23.982</v>
      </c>
      <c r="Q17" s="861">
        <f t="shared" si="7"/>
        <v>-16.759</v>
      </c>
      <c r="R17" s="747">
        <v>501</v>
      </c>
      <c r="S17" s="383">
        <f t="shared" si="8"/>
        <v>0.2934131736526946</v>
      </c>
      <c r="T17" s="384">
        <f t="shared" si="9"/>
        <v>0.33596407185628746</v>
      </c>
      <c r="U17" s="383">
        <f t="shared" si="10"/>
        <v>0.6771057764523398</v>
      </c>
      <c r="V17" s="747">
        <f>+R17+170</f>
        <v>671</v>
      </c>
      <c r="W17" s="751" t="s">
        <v>726</v>
      </c>
      <c r="X17" s="944">
        <f t="shared" si="11"/>
        <v>170</v>
      </c>
      <c r="Y17" s="752">
        <f t="shared" si="12"/>
        <v>671</v>
      </c>
      <c r="AH17" s="1">
        <f>48458+3001+40989</f>
        <v>92448</v>
      </c>
    </row>
    <row r="18" spans="1:25" s="1" customFormat="1" ht="12.75">
      <c r="A18" s="671"/>
      <c r="B18" s="459" t="s">
        <v>380</v>
      </c>
      <c r="C18" s="924">
        <f>'BCWS by JOB'!E14</f>
        <v>332</v>
      </c>
      <c r="D18" s="911">
        <f>'BCWP by JOB'!C14</f>
        <v>306.71</v>
      </c>
      <c r="E18" s="925">
        <f>'ACWP by JOB'!C14</f>
        <v>376.0356887352712</v>
      </c>
      <c r="F18" s="912">
        <f t="shared" si="0"/>
        <v>0.9238253012048192</v>
      </c>
      <c r="G18" s="929">
        <f t="shared" si="1"/>
        <v>0.8156406670642465</v>
      </c>
      <c r="H18" s="913">
        <f t="shared" si="2"/>
        <v>-25.29000000000002</v>
      </c>
      <c r="I18" s="930">
        <f t="shared" si="3"/>
        <v>-69.32568873527123</v>
      </c>
      <c r="J18" s="312"/>
      <c r="K18" s="856">
        <f>'BCWS by JOB'!K14</f>
        <v>79</v>
      </c>
      <c r="L18" s="857">
        <f>'BCWP by JOB'!I14</f>
        <v>54.059999999999974</v>
      </c>
      <c r="M18" s="857">
        <f>SUM('ACWP by JOB'!J14)</f>
        <v>34.76</v>
      </c>
      <c r="N18" s="858">
        <f t="shared" si="4"/>
        <v>0.6843037974683541</v>
      </c>
      <c r="O18" s="859">
        <f t="shared" si="5"/>
        <v>1.5552359033371685</v>
      </c>
      <c r="P18" s="860">
        <f t="shared" si="6"/>
        <v>-24.940000000000026</v>
      </c>
      <c r="Q18" s="861">
        <f t="shared" si="7"/>
        <v>19.299999999999976</v>
      </c>
      <c r="R18" s="1106">
        <v>1989</v>
      </c>
      <c r="S18" s="383">
        <f t="shared" si="8"/>
        <v>0.16691804927099044</v>
      </c>
      <c r="T18" s="384">
        <f t="shared" si="9"/>
        <v>0.1542031171442936</v>
      </c>
      <c r="U18" s="383">
        <f t="shared" si="10"/>
        <v>0.18905766150591816</v>
      </c>
      <c r="V18" s="747">
        <f>+R18</f>
        <v>1989</v>
      </c>
      <c r="W18" s="751" t="s">
        <v>726</v>
      </c>
      <c r="X18" s="942">
        <f t="shared" si="11"/>
        <v>0</v>
      </c>
      <c r="Y18" s="752">
        <f t="shared" si="12"/>
        <v>1989</v>
      </c>
    </row>
    <row r="19" spans="1:35" s="1" customFormat="1" ht="12.75">
      <c r="A19" s="671"/>
      <c r="B19" s="1155" t="s">
        <v>379</v>
      </c>
      <c r="C19" s="924">
        <f>'BCWS by JOB'!E15</f>
        <v>160</v>
      </c>
      <c r="D19" s="911">
        <f>'BCWP by JOB'!C15</f>
        <v>68.51</v>
      </c>
      <c r="E19" s="925">
        <f>'ACWP by JOB'!C15</f>
        <v>156.79587303558023</v>
      </c>
      <c r="F19" s="1157">
        <f t="shared" si="0"/>
        <v>0.42818750000000005</v>
      </c>
      <c r="G19" s="929">
        <f t="shared" si="1"/>
        <v>0.43693752057143537</v>
      </c>
      <c r="H19" s="928">
        <f t="shared" si="2"/>
        <v>-91.49</v>
      </c>
      <c r="I19" s="930">
        <f t="shared" si="3"/>
        <v>-88.28587303558022</v>
      </c>
      <c r="J19" s="312"/>
      <c r="K19" s="856">
        <f>'BCWS by JOB'!K15</f>
        <v>30</v>
      </c>
      <c r="L19" s="857">
        <f>'BCWP by JOB'!I15</f>
        <v>0.21000000000000796</v>
      </c>
      <c r="M19" s="857">
        <f>SUM('ACWP by JOB'!J15)</f>
        <v>15.582</v>
      </c>
      <c r="N19" s="858">
        <f t="shared" si="4"/>
        <v>0.0070000000000002656</v>
      </c>
      <c r="O19" s="859">
        <f t="shared" si="5"/>
        <v>0.013477088948787573</v>
      </c>
      <c r="P19" s="860">
        <f t="shared" si="6"/>
        <v>-29.789999999999992</v>
      </c>
      <c r="Q19" s="861">
        <f t="shared" si="7"/>
        <v>-15.371999999999993</v>
      </c>
      <c r="R19" s="747">
        <v>522</v>
      </c>
      <c r="S19" s="383">
        <f t="shared" si="8"/>
        <v>0.3065134099616858</v>
      </c>
      <c r="T19" s="384">
        <f t="shared" si="9"/>
        <v>0.13124521072796935</v>
      </c>
      <c r="U19" s="383">
        <f t="shared" si="10"/>
        <v>0.30037523570034524</v>
      </c>
      <c r="V19" s="747">
        <f>+R19</f>
        <v>522</v>
      </c>
      <c r="W19" s="751" t="s">
        <v>726</v>
      </c>
      <c r="X19" s="942">
        <f t="shared" si="11"/>
        <v>0</v>
      </c>
      <c r="Y19" s="752">
        <f t="shared" si="12"/>
        <v>522</v>
      </c>
      <c r="AH19" s="1">
        <f>28053+59700+4694</f>
        <v>92447</v>
      </c>
      <c r="AI19" s="1">
        <f>AH19+22970</f>
        <v>115417</v>
      </c>
    </row>
    <row r="20" spans="1:25" s="1" customFormat="1" ht="12.75">
      <c r="A20" s="671"/>
      <c r="B20" s="1155" t="s">
        <v>381</v>
      </c>
      <c r="C20" s="924">
        <f>'BCWS by JOB'!E16</f>
        <v>1422.71</v>
      </c>
      <c r="D20" s="911">
        <f>'BCWP by JOB'!C16</f>
        <v>1293.547</v>
      </c>
      <c r="E20" s="925">
        <f>'ACWP by JOB'!C16</f>
        <v>850.6910967437823</v>
      </c>
      <c r="F20" s="1157">
        <f t="shared" si="0"/>
        <v>0.9092134025908302</v>
      </c>
      <c r="G20" s="926">
        <f t="shared" si="1"/>
        <v>1.52058368184568</v>
      </c>
      <c r="H20" s="928">
        <f t="shared" si="2"/>
        <v>-129.163</v>
      </c>
      <c r="I20" s="927">
        <f t="shared" si="3"/>
        <v>442.85590325621774</v>
      </c>
      <c r="J20" s="311"/>
      <c r="K20" s="856">
        <f>'BCWS by JOB'!K16</f>
        <v>258.61</v>
      </c>
      <c r="L20" s="857">
        <f>'BCWP by JOB'!I16</f>
        <v>187.04700000000003</v>
      </c>
      <c r="M20" s="857">
        <f>SUM('ACWP by JOB'!J16)</f>
        <v>116.848</v>
      </c>
      <c r="N20" s="858">
        <f t="shared" si="4"/>
        <v>0.7232782955028808</v>
      </c>
      <c r="O20" s="882">
        <f t="shared" si="5"/>
        <v>1.6007719430371083</v>
      </c>
      <c r="P20" s="860">
        <f t="shared" si="6"/>
        <v>-71.56299999999999</v>
      </c>
      <c r="Q20" s="883">
        <f t="shared" si="7"/>
        <v>70.19900000000003</v>
      </c>
      <c r="R20" s="1106">
        <v>5745</v>
      </c>
      <c r="S20" s="383">
        <f t="shared" si="8"/>
        <v>0.2476431679721497</v>
      </c>
      <c r="T20" s="384">
        <f t="shared" si="9"/>
        <v>0.22516048738033073</v>
      </c>
      <c r="U20" s="383">
        <f t="shared" si="10"/>
        <v>0.14807503859769927</v>
      </c>
      <c r="V20" s="747">
        <f>+R20+100</f>
        <v>5845</v>
      </c>
      <c r="W20" s="751" t="s">
        <v>726</v>
      </c>
      <c r="X20" s="944">
        <f t="shared" si="11"/>
        <v>100</v>
      </c>
      <c r="Y20" s="752">
        <f t="shared" si="12"/>
        <v>5845</v>
      </c>
    </row>
    <row r="21" spans="1:25" s="1" customFormat="1" ht="12.75">
      <c r="A21" s="671"/>
      <c r="B21" s="459" t="s">
        <v>382</v>
      </c>
      <c r="C21" s="924">
        <f>'BCWS by JOB'!E17</f>
        <v>0</v>
      </c>
      <c r="D21" s="911">
        <f>'BCWP by JOB'!C17</f>
        <v>0</v>
      </c>
      <c r="E21" s="925">
        <f>'ACWP by JOB'!C17</f>
        <v>0</v>
      </c>
      <c r="F21" s="931" t="e">
        <f t="shared" si="1"/>
        <v>#DIV/0!</v>
      </c>
      <c r="G21" s="926" t="e">
        <f t="shared" si="1"/>
        <v>#DIV/0!</v>
      </c>
      <c r="H21" s="913">
        <f t="shared" si="2"/>
        <v>0</v>
      </c>
      <c r="I21" s="927">
        <f t="shared" si="3"/>
        <v>0</v>
      </c>
      <c r="J21" s="311"/>
      <c r="K21" s="856">
        <f>'BCWS by JOB'!K17</f>
        <v>0</v>
      </c>
      <c r="L21" s="857">
        <f>'BCWP by JOB'!I17</f>
        <v>0</v>
      </c>
      <c r="M21" s="857">
        <f>SUM('ACWP by JOB'!J17)</f>
        <v>0</v>
      </c>
      <c r="N21" s="882" t="e">
        <f>+K21/L21</f>
        <v>#DIV/0!</v>
      </c>
      <c r="O21" s="882" t="e">
        <f t="shared" si="5"/>
        <v>#DIV/0!</v>
      </c>
      <c r="P21" s="860">
        <f t="shared" si="6"/>
        <v>0</v>
      </c>
      <c r="Q21" s="883">
        <f t="shared" si="7"/>
        <v>0</v>
      </c>
      <c r="R21" s="1106">
        <v>1334</v>
      </c>
      <c r="S21" s="383">
        <f t="shared" si="8"/>
        <v>0</v>
      </c>
      <c r="T21" s="384">
        <f t="shared" si="9"/>
        <v>0</v>
      </c>
      <c r="U21" s="383">
        <f t="shared" si="10"/>
        <v>0</v>
      </c>
      <c r="V21" s="747">
        <f>IF(D21=0,R21,(IF(E21=0,R21,R21/G21)))</f>
        <v>1334</v>
      </c>
      <c r="W21" s="751" t="s">
        <v>725</v>
      </c>
      <c r="X21" s="942">
        <f t="shared" si="11"/>
        <v>0</v>
      </c>
      <c r="Y21" s="752">
        <f t="shared" si="12"/>
        <v>1334</v>
      </c>
    </row>
    <row r="22" spans="1:25" s="1" customFormat="1" ht="12.75">
      <c r="A22" s="671"/>
      <c r="B22" s="459" t="s">
        <v>383</v>
      </c>
      <c r="C22" s="924">
        <f>'BCWS by JOB'!E18</f>
        <v>0</v>
      </c>
      <c r="D22" s="911">
        <f>'BCWP by JOB'!C18</f>
        <v>0</v>
      </c>
      <c r="E22" s="925">
        <f>'ACWP by JOB'!C18</f>
        <v>0</v>
      </c>
      <c r="F22" s="931" t="e">
        <f t="shared" si="1"/>
        <v>#DIV/0!</v>
      </c>
      <c r="G22" s="926" t="e">
        <f t="shared" si="1"/>
        <v>#DIV/0!</v>
      </c>
      <c r="H22" s="913">
        <f t="shared" si="2"/>
        <v>0</v>
      </c>
      <c r="I22" s="927">
        <f t="shared" si="3"/>
        <v>0</v>
      </c>
      <c r="J22" s="311"/>
      <c r="K22" s="856">
        <f>'BCWS by JOB'!K18</f>
        <v>0</v>
      </c>
      <c r="L22" s="857">
        <f>'BCWP by JOB'!I18</f>
        <v>0</v>
      </c>
      <c r="M22" s="857">
        <f>SUM('ACWP by JOB'!J18)</f>
        <v>0</v>
      </c>
      <c r="N22" s="882" t="e">
        <f>+K22/L22</f>
        <v>#DIV/0!</v>
      </c>
      <c r="O22" s="882" t="e">
        <f t="shared" si="5"/>
        <v>#DIV/0!</v>
      </c>
      <c r="P22" s="860">
        <f t="shared" si="6"/>
        <v>0</v>
      </c>
      <c r="Q22" s="883">
        <f t="shared" si="7"/>
        <v>0</v>
      </c>
      <c r="R22" s="1106">
        <v>69</v>
      </c>
      <c r="S22" s="383">
        <f t="shared" si="8"/>
        <v>0</v>
      </c>
      <c r="T22" s="384">
        <f t="shared" si="9"/>
        <v>0</v>
      </c>
      <c r="U22" s="383">
        <f t="shared" si="10"/>
        <v>0</v>
      </c>
      <c r="V22" s="747">
        <f>IF(D22=0,R22,(IF(E22=0,R22,R22/G22)))</f>
        <v>69</v>
      </c>
      <c r="W22" s="751" t="s">
        <v>725</v>
      </c>
      <c r="X22" s="942">
        <f t="shared" si="11"/>
        <v>0</v>
      </c>
      <c r="Y22" s="752">
        <f t="shared" si="12"/>
        <v>69</v>
      </c>
    </row>
    <row r="23" spans="1:25" s="1" customFormat="1" ht="12.75">
      <c r="A23" s="671"/>
      <c r="B23" s="459" t="s">
        <v>384</v>
      </c>
      <c r="C23" s="924">
        <f>'BCWS by JOB'!E19</f>
        <v>0</v>
      </c>
      <c r="D23" s="911">
        <f>'BCWP by JOB'!C19</f>
        <v>0</v>
      </c>
      <c r="E23" s="925">
        <f>'ACWP by JOB'!C19</f>
        <v>0</v>
      </c>
      <c r="F23" s="931" t="e">
        <f t="shared" si="1"/>
        <v>#DIV/0!</v>
      </c>
      <c r="G23" s="926" t="e">
        <f t="shared" si="1"/>
        <v>#DIV/0!</v>
      </c>
      <c r="H23" s="913">
        <f t="shared" si="2"/>
        <v>0</v>
      </c>
      <c r="I23" s="927">
        <f t="shared" si="3"/>
        <v>0</v>
      </c>
      <c r="J23" s="311"/>
      <c r="K23" s="856">
        <f>'BCWS by JOB'!K19</f>
        <v>0</v>
      </c>
      <c r="L23" s="857">
        <f>'BCWP by JOB'!I19</f>
        <v>0</v>
      </c>
      <c r="M23" s="857">
        <f>SUM('ACWP by JOB'!J19)</f>
        <v>0</v>
      </c>
      <c r="N23" s="882" t="e">
        <f>+K23/L23</f>
        <v>#DIV/0!</v>
      </c>
      <c r="O23" s="882" t="e">
        <f t="shared" si="5"/>
        <v>#DIV/0!</v>
      </c>
      <c r="P23" s="860">
        <f t="shared" si="6"/>
        <v>0</v>
      </c>
      <c r="Q23" s="883">
        <f t="shared" si="7"/>
        <v>0</v>
      </c>
      <c r="R23" s="1106">
        <v>172</v>
      </c>
      <c r="S23" s="383">
        <f t="shared" si="8"/>
        <v>0</v>
      </c>
      <c r="T23" s="384">
        <f t="shared" si="9"/>
        <v>0</v>
      </c>
      <c r="U23" s="383">
        <f t="shared" si="10"/>
        <v>0</v>
      </c>
      <c r="V23" s="747">
        <f>IF(D23=0,R23,(IF(E23=0,R23,R23/G23)))</f>
        <v>172</v>
      </c>
      <c r="W23" s="751" t="s">
        <v>725</v>
      </c>
      <c r="X23" s="942">
        <f t="shared" si="11"/>
        <v>0</v>
      </c>
      <c r="Y23" s="752">
        <f t="shared" si="12"/>
        <v>172</v>
      </c>
    </row>
    <row r="24" spans="1:25" s="1" customFormat="1" ht="12.75">
      <c r="A24" s="671"/>
      <c r="B24" s="1155" t="s">
        <v>385</v>
      </c>
      <c r="C24" s="924">
        <f>'BCWS by JOB'!E20</f>
        <v>239</v>
      </c>
      <c r="D24" s="911">
        <f>'BCWP by JOB'!C20</f>
        <v>146.533</v>
      </c>
      <c r="E24" s="925">
        <f>'ACWP by JOB'!C20</f>
        <v>122.59262038441246</v>
      </c>
      <c r="F24" s="1158">
        <f t="shared" si="0"/>
        <v>0.6131087866108786</v>
      </c>
      <c r="G24" s="926">
        <f t="shared" si="1"/>
        <v>1.1952840190585527</v>
      </c>
      <c r="H24" s="913">
        <f t="shared" si="2"/>
        <v>-92.46700000000001</v>
      </c>
      <c r="I24" s="927">
        <f t="shared" si="3"/>
        <v>23.94037961558753</v>
      </c>
      <c r="J24" s="311"/>
      <c r="K24" s="856">
        <f>'BCWS by JOB'!K20</f>
        <v>57</v>
      </c>
      <c r="L24" s="857">
        <f>'BCWP by JOB'!I20</f>
        <v>2.111928339999963</v>
      </c>
      <c r="M24" s="857">
        <f>SUM('ACWP by JOB'!J20)</f>
        <v>1.477</v>
      </c>
      <c r="N24" s="858">
        <f aca="true" t="shared" si="13" ref="N24:N37">+L24/K24</f>
        <v>0.037051374385964266</v>
      </c>
      <c r="O24" s="882">
        <f t="shared" si="5"/>
        <v>1.4298770074475038</v>
      </c>
      <c r="P24" s="860">
        <f t="shared" si="6"/>
        <v>-54.88807166000004</v>
      </c>
      <c r="Q24" s="883">
        <f t="shared" si="7"/>
        <v>0.634928339999963</v>
      </c>
      <c r="R24" s="1106">
        <v>291</v>
      </c>
      <c r="S24" s="383">
        <f t="shared" si="8"/>
        <v>0.8213058419243986</v>
      </c>
      <c r="T24" s="384">
        <f t="shared" si="9"/>
        <v>0.5035498281786941</v>
      </c>
      <c r="U24" s="383">
        <f t="shared" si="10"/>
        <v>0.42128048242066135</v>
      </c>
      <c r="V24" s="747">
        <f>+R24</f>
        <v>291</v>
      </c>
      <c r="W24" s="751" t="s">
        <v>726</v>
      </c>
      <c r="X24" s="942">
        <f t="shared" si="11"/>
        <v>0</v>
      </c>
      <c r="Y24" s="752">
        <f t="shared" si="12"/>
        <v>291</v>
      </c>
    </row>
    <row r="25" spans="1:25" s="1" customFormat="1" ht="12.75">
      <c r="A25" s="671"/>
      <c r="B25" s="459" t="s">
        <v>386</v>
      </c>
      <c r="C25" s="924">
        <f>'BCWS by JOB'!E21</f>
        <v>0</v>
      </c>
      <c r="D25" s="911">
        <f>'BCWP by JOB'!C21</f>
        <v>0</v>
      </c>
      <c r="E25" s="925">
        <f>'ACWP by JOB'!C21</f>
        <v>0</v>
      </c>
      <c r="F25" s="912" t="e">
        <f t="shared" si="0"/>
        <v>#DIV/0!</v>
      </c>
      <c r="G25" s="926" t="e">
        <f t="shared" si="1"/>
        <v>#DIV/0!</v>
      </c>
      <c r="H25" s="913">
        <f t="shared" si="2"/>
        <v>0</v>
      </c>
      <c r="I25" s="927">
        <f t="shared" si="3"/>
        <v>0</v>
      </c>
      <c r="J25" s="311"/>
      <c r="K25" s="856">
        <f>'BCWS by JOB'!K21</f>
        <v>0</v>
      </c>
      <c r="L25" s="857">
        <f>'BCWP by JOB'!I21</f>
        <v>0</v>
      </c>
      <c r="M25" s="857">
        <f>SUM('ACWP by JOB'!J21)</f>
        <v>0</v>
      </c>
      <c r="N25" s="858" t="e">
        <f t="shared" si="13"/>
        <v>#DIV/0!</v>
      </c>
      <c r="O25" s="882" t="e">
        <f t="shared" si="5"/>
        <v>#DIV/0!</v>
      </c>
      <c r="P25" s="860">
        <f t="shared" si="6"/>
        <v>0</v>
      </c>
      <c r="Q25" s="883">
        <f t="shared" si="7"/>
        <v>0</v>
      </c>
      <c r="R25" s="747">
        <v>31</v>
      </c>
      <c r="S25" s="383">
        <f t="shared" si="8"/>
        <v>0</v>
      </c>
      <c r="T25" s="384">
        <f t="shared" si="9"/>
        <v>0</v>
      </c>
      <c r="U25" s="383">
        <f t="shared" si="10"/>
        <v>0</v>
      </c>
      <c r="V25" s="747">
        <f aca="true" t="shared" si="14" ref="V25:V36">IF(D25=0,R25,(IF(E25=0,R25,R25/G25)))</f>
        <v>31</v>
      </c>
      <c r="W25" s="751" t="s">
        <v>725</v>
      </c>
      <c r="X25" s="942">
        <f t="shared" si="11"/>
        <v>0</v>
      </c>
      <c r="Y25" s="752">
        <f t="shared" si="12"/>
        <v>31</v>
      </c>
    </row>
    <row r="26" spans="1:25" s="1" customFormat="1" ht="12.75">
      <c r="A26" s="671"/>
      <c r="B26" s="459" t="s">
        <v>387</v>
      </c>
      <c r="C26" s="924">
        <f>'BCWS by JOB'!E22</f>
        <v>0</v>
      </c>
      <c r="D26" s="911">
        <f>'BCWP by JOB'!C22</f>
        <v>0</v>
      </c>
      <c r="E26" s="925">
        <f>'ACWP by JOB'!C22</f>
        <v>0</v>
      </c>
      <c r="F26" s="912" t="e">
        <f t="shared" si="0"/>
        <v>#DIV/0!</v>
      </c>
      <c r="G26" s="926" t="e">
        <f t="shared" si="1"/>
        <v>#DIV/0!</v>
      </c>
      <c r="H26" s="913">
        <f t="shared" si="2"/>
        <v>0</v>
      </c>
      <c r="I26" s="927">
        <f t="shared" si="3"/>
        <v>0</v>
      </c>
      <c r="J26" s="311"/>
      <c r="K26" s="856">
        <f>'BCWS by JOB'!K22</f>
        <v>0</v>
      </c>
      <c r="L26" s="857">
        <f>'BCWP by JOB'!I22</f>
        <v>0</v>
      </c>
      <c r="M26" s="857">
        <f>SUM('ACWP by JOB'!J22)</f>
        <v>0</v>
      </c>
      <c r="N26" s="858" t="e">
        <f t="shared" si="13"/>
        <v>#DIV/0!</v>
      </c>
      <c r="O26" s="882" t="e">
        <f t="shared" si="5"/>
        <v>#DIV/0!</v>
      </c>
      <c r="P26" s="860">
        <f t="shared" si="6"/>
        <v>0</v>
      </c>
      <c r="Q26" s="883">
        <f t="shared" si="7"/>
        <v>0</v>
      </c>
      <c r="R26" s="747">
        <v>263</v>
      </c>
      <c r="S26" s="383">
        <f t="shared" si="8"/>
        <v>0</v>
      </c>
      <c r="T26" s="384">
        <f t="shared" si="9"/>
        <v>0</v>
      </c>
      <c r="U26" s="383">
        <f t="shared" si="10"/>
        <v>0</v>
      </c>
      <c r="V26" s="747">
        <f t="shared" si="14"/>
        <v>263</v>
      </c>
      <c r="W26" s="751" t="s">
        <v>725</v>
      </c>
      <c r="X26" s="942">
        <f t="shared" si="11"/>
        <v>0</v>
      </c>
      <c r="Y26" s="752">
        <f t="shared" si="12"/>
        <v>263</v>
      </c>
    </row>
    <row r="27" spans="1:25" s="1" customFormat="1" ht="12.75">
      <c r="A27" s="671"/>
      <c r="B27" s="459" t="s">
        <v>388</v>
      </c>
      <c r="C27" s="924">
        <f>'BCWS by JOB'!E23</f>
        <v>13</v>
      </c>
      <c r="D27" s="911">
        <f>'BCWP by JOB'!C23</f>
        <v>14.048</v>
      </c>
      <c r="E27" s="925">
        <f>'ACWP by JOB'!C23</f>
        <v>22.940213958750643</v>
      </c>
      <c r="F27" s="912">
        <f t="shared" si="0"/>
        <v>1.0806153846153845</v>
      </c>
      <c r="G27" s="926">
        <f t="shared" si="1"/>
        <v>0.6123744105116042</v>
      </c>
      <c r="H27" s="913">
        <f t="shared" si="2"/>
        <v>1.048</v>
      </c>
      <c r="I27" s="927">
        <f t="shared" si="3"/>
        <v>-8.892213958750643</v>
      </c>
      <c r="J27" s="311"/>
      <c r="K27" s="856">
        <f>'BCWS by JOB'!K23</f>
        <v>3</v>
      </c>
      <c r="L27" s="857">
        <f>'BCWP by JOB'!I23</f>
        <v>2.688559999999999</v>
      </c>
      <c r="M27" s="857">
        <f>SUM('ACWP by JOB'!J23)</f>
        <v>2.884</v>
      </c>
      <c r="N27" s="858">
        <f t="shared" si="13"/>
        <v>0.8961866666666664</v>
      </c>
      <c r="O27" s="882">
        <f t="shared" si="5"/>
        <v>0.9322330097087376</v>
      </c>
      <c r="P27" s="860">
        <f t="shared" si="6"/>
        <v>-0.31144000000000105</v>
      </c>
      <c r="Q27" s="883">
        <f t="shared" si="7"/>
        <v>-0.19544000000000095</v>
      </c>
      <c r="R27" s="747">
        <v>132</v>
      </c>
      <c r="S27" s="383">
        <f t="shared" si="8"/>
        <v>0.09848484848484848</v>
      </c>
      <c r="T27" s="384">
        <f t="shared" si="9"/>
        <v>0.10642424242424242</v>
      </c>
      <c r="U27" s="383">
        <f t="shared" si="10"/>
        <v>0.17378949968750487</v>
      </c>
      <c r="V27" s="747">
        <f t="shared" si="14"/>
        <v>215.55440223199636</v>
      </c>
      <c r="W27" s="751" t="s">
        <v>725</v>
      </c>
      <c r="X27" s="942">
        <f t="shared" si="11"/>
        <v>83.55440223199636</v>
      </c>
      <c r="Y27" s="752">
        <f t="shared" si="12"/>
        <v>215.55440223199636</v>
      </c>
    </row>
    <row r="28" spans="1:25" s="1" customFormat="1" ht="12.75">
      <c r="A28" s="671"/>
      <c r="B28" s="459" t="s">
        <v>389</v>
      </c>
      <c r="C28" s="924">
        <f>'BCWS by JOB'!E24</f>
        <v>0</v>
      </c>
      <c r="D28" s="911">
        <f>'BCWP by JOB'!C24</f>
        <v>0</v>
      </c>
      <c r="E28" s="925">
        <f>'ACWP by JOB'!C24</f>
        <v>0</v>
      </c>
      <c r="F28" s="912" t="e">
        <f t="shared" si="0"/>
        <v>#DIV/0!</v>
      </c>
      <c r="G28" s="926" t="e">
        <f t="shared" si="1"/>
        <v>#DIV/0!</v>
      </c>
      <c r="H28" s="913">
        <f t="shared" si="2"/>
        <v>0</v>
      </c>
      <c r="I28" s="927">
        <f t="shared" si="3"/>
        <v>0</v>
      </c>
      <c r="J28" s="311"/>
      <c r="K28" s="856">
        <f>'BCWS by JOB'!K24</f>
        <v>0</v>
      </c>
      <c r="L28" s="857">
        <f>'BCWP by JOB'!I24</f>
        <v>0</v>
      </c>
      <c r="M28" s="857">
        <f>SUM('ACWP by JOB'!J24)</f>
        <v>0</v>
      </c>
      <c r="N28" s="858" t="e">
        <f t="shared" si="13"/>
        <v>#DIV/0!</v>
      </c>
      <c r="O28" s="882" t="e">
        <f t="shared" si="5"/>
        <v>#DIV/0!</v>
      </c>
      <c r="P28" s="860">
        <f t="shared" si="6"/>
        <v>0</v>
      </c>
      <c r="Q28" s="883">
        <f t="shared" si="7"/>
        <v>0</v>
      </c>
      <c r="R28" s="1106">
        <v>46</v>
      </c>
      <c r="S28" s="383">
        <f t="shared" si="8"/>
        <v>0</v>
      </c>
      <c r="T28" s="384">
        <f t="shared" si="9"/>
        <v>0</v>
      </c>
      <c r="U28" s="383">
        <f t="shared" si="10"/>
        <v>0</v>
      </c>
      <c r="V28" s="747">
        <f t="shared" si="14"/>
        <v>46</v>
      </c>
      <c r="W28" s="751" t="s">
        <v>725</v>
      </c>
      <c r="X28" s="942">
        <f t="shared" si="11"/>
        <v>0</v>
      </c>
      <c r="Y28" s="752">
        <f t="shared" si="12"/>
        <v>46</v>
      </c>
    </row>
    <row r="29" spans="1:25" s="1" customFormat="1" ht="12.75">
      <c r="A29" s="671"/>
      <c r="B29" s="459" t="s">
        <v>390</v>
      </c>
      <c r="C29" s="924">
        <f>'BCWS by JOB'!E25</f>
        <v>0</v>
      </c>
      <c r="D29" s="911">
        <f>'BCWP by JOB'!C25</f>
        <v>0</v>
      </c>
      <c r="E29" s="925">
        <f>'ACWP by JOB'!C25</f>
        <v>0</v>
      </c>
      <c r="F29" s="912" t="e">
        <f t="shared" si="0"/>
        <v>#DIV/0!</v>
      </c>
      <c r="G29" s="926" t="e">
        <f t="shared" si="1"/>
        <v>#DIV/0!</v>
      </c>
      <c r="H29" s="913">
        <f t="shared" si="2"/>
        <v>0</v>
      </c>
      <c r="I29" s="927">
        <f t="shared" si="3"/>
        <v>0</v>
      </c>
      <c r="J29" s="311"/>
      <c r="K29" s="856">
        <f>'BCWS by JOB'!K25</f>
        <v>0</v>
      </c>
      <c r="L29" s="857">
        <f>'BCWP by JOB'!I25</f>
        <v>0</v>
      </c>
      <c r="M29" s="857">
        <f>SUM('ACWP by JOB'!J25)</f>
        <v>0</v>
      </c>
      <c r="N29" s="858" t="e">
        <f t="shared" si="13"/>
        <v>#DIV/0!</v>
      </c>
      <c r="O29" s="882" t="e">
        <f t="shared" si="5"/>
        <v>#DIV/0!</v>
      </c>
      <c r="P29" s="860">
        <f t="shared" si="6"/>
        <v>0</v>
      </c>
      <c r="Q29" s="883">
        <f t="shared" si="7"/>
        <v>0</v>
      </c>
      <c r="R29" s="747">
        <v>655</v>
      </c>
      <c r="S29" s="383">
        <f t="shared" si="8"/>
        <v>0</v>
      </c>
      <c r="T29" s="384">
        <f t="shared" si="9"/>
        <v>0</v>
      </c>
      <c r="U29" s="383">
        <f t="shared" si="10"/>
        <v>0</v>
      </c>
      <c r="V29" s="747">
        <f t="shared" si="14"/>
        <v>655</v>
      </c>
      <c r="W29" s="751" t="s">
        <v>725</v>
      </c>
      <c r="X29" s="942">
        <f t="shared" si="11"/>
        <v>0</v>
      </c>
      <c r="Y29" s="752">
        <f t="shared" si="12"/>
        <v>655</v>
      </c>
    </row>
    <row r="30" spans="1:25" s="1" customFormat="1" ht="12.75">
      <c r="A30" s="671"/>
      <c r="B30" s="459" t="s">
        <v>391</v>
      </c>
      <c r="C30" s="924">
        <f>'BCWS by JOB'!E26</f>
        <v>0</v>
      </c>
      <c r="D30" s="911">
        <f>'BCWP by JOB'!C26</f>
        <v>0</v>
      </c>
      <c r="E30" s="925">
        <f>'ACWP by JOB'!C26</f>
        <v>0</v>
      </c>
      <c r="F30" s="912" t="e">
        <f t="shared" si="0"/>
        <v>#DIV/0!</v>
      </c>
      <c r="G30" s="926" t="e">
        <f t="shared" si="1"/>
        <v>#DIV/0!</v>
      </c>
      <c r="H30" s="913">
        <f t="shared" si="2"/>
        <v>0</v>
      </c>
      <c r="I30" s="927">
        <f t="shared" si="3"/>
        <v>0</v>
      </c>
      <c r="J30" s="311"/>
      <c r="K30" s="856">
        <f>'BCWS by JOB'!K26</f>
        <v>0</v>
      </c>
      <c r="L30" s="857">
        <f>'BCWP by JOB'!I26</f>
        <v>0</v>
      </c>
      <c r="M30" s="857">
        <f>SUM('ACWP by JOB'!J26)</f>
        <v>0</v>
      </c>
      <c r="N30" s="858" t="e">
        <f t="shared" si="13"/>
        <v>#DIV/0!</v>
      </c>
      <c r="O30" s="882" t="e">
        <f t="shared" si="5"/>
        <v>#DIV/0!</v>
      </c>
      <c r="P30" s="860">
        <f t="shared" si="6"/>
        <v>0</v>
      </c>
      <c r="Q30" s="883">
        <f t="shared" si="7"/>
        <v>0</v>
      </c>
      <c r="R30" s="747">
        <v>105</v>
      </c>
      <c r="S30" s="383">
        <f t="shared" si="8"/>
        <v>0</v>
      </c>
      <c r="T30" s="384">
        <f t="shared" si="9"/>
        <v>0</v>
      </c>
      <c r="U30" s="383">
        <f t="shared" si="10"/>
        <v>0</v>
      </c>
      <c r="V30" s="747">
        <f t="shared" si="14"/>
        <v>105</v>
      </c>
      <c r="W30" s="751" t="s">
        <v>725</v>
      </c>
      <c r="X30" s="942">
        <f t="shared" si="11"/>
        <v>0</v>
      </c>
      <c r="Y30" s="752">
        <f t="shared" si="12"/>
        <v>105</v>
      </c>
    </row>
    <row r="31" spans="1:25" s="1" customFormat="1" ht="12.75">
      <c r="A31" s="671"/>
      <c r="B31" s="459" t="s">
        <v>392</v>
      </c>
      <c r="C31" s="924">
        <f>'BCWS by JOB'!E27</f>
        <v>0</v>
      </c>
      <c r="D31" s="911">
        <f>'BCWP by JOB'!C27</f>
        <v>0</v>
      </c>
      <c r="E31" s="925">
        <f>'ACWP by JOB'!C27</f>
        <v>0</v>
      </c>
      <c r="F31" s="912" t="e">
        <f t="shared" si="0"/>
        <v>#DIV/0!</v>
      </c>
      <c r="G31" s="926" t="e">
        <f t="shared" si="1"/>
        <v>#DIV/0!</v>
      </c>
      <c r="H31" s="913">
        <f t="shared" si="2"/>
        <v>0</v>
      </c>
      <c r="I31" s="927">
        <f t="shared" si="3"/>
        <v>0</v>
      </c>
      <c r="J31" s="311"/>
      <c r="K31" s="856">
        <f>'BCWS by JOB'!K27</f>
        <v>0</v>
      </c>
      <c r="L31" s="857">
        <f>'BCWP by JOB'!I27</f>
        <v>0</v>
      </c>
      <c r="M31" s="857">
        <f>SUM('ACWP by JOB'!J27)</f>
        <v>0</v>
      </c>
      <c r="N31" s="858" t="e">
        <f t="shared" si="13"/>
        <v>#DIV/0!</v>
      </c>
      <c r="O31" s="882" t="e">
        <f t="shared" si="5"/>
        <v>#DIV/0!</v>
      </c>
      <c r="P31" s="860">
        <f t="shared" si="6"/>
        <v>0</v>
      </c>
      <c r="Q31" s="883">
        <f t="shared" si="7"/>
        <v>0</v>
      </c>
      <c r="R31" s="747">
        <v>573</v>
      </c>
      <c r="S31" s="383">
        <f t="shared" si="8"/>
        <v>0</v>
      </c>
      <c r="T31" s="384">
        <f t="shared" si="9"/>
        <v>0</v>
      </c>
      <c r="U31" s="383">
        <f t="shared" si="10"/>
        <v>0</v>
      </c>
      <c r="V31" s="747">
        <f t="shared" si="14"/>
        <v>573</v>
      </c>
      <c r="W31" s="751" t="s">
        <v>725</v>
      </c>
      <c r="X31" s="942">
        <f t="shared" si="11"/>
        <v>0</v>
      </c>
      <c r="Y31" s="752">
        <f t="shared" si="12"/>
        <v>573</v>
      </c>
    </row>
    <row r="32" spans="1:25" s="1" customFormat="1" ht="12.75">
      <c r="A32" s="671"/>
      <c r="B32" s="459" t="s">
        <v>393</v>
      </c>
      <c r="C32" s="924">
        <f>'BCWS by JOB'!E28</f>
        <v>0</v>
      </c>
      <c r="D32" s="911">
        <f>'BCWP by JOB'!C28</f>
        <v>2.614</v>
      </c>
      <c r="E32" s="925">
        <f>'ACWP by JOB'!C28</f>
        <v>0</v>
      </c>
      <c r="F32" s="912" t="e">
        <f t="shared" si="0"/>
        <v>#DIV/0!</v>
      </c>
      <c r="G32" s="926" t="e">
        <f t="shared" si="1"/>
        <v>#DIV/0!</v>
      </c>
      <c r="H32" s="913">
        <f t="shared" si="2"/>
        <v>2.614</v>
      </c>
      <c r="I32" s="927">
        <f t="shared" si="3"/>
        <v>2.614</v>
      </c>
      <c r="J32" s="311"/>
      <c r="K32" s="856">
        <f>'BCWS by JOB'!K28</f>
        <v>0</v>
      </c>
      <c r="L32" s="857">
        <f>'BCWP by JOB'!I28</f>
        <v>0.06400000000000006</v>
      </c>
      <c r="M32" s="857">
        <f>SUM('ACWP by JOB'!J28)</f>
        <v>0</v>
      </c>
      <c r="N32" s="858" t="e">
        <f t="shared" si="13"/>
        <v>#DIV/0!</v>
      </c>
      <c r="O32" s="882" t="e">
        <f t="shared" si="5"/>
        <v>#DIV/0!</v>
      </c>
      <c r="P32" s="860">
        <f t="shared" si="6"/>
        <v>0.06400000000000006</v>
      </c>
      <c r="Q32" s="883">
        <f t="shared" si="7"/>
        <v>0.06400000000000006</v>
      </c>
      <c r="R32" s="747">
        <v>204</v>
      </c>
      <c r="S32" s="383">
        <f t="shared" si="8"/>
        <v>0</v>
      </c>
      <c r="T32" s="384">
        <f t="shared" si="9"/>
        <v>0.012813725490196078</v>
      </c>
      <c r="U32" s="383">
        <f t="shared" si="10"/>
        <v>0</v>
      </c>
      <c r="V32" s="747">
        <f t="shared" si="14"/>
        <v>204</v>
      </c>
      <c r="W32" s="751" t="s">
        <v>725</v>
      </c>
      <c r="X32" s="942">
        <f t="shared" si="11"/>
        <v>0</v>
      </c>
      <c r="Y32" s="752">
        <f t="shared" si="12"/>
        <v>204</v>
      </c>
    </row>
    <row r="33" spans="1:25" s="1" customFormat="1" ht="12.75">
      <c r="A33" s="671"/>
      <c r="B33" s="459" t="s">
        <v>394</v>
      </c>
      <c r="C33" s="924">
        <f>'BCWS by JOB'!E29</f>
        <v>-306</v>
      </c>
      <c r="D33" s="911">
        <f>'BCWP by JOB'!C29</f>
        <v>-306.2</v>
      </c>
      <c r="E33" s="925">
        <f>'ACWP by JOB'!C29</f>
        <v>-282.2792542977656</v>
      </c>
      <c r="F33" s="912">
        <f t="shared" si="0"/>
        <v>1.0006535947712418</v>
      </c>
      <c r="G33" s="926">
        <f t="shared" si="1"/>
        <v>1.0847414230342316</v>
      </c>
      <c r="H33" s="913">
        <f t="shared" si="2"/>
        <v>-0.19999999999998863</v>
      </c>
      <c r="I33" s="927">
        <f t="shared" si="3"/>
        <v>-23.9207457022344</v>
      </c>
      <c r="J33" s="311"/>
      <c r="K33" s="856">
        <f>'BCWS by JOB'!K29</f>
        <v>2</v>
      </c>
      <c r="L33" s="857">
        <f>'BCWP by JOB'!I29</f>
        <v>2.1000000000000227</v>
      </c>
      <c r="M33" s="857">
        <f>SUM('ACWP by JOB'!J29)</f>
        <v>0</v>
      </c>
      <c r="N33" s="858">
        <f t="shared" si="13"/>
        <v>1.0500000000000114</v>
      </c>
      <c r="O33" s="882" t="e">
        <f t="shared" si="5"/>
        <v>#DIV/0!</v>
      </c>
      <c r="P33" s="860">
        <f t="shared" si="6"/>
        <v>0.10000000000002274</v>
      </c>
      <c r="Q33" s="883">
        <f t="shared" si="7"/>
        <v>2.1000000000000227</v>
      </c>
      <c r="R33" s="747">
        <v>1417</v>
      </c>
      <c r="S33" s="383">
        <f t="shared" si="8"/>
        <v>-0.21594918842625266</v>
      </c>
      <c r="T33" s="384">
        <f t="shared" si="9"/>
        <v>-0.21609033168666195</v>
      </c>
      <c r="U33" s="383">
        <f t="shared" si="10"/>
        <v>-0.19920907148748454</v>
      </c>
      <c r="V33" s="747">
        <v>1417</v>
      </c>
      <c r="W33" s="751" t="s">
        <v>176</v>
      </c>
      <c r="X33" s="942">
        <f t="shared" si="11"/>
        <v>0</v>
      </c>
      <c r="Y33" s="752">
        <f t="shared" si="12"/>
        <v>1417</v>
      </c>
    </row>
    <row r="34" spans="1:25" s="1" customFormat="1" ht="12.75">
      <c r="A34" s="671"/>
      <c r="B34" s="459" t="s">
        <v>395</v>
      </c>
      <c r="C34" s="924">
        <f>'BCWS by JOB'!E30</f>
        <v>0</v>
      </c>
      <c r="D34" s="911">
        <f>'BCWP by JOB'!C30</f>
        <v>0</v>
      </c>
      <c r="E34" s="925">
        <f>'ACWP by JOB'!C30</f>
        <v>0</v>
      </c>
      <c r="F34" s="912" t="e">
        <f t="shared" si="0"/>
        <v>#DIV/0!</v>
      </c>
      <c r="G34" s="926" t="e">
        <f t="shared" si="1"/>
        <v>#DIV/0!</v>
      </c>
      <c r="H34" s="913">
        <f t="shared" si="2"/>
        <v>0</v>
      </c>
      <c r="I34" s="927">
        <f t="shared" si="3"/>
        <v>0</v>
      </c>
      <c r="J34" s="311"/>
      <c r="K34" s="856">
        <f>'BCWS by JOB'!K30</f>
        <v>0</v>
      </c>
      <c r="L34" s="857">
        <f>'BCWP by JOB'!I30</f>
        <v>0</v>
      </c>
      <c r="M34" s="857">
        <f>SUM('ACWP by JOB'!J30)</f>
        <v>0</v>
      </c>
      <c r="N34" s="858" t="e">
        <f t="shared" si="13"/>
        <v>#DIV/0!</v>
      </c>
      <c r="O34" s="882" t="e">
        <f t="shared" si="5"/>
        <v>#DIV/0!</v>
      </c>
      <c r="P34" s="860">
        <f t="shared" si="6"/>
        <v>0</v>
      </c>
      <c r="Q34" s="883">
        <f t="shared" si="7"/>
        <v>0</v>
      </c>
      <c r="R34" s="747">
        <v>1407</v>
      </c>
      <c r="S34" s="383">
        <f t="shared" si="8"/>
        <v>0</v>
      </c>
      <c r="T34" s="384">
        <f t="shared" si="9"/>
        <v>0</v>
      </c>
      <c r="U34" s="383">
        <f t="shared" si="10"/>
        <v>0</v>
      </c>
      <c r="V34" s="747">
        <f t="shared" si="14"/>
        <v>1407</v>
      </c>
      <c r="W34" s="751" t="s">
        <v>725</v>
      </c>
      <c r="X34" s="942">
        <f t="shared" si="11"/>
        <v>0</v>
      </c>
      <c r="Y34" s="752">
        <f t="shared" si="12"/>
        <v>1407</v>
      </c>
    </row>
    <row r="35" spans="1:25" s="1" customFormat="1" ht="12.75">
      <c r="A35" s="671"/>
      <c r="B35" s="459" t="s">
        <v>396</v>
      </c>
      <c r="C35" s="924">
        <f>'BCWS by JOB'!E31</f>
        <v>0</v>
      </c>
      <c r="D35" s="911">
        <f>'BCWP by JOB'!C31</f>
        <v>0</v>
      </c>
      <c r="E35" s="925">
        <f>'ACWP by JOB'!C31</f>
        <v>0</v>
      </c>
      <c r="F35" s="912" t="e">
        <f t="shared" si="0"/>
        <v>#DIV/0!</v>
      </c>
      <c r="G35" s="926" t="e">
        <f t="shared" si="1"/>
        <v>#DIV/0!</v>
      </c>
      <c r="H35" s="913">
        <f t="shared" si="2"/>
        <v>0</v>
      </c>
      <c r="I35" s="927">
        <f t="shared" si="3"/>
        <v>0</v>
      </c>
      <c r="J35" s="311"/>
      <c r="K35" s="856">
        <f>'BCWS by JOB'!K31</f>
        <v>0</v>
      </c>
      <c r="L35" s="857">
        <f>'BCWP by JOB'!I31</f>
        <v>0</v>
      </c>
      <c r="M35" s="857">
        <f>SUM('ACWP by JOB'!J31)</f>
        <v>0</v>
      </c>
      <c r="N35" s="858" t="e">
        <f t="shared" si="13"/>
        <v>#DIV/0!</v>
      </c>
      <c r="O35" s="882" t="e">
        <f t="shared" si="5"/>
        <v>#DIV/0!</v>
      </c>
      <c r="P35" s="860">
        <f t="shared" si="6"/>
        <v>0</v>
      </c>
      <c r="Q35" s="883">
        <f t="shared" si="7"/>
        <v>0</v>
      </c>
      <c r="R35" s="747">
        <v>4511</v>
      </c>
      <c r="S35" s="383">
        <f t="shared" si="8"/>
        <v>0</v>
      </c>
      <c r="T35" s="384">
        <f t="shared" si="9"/>
        <v>0</v>
      </c>
      <c r="U35" s="383">
        <f t="shared" si="10"/>
        <v>0</v>
      </c>
      <c r="V35" s="747">
        <f t="shared" si="14"/>
        <v>4511</v>
      </c>
      <c r="W35" s="751" t="s">
        <v>725</v>
      </c>
      <c r="X35" s="942">
        <f t="shared" si="11"/>
        <v>0</v>
      </c>
      <c r="Y35" s="752">
        <f t="shared" si="12"/>
        <v>4511</v>
      </c>
    </row>
    <row r="36" spans="1:25" s="1" customFormat="1" ht="13.5" thickBot="1">
      <c r="A36" s="671"/>
      <c r="B36" s="460" t="s">
        <v>397</v>
      </c>
      <c r="C36" s="932">
        <f>'BCWS by JOB'!E32</f>
        <v>0</v>
      </c>
      <c r="D36" s="915">
        <f>'BCWP by JOB'!C32</f>
        <v>0</v>
      </c>
      <c r="E36" s="933">
        <f>'ACWP by JOB'!C32</f>
        <v>0</v>
      </c>
      <c r="F36" s="916" t="e">
        <f t="shared" si="0"/>
        <v>#DIV/0!</v>
      </c>
      <c r="G36" s="934" t="e">
        <f t="shared" si="1"/>
        <v>#DIV/0!</v>
      </c>
      <c r="H36" s="917">
        <f t="shared" si="2"/>
        <v>0</v>
      </c>
      <c r="I36" s="935">
        <f t="shared" si="3"/>
        <v>0</v>
      </c>
      <c r="J36" s="311"/>
      <c r="K36" s="884">
        <f>'BCWS by JOB'!K32</f>
        <v>0</v>
      </c>
      <c r="L36" s="885">
        <f>'BCWP by JOB'!I32</f>
        <v>0</v>
      </c>
      <c r="M36" s="886">
        <f>SUM('ACWP by JOB'!J32)</f>
        <v>0</v>
      </c>
      <c r="N36" s="887" t="e">
        <f t="shared" si="13"/>
        <v>#DIV/0!</v>
      </c>
      <c r="O36" s="888" t="e">
        <f t="shared" si="5"/>
        <v>#DIV/0!</v>
      </c>
      <c r="P36" s="889">
        <f t="shared" si="6"/>
        <v>0</v>
      </c>
      <c r="Q36" s="890">
        <f t="shared" si="7"/>
        <v>0</v>
      </c>
      <c r="R36" s="748">
        <v>412</v>
      </c>
      <c r="S36" s="383">
        <f t="shared" si="8"/>
        <v>0</v>
      </c>
      <c r="T36" s="384">
        <f t="shared" si="9"/>
        <v>0</v>
      </c>
      <c r="U36" s="383">
        <f t="shared" si="10"/>
        <v>0</v>
      </c>
      <c r="V36" s="748">
        <f t="shared" si="14"/>
        <v>412</v>
      </c>
      <c r="W36" s="753" t="s">
        <v>725</v>
      </c>
      <c r="X36" s="943">
        <f t="shared" si="11"/>
        <v>0</v>
      </c>
      <c r="Y36" s="754">
        <f t="shared" si="12"/>
        <v>412</v>
      </c>
    </row>
    <row r="37" spans="1:25" s="463" customFormat="1" ht="15.75" thickBot="1">
      <c r="A37" s="675"/>
      <c r="B37" s="461" t="s">
        <v>664</v>
      </c>
      <c r="C37" s="437">
        <f>SUM(C12:C36)</f>
        <v>4016.71</v>
      </c>
      <c r="D37" s="438">
        <f>SUM(D12:D36)</f>
        <v>3794.5060000000003</v>
      </c>
      <c r="E37" s="570">
        <f>SUM(E12:E36)</f>
        <v>3154.7718192343414</v>
      </c>
      <c r="F37" s="568">
        <f t="shared" si="0"/>
        <v>0.9446800988869001</v>
      </c>
      <c r="G37" s="569">
        <f t="shared" si="1"/>
        <v>1.202783027560111</v>
      </c>
      <c r="H37" s="566">
        <f t="shared" si="2"/>
        <v>-222.20399999999972</v>
      </c>
      <c r="I37" s="439">
        <f t="shared" si="3"/>
        <v>639.734180765659</v>
      </c>
      <c r="J37" s="440"/>
      <c r="K37" s="869">
        <f>SUM(K12:K36)</f>
        <v>1204.6100000000001</v>
      </c>
      <c r="L37" s="870">
        <f>SUM(L12:L36)</f>
        <v>894.38548834</v>
      </c>
      <c r="M37" s="870">
        <f>SUM(M12:M36)</f>
        <v>426.885</v>
      </c>
      <c r="N37" s="871">
        <f t="shared" si="13"/>
        <v>0.7424689221739816</v>
      </c>
      <c r="O37" s="872">
        <f t="shared" si="5"/>
        <v>2.0951438638977713</v>
      </c>
      <c r="P37" s="873">
        <f t="shared" si="6"/>
        <v>-310.2245116600001</v>
      </c>
      <c r="Q37" s="874">
        <f t="shared" si="7"/>
        <v>467.50048834000006</v>
      </c>
      <c r="R37" s="741">
        <f>SUM(R12:R36)</f>
        <v>24791</v>
      </c>
      <c r="S37" s="742">
        <f t="shared" si="8"/>
        <v>0.1620229115404784</v>
      </c>
      <c r="T37" s="743">
        <f t="shared" si="9"/>
        <v>0.1530598200960026</v>
      </c>
      <c r="U37" s="742">
        <f t="shared" si="10"/>
        <v>0.1272547222473616</v>
      </c>
      <c r="V37" s="939">
        <f>SUM(V12:V36)</f>
        <v>25144.554402231995</v>
      </c>
      <c r="W37" s="744"/>
      <c r="X37" s="939">
        <f t="shared" si="11"/>
        <v>353.5544022319955</v>
      </c>
      <c r="Y37" s="745">
        <f>SUM(Y12:Y36)</f>
        <v>25144.554402231995</v>
      </c>
    </row>
    <row r="38" spans="1:24" s="1" customFormat="1" ht="20.25" customHeight="1" thickBot="1">
      <c r="A38" s="673"/>
      <c r="B38" s="443"/>
      <c r="C38" s="9"/>
      <c r="D38" s="9"/>
      <c r="E38" s="9"/>
      <c r="F38" s="304"/>
      <c r="G38" s="239"/>
      <c r="H38" s="249"/>
      <c r="I38" s="12"/>
      <c r="J38" s="311"/>
      <c r="K38" s="875"/>
      <c r="L38" s="875"/>
      <c r="M38" s="875"/>
      <c r="N38" s="876"/>
      <c r="O38" s="877"/>
      <c r="P38" s="878"/>
      <c r="Q38" s="879">
        <f>+'BCWP by JOB'!H34-'ACWP by JOB'!K34</f>
        <v>0</v>
      </c>
      <c r="R38" s="2"/>
      <c r="V38" s="443">
        <f>IF(U38&gt;T38*1.5,"X","")</f>
      </c>
      <c r="X38" s="443"/>
    </row>
    <row r="39" spans="1:25" s="1" customFormat="1" ht="39.75" thickBot="1">
      <c r="A39" s="674" t="s">
        <v>345</v>
      </c>
      <c r="B39" s="1154" t="s">
        <v>348</v>
      </c>
      <c r="C39" s="936">
        <f>'BCWS by JOB'!E35</f>
        <v>79</v>
      </c>
      <c r="D39" s="919">
        <f>'BCWP by JOB'!C35</f>
        <v>61.085</v>
      </c>
      <c r="E39" s="920">
        <f>'ACWP by JOB'!C35</f>
        <v>47.60200320238492</v>
      </c>
      <c r="F39" s="1160">
        <f aca="true" t="shared" si="15" ref="F39:F64">+D39/C39</f>
        <v>0.7732278481012659</v>
      </c>
      <c r="G39" s="937">
        <f aca="true" t="shared" si="16" ref="G39:G64">+D39/E39</f>
        <v>1.2832443151665425</v>
      </c>
      <c r="H39" s="922">
        <f aca="true" t="shared" si="17" ref="H39:H65">+D39-C39</f>
        <v>-17.915</v>
      </c>
      <c r="I39" s="923">
        <f aca="true" t="shared" si="18" ref="I39:I64">+D39-E39</f>
        <v>13.48299679761508</v>
      </c>
      <c r="J39" s="313"/>
      <c r="K39" s="851">
        <f>'BCWS by JOB'!K35</f>
        <v>35</v>
      </c>
      <c r="L39" s="880">
        <f>'BCWP by JOB'!I35</f>
        <v>0.7349999999999994</v>
      </c>
      <c r="M39" s="880">
        <f>SUM('ACWP by JOB'!J35)</f>
        <v>3.217</v>
      </c>
      <c r="N39" s="853">
        <f>+L39/K39</f>
        <v>0.020999999999999984</v>
      </c>
      <c r="O39" s="854">
        <f aca="true" t="shared" si="19" ref="O39:O64">+L39/M39</f>
        <v>0.22847373329188667</v>
      </c>
      <c r="P39" s="881">
        <f aca="true" t="shared" si="20" ref="P39:P65">+L39-K39</f>
        <v>-34.265</v>
      </c>
      <c r="Q39" s="855">
        <f aca="true" t="shared" si="21" ref="Q39:Q64">+L39-M39</f>
        <v>-2.4820000000000007</v>
      </c>
      <c r="R39" s="607">
        <v>257</v>
      </c>
      <c r="S39" s="380">
        <f t="shared" si="8"/>
        <v>0.30739299610894943</v>
      </c>
      <c r="T39" s="381">
        <f aca="true" t="shared" si="22" ref="T39:T65">+D39/R39</f>
        <v>0.23768482490272375</v>
      </c>
      <c r="U39" s="380">
        <f aca="true" t="shared" si="23" ref="U39:U65">+E39/R39</f>
        <v>0.1852218023439102</v>
      </c>
      <c r="V39" s="605">
        <f>+R39</f>
        <v>257</v>
      </c>
      <c r="W39" s="2" t="s">
        <v>726</v>
      </c>
      <c r="X39" s="940">
        <f aca="true" t="shared" si="24" ref="X39:X65">+V39-R39</f>
        <v>0</v>
      </c>
      <c r="Y39" s="382">
        <f aca="true" t="shared" si="25" ref="Y39:Y64">+V39</f>
        <v>257</v>
      </c>
    </row>
    <row r="40" spans="1:25" s="1" customFormat="1" ht="12.75">
      <c r="A40" s="671"/>
      <c r="B40" s="459" t="s">
        <v>349</v>
      </c>
      <c r="C40" s="910">
        <f>'BCWS by JOB'!E36</f>
        <v>0</v>
      </c>
      <c r="D40" s="911">
        <f>'BCWP by JOB'!C36</f>
        <v>0</v>
      </c>
      <c r="E40" s="925">
        <f>'ACWP by JOB'!C36</f>
        <v>0</v>
      </c>
      <c r="F40" s="912" t="e">
        <f t="shared" si="15"/>
        <v>#DIV/0!</v>
      </c>
      <c r="G40" s="926" t="e">
        <f t="shared" si="16"/>
        <v>#DIV/0!</v>
      </c>
      <c r="H40" s="913">
        <f t="shared" si="17"/>
        <v>0</v>
      </c>
      <c r="I40" s="927">
        <f t="shared" si="18"/>
        <v>0</v>
      </c>
      <c r="J40" s="311"/>
      <c r="K40" s="856">
        <f>'BCWS by JOB'!K36</f>
        <v>0</v>
      </c>
      <c r="L40" s="857">
        <f>'BCWP by JOB'!I36</f>
        <v>0</v>
      </c>
      <c r="M40" s="857">
        <f>SUM('ACWP by JOB'!J36)</f>
        <v>0</v>
      </c>
      <c r="N40" s="882" t="e">
        <f>+K40/L40</f>
        <v>#DIV/0!</v>
      </c>
      <c r="O40" s="882" t="e">
        <f t="shared" si="19"/>
        <v>#DIV/0!</v>
      </c>
      <c r="P40" s="860">
        <f t="shared" si="20"/>
        <v>0</v>
      </c>
      <c r="Q40" s="883">
        <f t="shared" si="21"/>
        <v>0</v>
      </c>
      <c r="R40" s="605">
        <v>1630</v>
      </c>
      <c r="S40" s="383">
        <f t="shared" si="8"/>
        <v>0</v>
      </c>
      <c r="T40" s="384">
        <f t="shared" si="22"/>
        <v>0</v>
      </c>
      <c r="U40" s="383">
        <f t="shared" si="23"/>
        <v>0</v>
      </c>
      <c r="V40" s="605">
        <f>IF(D40=0,R40,(IF(E40=0,R40,R40/G40)))</f>
        <v>1630</v>
      </c>
      <c r="W40" s="2" t="s">
        <v>725</v>
      </c>
      <c r="X40" s="940">
        <f t="shared" si="24"/>
        <v>0</v>
      </c>
      <c r="Y40" s="382">
        <f t="shared" si="25"/>
        <v>1630</v>
      </c>
    </row>
    <row r="41" spans="1:25" s="1" customFormat="1" ht="12.75">
      <c r="A41" s="671"/>
      <c r="B41" s="459" t="s">
        <v>350</v>
      </c>
      <c r="C41" s="910">
        <f>'BCWS by JOB'!E37</f>
        <v>0</v>
      </c>
      <c r="D41" s="911">
        <f>'BCWP by JOB'!C37</f>
        <v>0</v>
      </c>
      <c r="E41" s="925">
        <f>'ACWP by JOB'!C37</f>
        <v>0</v>
      </c>
      <c r="F41" s="912" t="e">
        <f t="shared" si="15"/>
        <v>#DIV/0!</v>
      </c>
      <c r="G41" s="926" t="e">
        <f t="shared" si="16"/>
        <v>#DIV/0!</v>
      </c>
      <c r="H41" s="913">
        <f t="shared" si="17"/>
        <v>0</v>
      </c>
      <c r="I41" s="927">
        <f t="shared" si="18"/>
        <v>0</v>
      </c>
      <c r="J41" s="311"/>
      <c r="K41" s="856">
        <f>'BCWS by JOB'!K37</f>
        <v>0</v>
      </c>
      <c r="L41" s="857">
        <f>'BCWP by JOB'!I37</f>
        <v>0</v>
      </c>
      <c r="M41" s="857">
        <f>SUM('ACWP by JOB'!J37)</f>
        <v>0</v>
      </c>
      <c r="N41" s="882" t="e">
        <f>+K41/L41</f>
        <v>#DIV/0!</v>
      </c>
      <c r="O41" s="882" t="e">
        <f t="shared" si="19"/>
        <v>#DIV/0!</v>
      </c>
      <c r="P41" s="860">
        <f t="shared" si="20"/>
        <v>0</v>
      </c>
      <c r="Q41" s="883">
        <f t="shared" si="21"/>
        <v>0</v>
      </c>
      <c r="R41" s="605">
        <v>337</v>
      </c>
      <c r="S41" s="383">
        <f t="shared" si="8"/>
        <v>0</v>
      </c>
      <c r="T41" s="384">
        <f t="shared" si="22"/>
        <v>0</v>
      </c>
      <c r="U41" s="383">
        <f t="shared" si="23"/>
        <v>0</v>
      </c>
      <c r="V41" s="605">
        <f>IF(D41=0,R41,(IF(E41=0,R41,R41/G41)))</f>
        <v>337</v>
      </c>
      <c r="W41" s="2" t="s">
        <v>725</v>
      </c>
      <c r="X41" s="940">
        <f t="shared" si="24"/>
        <v>0</v>
      </c>
      <c r="Y41" s="382">
        <f t="shared" si="25"/>
        <v>337</v>
      </c>
    </row>
    <row r="42" spans="1:25" s="1" customFormat="1" ht="12.75">
      <c r="A42" s="671"/>
      <c r="B42" s="459" t="s">
        <v>351</v>
      </c>
      <c r="C42" s="910">
        <f>'BCWS by JOB'!E38</f>
        <v>0</v>
      </c>
      <c r="D42" s="911">
        <f>'BCWP by JOB'!C38</f>
        <v>0</v>
      </c>
      <c r="E42" s="925">
        <f>'ACWP by JOB'!C38</f>
        <v>9.652</v>
      </c>
      <c r="F42" s="912" t="e">
        <f t="shared" si="15"/>
        <v>#DIV/0!</v>
      </c>
      <c r="G42" s="926">
        <f t="shared" si="16"/>
        <v>0</v>
      </c>
      <c r="H42" s="913">
        <f t="shared" si="17"/>
        <v>0</v>
      </c>
      <c r="I42" s="927">
        <f t="shared" si="18"/>
        <v>-9.652</v>
      </c>
      <c r="J42" s="311"/>
      <c r="K42" s="856">
        <f>'BCWS by JOB'!K38</f>
        <v>0</v>
      </c>
      <c r="L42" s="857">
        <f>'BCWP by JOB'!I38</f>
        <v>0</v>
      </c>
      <c r="M42" s="857">
        <f>SUM('ACWP by JOB'!J38)</f>
        <v>9.652</v>
      </c>
      <c r="N42" s="882" t="e">
        <f>+K42/L42</f>
        <v>#DIV/0!</v>
      </c>
      <c r="O42" s="882">
        <f t="shared" si="19"/>
        <v>0</v>
      </c>
      <c r="P42" s="860">
        <f t="shared" si="20"/>
        <v>0</v>
      </c>
      <c r="Q42" s="883">
        <f t="shared" si="21"/>
        <v>-9.652</v>
      </c>
      <c r="R42" s="1106">
        <v>162</v>
      </c>
      <c r="S42" s="383">
        <f t="shared" si="8"/>
        <v>0</v>
      </c>
      <c r="T42" s="384">
        <f t="shared" si="22"/>
        <v>0</v>
      </c>
      <c r="U42" s="383">
        <f t="shared" si="23"/>
        <v>0.05958024691358024</v>
      </c>
      <c r="V42" s="605">
        <f>IF(D42=0,R42,(IF(E42=0,R42,R42/G42)))</f>
        <v>162</v>
      </c>
      <c r="W42" s="2" t="s">
        <v>725</v>
      </c>
      <c r="X42" s="940">
        <f t="shared" si="24"/>
        <v>0</v>
      </c>
      <c r="Y42" s="382">
        <f t="shared" si="25"/>
        <v>162</v>
      </c>
    </row>
    <row r="43" spans="1:25" s="1" customFormat="1" ht="12.75">
      <c r="A43" s="671"/>
      <c r="B43" s="459" t="s">
        <v>352</v>
      </c>
      <c r="C43" s="910">
        <f>'BCWS by JOB'!E39</f>
        <v>0</v>
      </c>
      <c r="D43" s="911">
        <f>'BCWP by JOB'!C39</f>
        <v>0</v>
      </c>
      <c r="E43" s="925">
        <f>'ACWP by JOB'!C39</f>
        <v>0</v>
      </c>
      <c r="F43" s="912" t="e">
        <f t="shared" si="15"/>
        <v>#DIV/0!</v>
      </c>
      <c r="G43" s="926" t="e">
        <f t="shared" si="16"/>
        <v>#DIV/0!</v>
      </c>
      <c r="H43" s="913">
        <f t="shared" si="17"/>
        <v>0</v>
      </c>
      <c r="I43" s="927">
        <f t="shared" si="18"/>
        <v>0</v>
      </c>
      <c r="J43" s="311"/>
      <c r="K43" s="856">
        <f>'BCWS by JOB'!K39</f>
        <v>0</v>
      </c>
      <c r="L43" s="857">
        <f>'BCWP by JOB'!I39</f>
        <v>0</v>
      </c>
      <c r="M43" s="857">
        <f>SUM('ACWP by JOB'!J39)</f>
        <v>0</v>
      </c>
      <c r="N43" s="882" t="e">
        <f>+K43/L43</f>
        <v>#DIV/0!</v>
      </c>
      <c r="O43" s="882" t="e">
        <f t="shared" si="19"/>
        <v>#DIV/0!</v>
      </c>
      <c r="P43" s="860">
        <f t="shared" si="20"/>
        <v>0</v>
      </c>
      <c r="Q43" s="883">
        <f t="shared" si="21"/>
        <v>0</v>
      </c>
      <c r="R43" s="605">
        <v>73</v>
      </c>
      <c r="S43" s="383">
        <f t="shared" si="8"/>
        <v>0</v>
      </c>
      <c r="T43" s="384">
        <f t="shared" si="22"/>
        <v>0</v>
      </c>
      <c r="U43" s="383">
        <f t="shared" si="23"/>
        <v>0</v>
      </c>
      <c r="V43" s="605">
        <f>IF(D43=0,R43,(IF(E43=0,R43,R43/G43)))</f>
        <v>73</v>
      </c>
      <c r="W43" s="2" t="s">
        <v>725</v>
      </c>
      <c r="X43" s="940">
        <f t="shared" si="24"/>
        <v>0</v>
      </c>
      <c r="Y43" s="382">
        <f t="shared" si="25"/>
        <v>73</v>
      </c>
    </row>
    <row r="44" spans="1:25" s="1" customFormat="1" ht="12.75">
      <c r="A44" s="671"/>
      <c r="B44" s="459" t="s">
        <v>347</v>
      </c>
      <c r="C44" s="910">
        <f>'BCWS by JOB'!E40</f>
        <v>289</v>
      </c>
      <c r="D44" s="911">
        <f>'BCWP by JOB'!C40</f>
        <v>331.282</v>
      </c>
      <c r="E44" s="925">
        <f>'ACWP by JOB'!C40</f>
        <v>340.5435264827977</v>
      </c>
      <c r="F44" s="912">
        <f t="shared" si="15"/>
        <v>1.1463044982698962</v>
      </c>
      <c r="G44" s="926">
        <f t="shared" si="16"/>
        <v>0.9728036924429232</v>
      </c>
      <c r="H44" s="913">
        <f t="shared" si="17"/>
        <v>42.28199999999998</v>
      </c>
      <c r="I44" s="927">
        <f t="shared" si="18"/>
        <v>-9.261526482797706</v>
      </c>
      <c r="J44" s="311"/>
      <c r="K44" s="856">
        <f>'BCWS by JOB'!K40</f>
        <v>61</v>
      </c>
      <c r="L44" s="857">
        <f>'BCWP by JOB'!I40</f>
        <v>63.632000000000005</v>
      </c>
      <c r="M44" s="857">
        <f>SUM('ACWP by JOB'!J40)</f>
        <v>69.22</v>
      </c>
      <c r="N44" s="858">
        <f>+L44/K44</f>
        <v>1.0431475409836066</v>
      </c>
      <c r="O44" s="882">
        <f t="shared" si="19"/>
        <v>0.9192718867379371</v>
      </c>
      <c r="P44" s="860">
        <f t="shared" si="20"/>
        <v>2.632000000000005</v>
      </c>
      <c r="Q44" s="883">
        <f t="shared" si="21"/>
        <v>-5.587999999999994</v>
      </c>
      <c r="R44" s="605">
        <v>1003</v>
      </c>
      <c r="S44" s="383">
        <f t="shared" si="8"/>
        <v>0.288135593220339</v>
      </c>
      <c r="T44" s="384">
        <f t="shared" si="22"/>
        <v>0.33029112662013954</v>
      </c>
      <c r="U44" s="383">
        <f t="shared" si="23"/>
        <v>0.33952495162791396</v>
      </c>
      <c r="V44" s="605">
        <f aca="true" t="shared" si="26" ref="V44:V50">+R44</f>
        <v>1003</v>
      </c>
      <c r="W44" s="2" t="s">
        <v>726</v>
      </c>
      <c r="X44" s="940">
        <f t="shared" si="24"/>
        <v>0</v>
      </c>
      <c r="Y44" s="382">
        <f t="shared" si="25"/>
        <v>1003</v>
      </c>
    </row>
    <row r="45" spans="1:25" s="1" customFormat="1" ht="12.75">
      <c r="A45" s="671"/>
      <c r="B45" s="459" t="s">
        <v>353</v>
      </c>
      <c r="C45" s="910">
        <f>'BCWS by JOB'!E41</f>
        <v>-36</v>
      </c>
      <c r="D45" s="911">
        <f>'BCWP by JOB'!C41</f>
        <v>-35.94</v>
      </c>
      <c r="E45" s="925">
        <f>'ACWP by JOB'!C41</f>
        <v>-34.947379999999995</v>
      </c>
      <c r="F45" s="912">
        <f t="shared" si="15"/>
        <v>0.9983333333333333</v>
      </c>
      <c r="G45" s="926">
        <f t="shared" si="16"/>
        <v>1.028403273721807</v>
      </c>
      <c r="H45" s="913">
        <f t="shared" si="17"/>
        <v>0.060000000000002274</v>
      </c>
      <c r="I45" s="927">
        <f t="shared" si="18"/>
        <v>-0.9926200000000023</v>
      </c>
      <c r="J45" s="311"/>
      <c r="K45" s="856">
        <f>'BCWS by JOB'!K41</f>
        <v>0</v>
      </c>
      <c r="L45" s="857">
        <f>'BCWP by JOB'!I41</f>
        <v>0</v>
      </c>
      <c r="M45" s="857">
        <f>SUM('ACWP by JOB'!J41)</f>
        <v>0</v>
      </c>
      <c r="N45" s="882" t="e">
        <f>+K45/L45</f>
        <v>#DIV/0!</v>
      </c>
      <c r="O45" s="882" t="e">
        <f t="shared" si="19"/>
        <v>#DIV/0!</v>
      </c>
      <c r="P45" s="860">
        <f t="shared" si="20"/>
        <v>0</v>
      </c>
      <c r="Q45" s="883">
        <f t="shared" si="21"/>
        <v>0</v>
      </c>
      <c r="R45" s="605">
        <v>-36</v>
      </c>
      <c r="S45" s="383">
        <f t="shared" si="8"/>
        <v>1</v>
      </c>
      <c r="T45" s="384">
        <f t="shared" si="22"/>
        <v>0.9983333333333333</v>
      </c>
      <c r="U45" s="383">
        <f t="shared" si="23"/>
        <v>0.9707605555555554</v>
      </c>
      <c r="V45" s="605">
        <f t="shared" si="26"/>
        <v>-36</v>
      </c>
      <c r="W45" s="2" t="s">
        <v>726</v>
      </c>
      <c r="X45" s="940">
        <f t="shared" si="24"/>
        <v>0</v>
      </c>
      <c r="Y45" s="382">
        <f t="shared" si="25"/>
        <v>-36</v>
      </c>
    </row>
    <row r="46" spans="1:25" s="22" customFormat="1" ht="12.75">
      <c r="A46" s="671"/>
      <c r="B46" s="459" t="s">
        <v>355</v>
      </c>
      <c r="C46" s="910">
        <f>'BCWS by JOB'!E42</f>
        <v>-84</v>
      </c>
      <c r="D46" s="911">
        <f>'BCWP by JOB'!C42</f>
        <v>-80.39</v>
      </c>
      <c r="E46" s="925">
        <f>'ACWP by JOB'!C42</f>
        <v>-65.11263713691103</v>
      </c>
      <c r="F46" s="912">
        <f t="shared" si="15"/>
        <v>0.9570238095238095</v>
      </c>
      <c r="G46" s="926">
        <f t="shared" si="16"/>
        <v>1.234629766737378</v>
      </c>
      <c r="H46" s="913">
        <f t="shared" si="17"/>
        <v>3.6099999999999994</v>
      </c>
      <c r="I46" s="927">
        <f t="shared" si="18"/>
        <v>-15.277362863088968</v>
      </c>
      <c r="J46" s="311"/>
      <c r="K46" s="856">
        <f>'BCWS by JOB'!K42</f>
        <v>0</v>
      </c>
      <c r="L46" s="857">
        <f>'BCWP by JOB'!I42</f>
        <v>0</v>
      </c>
      <c r="M46" s="857">
        <f>SUM('ACWP by JOB'!J42)</f>
        <v>0</v>
      </c>
      <c r="N46" s="882" t="e">
        <f>+K46/L46</f>
        <v>#DIV/0!</v>
      </c>
      <c r="O46" s="882" t="e">
        <f t="shared" si="19"/>
        <v>#DIV/0!</v>
      </c>
      <c r="P46" s="860">
        <f t="shared" si="20"/>
        <v>0</v>
      </c>
      <c r="Q46" s="883">
        <f t="shared" si="21"/>
        <v>0</v>
      </c>
      <c r="R46" s="605">
        <v>-80</v>
      </c>
      <c r="S46" s="383">
        <f t="shared" si="8"/>
        <v>1.05</v>
      </c>
      <c r="T46" s="384">
        <f t="shared" si="22"/>
        <v>1.004875</v>
      </c>
      <c r="U46" s="383">
        <f t="shared" si="23"/>
        <v>0.8139079642113879</v>
      </c>
      <c r="V46" s="605">
        <f t="shared" si="26"/>
        <v>-80</v>
      </c>
      <c r="W46" s="2" t="s">
        <v>726</v>
      </c>
      <c r="X46" s="940">
        <f t="shared" si="24"/>
        <v>0</v>
      </c>
      <c r="Y46" s="382">
        <f t="shared" si="25"/>
        <v>-80</v>
      </c>
    </row>
    <row r="47" spans="1:25" s="1" customFormat="1" ht="12.75">
      <c r="A47" s="671"/>
      <c r="B47" s="1155" t="s">
        <v>354</v>
      </c>
      <c r="C47" s="910">
        <f>'BCWS by JOB'!E43</f>
        <v>186</v>
      </c>
      <c r="D47" s="911">
        <f>'BCWP by JOB'!C43</f>
        <v>103.832</v>
      </c>
      <c r="E47" s="925">
        <f>'ACWP by JOB'!C43</f>
        <v>87.26388</v>
      </c>
      <c r="F47" s="1158">
        <f t="shared" si="15"/>
        <v>0.5582365591397849</v>
      </c>
      <c r="G47" s="926">
        <f t="shared" si="16"/>
        <v>1.1898622889562096</v>
      </c>
      <c r="H47" s="913">
        <f t="shared" si="17"/>
        <v>-82.168</v>
      </c>
      <c r="I47" s="927">
        <f t="shared" si="18"/>
        <v>16.568119999999993</v>
      </c>
      <c r="J47" s="311"/>
      <c r="K47" s="856">
        <f>'BCWS by JOB'!K43</f>
        <v>116</v>
      </c>
      <c r="L47" s="857">
        <f>'BCWP by JOB'!I43</f>
        <v>0.6319999999999908</v>
      </c>
      <c r="M47" s="857">
        <f>SUM('ACWP by JOB'!J43)</f>
        <v>19.257</v>
      </c>
      <c r="N47" s="858">
        <f>+L47/K47</f>
        <v>0.005448275862068886</v>
      </c>
      <c r="O47" s="882">
        <f t="shared" si="19"/>
        <v>0.032819234564054146</v>
      </c>
      <c r="P47" s="860">
        <f t="shared" si="20"/>
        <v>-115.36800000000001</v>
      </c>
      <c r="Q47" s="883">
        <f t="shared" si="21"/>
        <v>-18.62500000000001</v>
      </c>
      <c r="R47" s="605">
        <v>280</v>
      </c>
      <c r="S47" s="383">
        <f t="shared" si="8"/>
        <v>0.6642857142857143</v>
      </c>
      <c r="T47" s="384">
        <f t="shared" si="22"/>
        <v>0.3708285714285714</v>
      </c>
      <c r="U47" s="383">
        <f t="shared" si="23"/>
        <v>0.3116567142857143</v>
      </c>
      <c r="V47" s="605">
        <f t="shared" si="26"/>
        <v>280</v>
      </c>
      <c r="W47" s="2" t="s">
        <v>726</v>
      </c>
      <c r="X47" s="940">
        <f t="shared" si="24"/>
        <v>0</v>
      </c>
      <c r="Y47" s="382">
        <f t="shared" si="25"/>
        <v>280</v>
      </c>
    </row>
    <row r="48" spans="1:25" s="1" customFormat="1" ht="12.75">
      <c r="A48" s="671"/>
      <c r="B48" s="1161" t="s">
        <v>356</v>
      </c>
      <c r="C48" s="910">
        <f>'BCWS by JOB'!E44</f>
        <v>1114</v>
      </c>
      <c r="D48" s="911">
        <f>'BCWP by JOB'!C44</f>
        <v>940.494</v>
      </c>
      <c r="E48" s="925">
        <f>'ACWP by JOB'!C44</f>
        <v>769.6327076727493</v>
      </c>
      <c r="F48" s="1157">
        <f t="shared" si="15"/>
        <v>0.8442495511669659</v>
      </c>
      <c r="G48" s="926">
        <f t="shared" si="16"/>
        <v>1.2220036786688924</v>
      </c>
      <c r="H48" s="928">
        <f t="shared" si="17"/>
        <v>-173.50599999999997</v>
      </c>
      <c r="I48" s="927">
        <f t="shared" si="18"/>
        <v>170.86129232725068</v>
      </c>
      <c r="J48" s="311"/>
      <c r="K48" s="856">
        <f>'BCWS by JOB'!K44</f>
        <v>118</v>
      </c>
      <c r="L48" s="857">
        <f>'BCWP by JOB'!I44</f>
        <v>199.19400000000007</v>
      </c>
      <c r="M48" s="857">
        <f>SUM('ACWP by JOB'!J44)</f>
        <v>94.85</v>
      </c>
      <c r="N48" s="858">
        <f>+L48/K48</f>
        <v>1.6880847457627124</v>
      </c>
      <c r="O48" s="859">
        <f t="shared" si="19"/>
        <v>2.100094886663153</v>
      </c>
      <c r="P48" s="860">
        <f t="shared" si="20"/>
        <v>81.19400000000007</v>
      </c>
      <c r="Q48" s="861">
        <f t="shared" si="21"/>
        <v>104.34400000000008</v>
      </c>
      <c r="R48" s="605">
        <v>1207</v>
      </c>
      <c r="S48" s="383">
        <f t="shared" si="8"/>
        <v>0.9229494614747308</v>
      </c>
      <c r="T48" s="384">
        <f t="shared" si="22"/>
        <v>0.7791996685998344</v>
      </c>
      <c r="U48" s="383">
        <f t="shared" si="23"/>
        <v>0.6376410171273814</v>
      </c>
      <c r="V48" s="605">
        <f t="shared" si="26"/>
        <v>1207</v>
      </c>
      <c r="W48" s="2" t="s">
        <v>726</v>
      </c>
      <c r="X48" s="940">
        <f t="shared" si="24"/>
        <v>0</v>
      </c>
      <c r="Y48" s="382">
        <f t="shared" si="25"/>
        <v>1207</v>
      </c>
    </row>
    <row r="49" spans="1:25" s="1" customFormat="1" ht="12.75">
      <c r="A49" s="671"/>
      <c r="B49" s="1155" t="s">
        <v>357</v>
      </c>
      <c r="C49" s="910">
        <f>'BCWS by JOB'!E45</f>
        <v>118</v>
      </c>
      <c r="D49" s="911">
        <f>'BCWP by JOB'!C45</f>
        <v>78.065</v>
      </c>
      <c r="E49" s="925">
        <f>'ACWP by JOB'!C45</f>
        <v>86.2332157124458</v>
      </c>
      <c r="F49" s="1158">
        <f t="shared" si="15"/>
        <v>0.6615677966101695</v>
      </c>
      <c r="G49" s="926">
        <f t="shared" si="16"/>
        <v>0.9052776166937387</v>
      </c>
      <c r="H49" s="913">
        <f t="shared" si="17"/>
        <v>-39.935</v>
      </c>
      <c r="I49" s="927">
        <f t="shared" si="18"/>
        <v>-8.1682157124458</v>
      </c>
      <c r="J49" s="311"/>
      <c r="K49" s="856">
        <f>'BCWS by JOB'!K45</f>
        <v>0</v>
      </c>
      <c r="L49" s="857">
        <f>'BCWP by JOB'!I45</f>
        <v>4.064999999999998</v>
      </c>
      <c r="M49" s="857">
        <f>SUM('ACWP by JOB'!J45)</f>
        <v>0.441</v>
      </c>
      <c r="N49" s="882">
        <f>+K49/L49</f>
        <v>0</v>
      </c>
      <c r="O49" s="882">
        <f t="shared" si="19"/>
        <v>9.217687074829927</v>
      </c>
      <c r="P49" s="860">
        <f t="shared" si="20"/>
        <v>4.064999999999998</v>
      </c>
      <c r="Q49" s="883">
        <f t="shared" si="21"/>
        <v>3.623999999999998</v>
      </c>
      <c r="R49" s="605">
        <v>118</v>
      </c>
      <c r="S49" s="383">
        <f t="shared" si="8"/>
        <v>1</v>
      </c>
      <c r="T49" s="384">
        <f t="shared" si="22"/>
        <v>0.6615677966101695</v>
      </c>
      <c r="U49" s="383">
        <f t="shared" si="23"/>
        <v>0.7307899636647949</v>
      </c>
      <c r="V49" s="605">
        <f t="shared" si="26"/>
        <v>118</v>
      </c>
      <c r="W49" s="2" t="s">
        <v>726</v>
      </c>
      <c r="X49" s="940">
        <f t="shared" si="24"/>
        <v>0</v>
      </c>
      <c r="Y49" s="382">
        <f t="shared" si="25"/>
        <v>118</v>
      </c>
    </row>
    <row r="50" spans="1:25" s="1" customFormat="1" ht="12.75">
      <c r="A50" s="671"/>
      <c r="B50" s="1161" t="s">
        <v>363</v>
      </c>
      <c r="C50" s="910">
        <f>'BCWS by JOB'!E46</f>
        <v>186</v>
      </c>
      <c r="D50" s="911">
        <f>'BCWP by JOB'!C46</f>
        <v>145.001</v>
      </c>
      <c r="E50" s="925">
        <f>'ACWP by JOB'!C46</f>
        <v>160.00010540588653</v>
      </c>
      <c r="F50" s="1158">
        <f t="shared" si="15"/>
        <v>0.7795752688172043</v>
      </c>
      <c r="G50" s="929">
        <f t="shared" si="16"/>
        <v>0.9062556529707467</v>
      </c>
      <c r="H50" s="913">
        <f t="shared" si="17"/>
        <v>-40.998999999999995</v>
      </c>
      <c r="I50" s="930">
        <f t="shared" si="18"/>
        <v>-14.999105405886525</v>
      </c>
      <c r="J50" s="312"/>
      <c r="K50" s="856">
        <f>'BCWS by JOB'!K46</f>
        <v>22</v>
      </c>
      <c r="L50" s="857">
        <f>'BCWP by JOB'!I46</f>
        <v>8.301000000000016</v>
      </c>
      <c r="M50" s="857">
        <f>SUM('ACWP by JOB'!J46)</f>
        <v>-16.914</v>
      </c>
      <c r="N50" s="858">
        <f>+L50/K50</f>
        <v>0.37731818181818255</v>
      </c>
      <c r="O50" s="859">
        <f t="shared" si="19"/>
        <v>-0.4907768712309339</v>
      </c>
      <c r="P50" s="860">
        <f t="shared" si="20"/>
        <v>-13.698999999999984</v>
      </c>
      <c r="Q50" s="861">
        <f t="shared" si="21"/>
        <v>25.215000000000018</v>
      </c>
      <c r="R50" s="605">
        <v>186</v>
      </c>
      <c r="S50" s="383">
        <f t="shared" si="8"/>
        <v>1</v>
      </c>
      <c r="T50" s="384">
        <f t="shared" si="22"/>
        <v>0.7795752688172043</v>
      </c>
      <c r="U50" s="383">
        <f t="shared" si="23"/>
        <v>0.8602156204617555</v>
      </c>
      <c r="V50" s="605">
        <f t="shared" si="26"/>
        <v>186</v>
      </c>
      <c r="W50" s="2" t="s">
        <v>726</v>
      </c>
      <c r="X50" s="940">
        <f t="shared" si="24"/>
        <v>0</v>
      </c>
      <c r="Y50" s="382">
        <f t="shared" si="25"/>
        <v>186</v>
      </c>
    </row>
    <row r="51" spans="1:25" s="1" customFormat="1" ht="12.75">
      <c r="A51" s="671"/>
      <c r="B51" s="459" t="s">
        <v>364</v>
      </c>
      <c r="C51" s="910">
        <f>'BCWS by JOB'!E47</f>
        <v>0</v>
      </c>
      <c r="D51" s="911">
        <f>'BCWP by JOB'!C47</f>
        <v>0</v>
      </c>
      <c r="E51" s="925">
        <f>'ACWP by JOB'!C47</f>
        <v>0</v>
      </c>
      <c r="F51" s="912" t="e">
        <f t="shared" si="15"/>
        <v>#DIV/0!</v>
      </c>
      <c r="G51" s="926" t="e">
        <f t="shared" si="16"/>
        <v>#DIV/0!</v>
      </c>
      <c r="H51" s="913">
        <f t="shared" si="17"/>
        <v>0</v>
      </c>
      <c r="I51" s="927">
        <f t="shared" si="18"/>
        <v>0</v>
      </c>
      <c r="J51" s="311"/>
      <c r="K51" s="856">
        <f>'BCWS by JOB'!K47</f>
        <v>0</v>
      </c>
      <c r="L51" s="857">
        <f>'BCWP by JOB'!I47</f>
        <v>0</v>
      </c>
      <c r="M51" s="857">
        <f>SUM('ACWP by JOB'!J47)</f>
        <v>0</v>
      </c>
      <c r="N51" s="882" t="e">
        <f>+K51/L51</f>
        <v>#DIV/0!</v>
      </c>
      <c r="O51" s="882" t="e">
        <f t="shared" si="19"/>
        <v>#DIV/0!</v>
      </c>
      <c r="P51" s="860">
        <f t="shared" si="20"/>
        <v>0</v>
      </c>
      <c r="Q51" s="883">
        <f t="shared" si="21"/>
        <v>0</v>
      </c>
      <c r="R51" s="605">
        <v>1076</v>
      </c>
      <c r="S51" s="383">
        <f t="shared" si="8"/>
        <v>0</v>
      </c>
      <c r="T51" s="384">
        <f t="shared" si="22"/>
        <v>0</v>
      </c>
      <c r="U51" s="383">
        <f t="shared" si="23"/>
        <v>0</v>
      </c>
      <c r="V51" s="605">
        <f>IF(D51=0,R51,(IF(E51=0,R51,R51/G51)))</f>
        <v>1076</v>
      </c>
      <c r="W51" s="2" t="s">
        <v>725</v>
      </c>
      <c r="X51" s="940">
        <f t="shared" si="24"/>
        <v>0</v>
      </c>
      <c r="Y51" s="382">
        <f t="shared" si="25"/>
        <v>1076</v>
      </c>
    </row>
    <row r="52" spans="1:25" s="1" customFormat="1" ht="12.75">
      <c r="A52" s="671"/>
      <c r="B52" s="459" t="s">
        <v>365</v>
      </c>
      <c r="C52" s="910">
        <f>'BCWS by JOB'!E48</f>
        <v>6</v>
      </c>
      <c r="D52" s="911">
        <f>'BCWP by JOB'!C48</f>
        <v>14.597999999999999</v>
      </c>
      <c r="E52" s="925">
        <f>'ACWP by JOB'!C48</f>
        <v>0</v>
      </c>
      <c r="F52" s="912">
        <f t="shared" si="15"/>
        <v>2.433</v>
      </c>
      <c r="G52" s="926" t="e">
        <f t="shared" si="16"/>
        <v>#DIV/0!</v>
      </c>
      <c r="H52" s="913">
        <f t="shared" si="17"/>
        <v>8.597999999999999</v>
      </c>
      <c r="I52" s="927">
        <f t="shared" si="18"/>
        <v>14.597999999999999</v>
      </c>
      <c r="J52" s="311"/>
      <c r="K52" s="856">
        <f>'BCWS by JOB'!K48</f>
        <v>0</v>
      </c>
      <c r="L52" s="857">
        <f>'BCWP by JOB'!I48</f>
        <v>-0.0019999999999988916</v>
      </c>
      <c r="M52" s="857">
        <f>SUM('ACWP by JOB'!J48)</f>
        <v>0</v>
      </c>
      <c r="N52" s="882">
        <f>+K52/L52</f>
        <v>0</v>
      </c>
      <c r="O52" s="882" t="e">
        <f t="shared" si="19"/>
        <v>#DIV/0!</v>
      </c>
      <c r="P52" s="860">
        <f t="shared" si="20"/>
        <v>-0.0019999999999988916</v>
      </c>
      <c r="Q52" s="883">
        <f t="shared" si="21"/>
        <v>-0.0019999999999988916</v>
      </c>
      <c r="R52" s="605">
        <v>861</v>
      </c>
      <c r="S52" s="383">
        <f t="shared" si="8"/>
        <v>0.006968641114982578</v>
      </c>
      <c r="T52" s="384">
        <f t="shared" si="22"/>
        <v>0.01695470383275261</v>
      </c>
      <c r="U52" s="383">
        <f t="shared" si="23"/>
        <v>0</v>
      </c>
      <c r="V52" s="605">
        <f>IF(D52=0,R52,(IF(E52=0,R52,R52/G52)))</f>
        <v>861</v>
      </c>
      <c r="W52" s="2" t="s">
        <v>725</v>
      </c>
      <c r="X52" s="940">
        <f t="shared" si="24"/>
        <v>0</v>
      </c>
      <c r="Y52" s="382">
        <f t="shared" si="25"/>
        <v>861</v>
      </c>
    </row>
    <row r="53" spans="1:25" s="1" customFormat="1" ht="12.75">
      <c r="A53" s="671"/>
      <c r="B53" s="459" t="s">
        <v>360</v>
      </c>
      <c r="C53" s="910">
        <f>'BCWS by JOB'!E49</f>
        <v>0</v>
      </c>
      <c r="D53" s="911">
        <f>'BCWP by JOB'!C49</f>
        <v>0</v>
      </c>
      <c r="E53" s="925">
        <f>'ACWP by JOB'!C49</f>
        <v>5.233221401457453</v>
      </c>
      <c r="F53" s="912" t="e">
        <f t="shared" si="15"/>
        <v>#DIV/0!</v>
      </c>
      <c r="G53" s="926">
        <f t="shared" si="16"/>
        <v>0</v>
      </c>
      <c r="H53" s="913">
        <f t="shared" si="17"/>
        <v>0</v>
      </c>
      <c r="I53" s="927">
        <f t="shared" si="18"/>
        <v>-5.233221401457453</v>
      </c>
      <c r="J53" s="311"/>
      <c r="K53" s="856">
        <f>'BCWS by JOB'!K49</f>
        <v>0</v>
      </c>
      <c r="L53" s="857">
        <f>'BCWP by JOB'!I49</f>
        <v>0</v>
      </c>
      <c r="M53" s="857">
        <f>SUM('ACWP by JOB'!J49)</f>
        <v>0</v>
      </c>
      <c r="N53" s="882" t="e">
        <f>+K53/L53</f>
        <v>#DIV/0!</v>
      </c>
      <c r="O53" s="882" t="e">
        <f t="shared" si="19"/>
        <v>#DIV/0!</v>
      </c>
      <c r="P53" s="860">
        <f t="shared" si="20"/>
        <v>0</v>
      </c>
      <c r="Q53" s="883">
        <f t="shared" si="21"/>
        <v>0</v>
      </c>
      <c r="R53" s="605">
        <v>207</v>
      </c>
      <c r="S53" s="383">
        <f t="shared" si="8"/>
        <v>0</v>
      </c>
      <c r="T53" s="384">
        <f t="shared" si="22"/>
        <v>0</v>
      </c>
      <c r="U53" s="383">
        <f t="shared" si="23"/>
        <v>0.025281262808973203</v>
      </c>
      <c r="V53" s="605">
        <f>+R53</f>
        <v>207</v>
      </c>
      <c r="W53" s="2" t="s">
        <v>726</v>
      </c>
      <c r="X53" s="940">
        <f t="shared" si="24"/>
        <v>0</v>
      </c>
      <c r="Y53" s="382">
        <f t="shared" si="25"/>
        <v>207</v>
      </c>
    </row>
    <row r="54" spans="1:25" s="1" customFormat="1" ht="12.75">
      <c r="A54" s="671"/>
      <c r="B54" s="1155" t="s">
        <v>358</v>
      </c>
      <c r="C54" s="910">
        <f>'BCWS by JOB'!E50</f>
        <v>43</v>
      </c>
      <c r="D54" s="911">
        <f>'BCWP by JOB'!C50</f>
        <v>11.09</v>
      </c>
      <c r="E54" s="925">
        <f>'ACWP by JOB'!C50</f>
        <v>32.6</v>
      </c>
      <c r="F54" s="1158">
        <f t="shared" si="15"/>
        <v>0.25790697674418606</v>
      </c>
      <c r="G54" s="1162">
        <f t="shared" si="16"/>
        <v>0.3401840490797546</v>
      </c>
      <c r="H54" s="913">
        <f t="shared" si="17"/>
        <v>-31.91</v>
      </c>
      <c r="I54" s="927">
        <f t="shared" si="18"/>
        <v>-21.51</v>
      </c>
      <c r="J54" s="311"/>
      <c r="K54" s="856">
        <f>'BCWS by JOB'!K50</f>
        <v>43</v>
      </c>
      <c r="L54" s="857">
        <f>'BCWP by JOB'!I50</f>
        <v>0.2599999999999998</v>
      </c>
      <c r="M54" s="857">
        <f>SUM('ACWP by JOB'!J50)</f>
        <v>32.6</v>
      </c>
      <c r="N54" s="858">
        <f>+L54/K54</f>
        <v>0.006046511627906972</v>
      </c>
      <c r="O54" s="882">
        <f t="shared" si="19"/>
        <v>0.00797546012269938</v>
      </c>
      <c r="P54" s="860">
        <f t="shared" si="20"/>
        <v>-42.74</v>
      </c>
      <c r="Q54" s="883">
        <f t="shared" si="21"/>
        <v>-32.34</v>
      </c>
      <c r="R54" s="605">
        <v>163</v>
      </c>
      <c r="S54" s="383">
        <f t="shared" si="8"/>
        <v>0.26380368098159507</v>
      </c>
      <c r="T54" s="384">
        <f t="shared" si="22"/>
        <v>0.06803680981595092</v>
      </c>
      <c r="U54" s="383">
        <f t="shared" si="23"/>
        <v>0.2</v>
      </c>
      <c r="V54" s="605">
        <f>+R54</f>
        <v>163</v>
      </c>
      <c r="W54" s="2" t="s">
        <v>726</v>
      </c>
      <c r="X54" s="940">
        <f t="shared" si="24"/>
        <v>0</v>
      </c>
      <c r="Y54" s="382">
        <f t="shared" si="25"/>
        <v>163</v>
      </c>
    </row>
    <row r="55" spans="1:25" s="1" customFormat="1" ht="12.75">
      <c r="A55" s="671"/>
      <c r="B55" s="459" t="s">
        <v>361</v>
      </c>
      <c r="C55" s="910">
        <f>'BCWS by JOB'!E51</f>
        <v>0</v>
      </c>
      <c r="D55" s="911">
        <f>'BCWP by JOB'!C51</f>
        <v>0</v>
      </c>
      <c r="E55" s="925">
        <f>'ACWP by JOB'!C51</f>
        <v>0</v>
      </c>
      <c r="F55" s="912" t="e">
        <f t="shared" si="15"/>
        <v>#DIV/0!</v>
      </c>
      <c r="G55" s="926" t="e">
        <f t="shared" si="16"/>
        <v>#DIV/0!</v>
      </c>
      <c r="H55" s="913">
        <f t="shared" si="17"/>
        <v>0</v>
      </c>
      <c r="I55" s="927">
        <f t="shared" si="18"/>
        <v>0</v>
      </c>
      <c r="J55" s="311"/>
      <c r="K55" s="856">
        <f>'BCWS by JOB'!K51</f>
        <v>0</v>
      </c>
      <c r="L55" s="857">
        <f>'BCWP by JOB'!I51</f>
        <v>0</v>
      </c>
      <c r="M55" s="857">
        <f>SUM('ACWP by JOB'!J51)</f>
        <v>0</v>
      </c>
      <c r="N55" s="882" t="e">
        <f>+K55/L55</f>
        <v>#DIV/0!</v>
      </c>
      <c r="O55" s="882" t="e">
        <f t="shared" si="19"/>
        <v>#DIV/0!</v>
      </c>
      <c r="P55" s="860">
        <f t="shared" si="20"/>
        <v>0</v>
      </c>
      <c r="Q55" s="883">
        <f t="shared" si="21"/>
        <v>0</v>
      </c>
      <c r="R55" s="605">
        <v>325</v>
      </c>
      <c r="S55" s="383">
        <f t="shared" si="8"/>
        <v>0</v>
      </c>
      <c r="T55" s="384">
        <f t="shared" si="22"/>
        <v>0</v>
      </c>
      <c r="U55" s="383">
        <f t="shared" si="23"/>
        <v>0</v>
      </c>
      <c r="V55" s="605">
        <f>IF(D55=0,R55,(IF(E55=0,R55,R55/G55)))</f>
        <v>325</v>
      </c>
      <c r="W55" s="2" t="s">
        <v>725</v>
      </c>
      <c r="X55" s="940">
        <f t="shared" si="24"/>
        <v>0</v>
      </c>
      <c r="Y55" s="382">
        <f t="shared" si="25"/>
        <v>325</v>
      </c>
    </row>
    <row r="56" spans="1:25" s="1" customFormat="1" ht="12.75">
      <c r="A56" s="671"/>
      <c r="B56" s="459" t="s">
        <v>359</v>
      </c>
      <c r="C56" s="910">
        <f>'BCWS by JOB'!E52</f>
        <v>0</v>
      </c>
      <c r="D56" s="911">
        <f>'BCWP by JOB'!C52</f>
        <v>0</v>
      </c>
      <c r="E56" s="925">
        <f>'ACWP by JOB'!C52</f>
        <v>0</v>
      </c>
      <c r="F56" s="912" t="e">
        <f t="shared" si="15"/>
        <v>#DIV/0!</v>
      </c>
      <c r="G56" s="926" t="e">
        <f t="shared" si="16"/>
        <v>#DIV/0!</v>
      </c>
      <c r="H56" s="913">
        <f t="shared" si="17"/>
        <v>0</v>
      </c>
      <c r="I56" s="927">
        <f t="shared" si="18"/>
        <v>0</v>
      </c>
      <c r="J56" s="311"/>
      <c r="K56" s="856">
        <f>'BCWS by JOB'!K52</f>
        <v>0</v>
      </c>
      <c r="L56" s="857">
        <f>'BCWP by JOB'!I52</f>
        <v>0</v>
      </c>
      <c r="M56" s="857">
        <f>SUM('ACWP by JOB'!J52)</f>
        <v>0</v>
      </c>
      <c r="N56" s="882" t="e">
        <f>+K56/L56</f>
        <v>#DIV/0!</v>
      </c>
      <c r="O56" s="882" t="e">
        <f t="shared" si="19"/>
        <v>#DIV/0!</v>
      </c>
      <c r="P56" s="860">
        <f t="shared" si="20"/>
        <v>0</v>
      </c>
      <c r="Q56" s="883">
        <f t="shared" si="21"/>
        <v>0</v>
      </c>
      <c r="R56" s="605">
        <v>89</v>
      </c>
      <c r="S56" s="383">
        <f t="shared" si="8"/>
        <v>0</v>
      </c>
      <c r="T56" s="384">
        <f t="shared" si="22"/>
        <v>0</v>
      </c>
      <c r="U56" s="383">
        <f t="shared" si="23"/>
        <v>0</v>
      </c>
      <c r="V56" s="605">
        <f>IF(D56=0,R56,(IF(E56=0,R56,R56/G56)))</f>
        <v>89</v>
      </c>
      <c r="W56" s="2" t="s">
        <v>725</v>
      </c>
      <c r="X56" s="940">
        <f t="shared" si="24"/>
        <v>0</v>
      </c>
      <c r="Y56" s="382">
        <f t="shared" si="25"/>
        <v>89</v>
      </c>
    </row>
    <row r="57" spans="1:25" s="1" customFormat="1" ht="12.75">
      <c r="A57" s="671"/>
      <c r="B57" s="1161" t="s">
        <v>362</v>
      </c>
      <c r="C57" s="910">
        <f>'BCWS by JOB'!E53</f>
        <v>120</v>
      </c>
      <c r="D57" s="911">
        <f>'BCWP by JOB'!C53</f>
        <v>39.838</v>
      </c>
      <c r="E57" s="925">
        <f>'ACWP by JOB'!C53</f>
        <v>2.0069999999999997</v>
      </c>
      <c r="F57" s="1157">
        <f t="shared" si="15"/>
        <v>0.33198333333333335</v>
      </c>
      <c r="G57" s="926">
        <f t="shared" si="16"/>
        <v>19.84952665670155</v>
      </c>
      <c r="H57" s="928">
        <f t="shared" si="17"/>
        <v>-80.162</v>
      </c>
      <c r="I57" s="927">
        <f t="shared" si="18"/>
        <v>37.831</v>
      </c>
      <c r="J57" s="311"/>
      <c r="K57" s="856">
        <f>'BCWS by JOB'!K53</f>
        <v>28</v>
      </c>
      <c r="L57" s="857">
        <f>'BCWP by JOB'!I53</f>
        <v>3.6880000000000024</v>
      </c>
      <c r="M57" s="857">
        <f>SUM('ACWP by JOB'!J53)</f>
        <v>0</v>
      </c>
      <c r="N57" s="858">
        <f>+L57/K57</f>
        <v>0.1317142857142858</v>
      </c>
      <c r="O57" s="1109">
        <f>+M57/L57</f>
        <v>0</v>
      </c>
      <c r="P57" s="860">
        <f t="shared" si="20"/>
        <v>-24.311999999999998</v>
      </c>
      <c r="Q57" s="883">
        <f t="shared" si="21"/>
        <v>3.6880000000000024</v>
      </c>
      <c r="R57" s="605">
        <v>514</v>
      </c>
      <c r="S57" s="383">
        <f t="shared" si="8"/>
        <v>0.23346303501945526</v>
      </c>
      <c r="T57" s="384">
        <f t="shared" si="22"/>
        <v>0.0775058365758755</v>
      </c>
      <c r="U57" s="383">
        <f t="shared" si="23"/>
        <v>0.0039046692607003883</v>
      </c>
      <c r="V57" s="605">
        <f>+R57</f>
        <v>514</v>
      </c>
      <c r="W57" s="2" t="s">
        <v>726</v>
      </c>
      <c r="X57" s="940">
        <f t="shared" si="24"/>
        <v>0</v>
      </c>
      <c r="Y57" s="382">
        <f t="shared" si="25"/>
        <v>514</v>
      </c>
    </row>
    <row r="58" spans="1:25" s="1" customFormat="1" ht="12.75">
      <c r="A58" s="671"/>
      <c r="B58" s="459" t="s">
        <v>366</v>
      </c>
      <c r="C58" s="910">
        <f>'BCWS by JOB'!E54</f>
        <v>200</v>
      </c>
      <c r="D58" s="911">
        <f>'BCWP by JOB'!C54</f>
        <v>199.131</v>
      </c>
      <c r="E58" s="925">
        <f>'ACWP by JOB'!C54</f>
        <v>119.964</v>
      </c>
      <c r="F58" s="912">
        <f t="shared" si="15"/>
        <v>0.995655</v>
      </c>
      <c r="G58" s="926">
        <f t="shared" si="16"/>
        <v>1.659922976893068</v>
      </c>
      <c r="H58" s="913">
        <f t="shared" si="17"/>
        <v>-0.8689999999999998</v>
      </c>
      <c r="I58" s="927">
        <f t="shared" si="18"/>
        <v>79.167</v>
      </c>
      <c r="J58" s="311"/>
      <c r="K58" s="856">
        <f>'BCWS by JOB'!K54</f>
        <v>38</v>
      </c>
      <c r="L58" s="857">
        <f>'BCWP by JOB'!I54</f>
        <v>37.571</v>
      </c>
      <c r="M58" s="857">
        <f>SUM('ACWP by JOB'!J54)</f>
        <v>10.255</v>
      </c>
      <c r="N58" s="858">
        <f>+L58/K58</f>
        <v>0.9887105263157894</v>
      </c>
      <c r="O58" s="882">
        <f t="shared" si="19"/>
        <v>3.6636762554851288</v>
      </c>
      <c r="P58" s="860">
        <f t="shared" si="20"/>
        <v>-0.42900000000000205</v>
      </c>
      <c r="Q58" s="883">
        <f t="shared" si="21"/>
        <v>27.315999999999995</v>
      </c>
      <c r="R58" s="605">
        <v>1620</v>
      </c>
      <c r="S58" s="383">
        <f t="shared" si="8"/>
        <v>0.12345679012345678</v>
      </c>
      <c r="T58" s="384">
        <f t="shared" si="22"/>
        <v>0.12292037037037037</v>
      </c>
      <c r="U58" s="383">
        <f t="shared" si="23"/>
        <v>0.07405185185185185</v>
      </c>
      <c r="V58" s="605">
        <f aca="true" t="shared" si="27" ref="V58:V64">IF(D58=0,R58,(IF(E58=0,R58,R58/G58)))</f>
        <v>975.9488979616434</v>
      </c>
      <c r="W58" s="2" t="s">
        <v>725</v>
      </c>
      <c r="X58" s="940">
        <f t="shared" si="24"/>
        <v>-644.0511020383566</v>
      </c>
      <c r="Y58" s="382">
        <f t="shared" si="25"/>
        <v>975.9488979616434</v>
      </c>
    </row>
    <row r="59" spans="1:25" s="1" customFormat="1" ht="12.75">
      <c r="A59" s="671"/>
      <c r="B59" s="459" t="s">
        <v>367</v>
      </c>
      <c r="C59" s="910">
        <f>'BCWS by JOB'!E55</f>
        <v>404</v>
      </c>
      <c r="D59" s="911">
        <f>'BCWP by JOB'!C55</f>
        <v>403.1</v>
      </c>
      <c r="E59" s="925">
        <f>'ACWP by JOB'!C55</f>
        <v>373.13109090857944</v>
      </c>
      <c r="F59" s="912">
        <f t="shared" si="15"/>
        <v>0.9977722772277229</v>
      </c>
      <c r="G59" s="926">
        <f t="shared" si="16"/>
        <v>1.0803173732278537</v>
      </c>
      <c r="H59" s="913">
        <f t="shared" si="17"/>
        <v>-0.8999999999999773</v>
      </c>
      <c r="I59" s="927">
        <f t="shared" si="18"/>
        <v>29.968909091420585</v>
      </c>
      <c r="J59" s="311"/>
      <c r="K59" s="856">
        <f>'BCWS by JOB'!K55</f>
        <v>61</v>
      </c>
      <c r="L59" s="857">
        <f>'BCWP by JOB'!I55</f>
        <v>60.64000000000004</v>
      </c>
      <c r="M59" s="857">
        <f>SUM('ACWP by JOB'!J55)</f>
        <v>54.702</v>
      </c>
      <c r="N59" s="858">
        <f>+L59/K59</f>
        <v>0.9940983606557384</v>
      </c>
      <c r="O59" s="859">
        <f t="shared" si="19"/>
        <v>1.1085517896969042</v>
      </c>
      <c r="P59" s="860">
        <f t="shared" si="20"/>
        <v>-0.3599999999999568</v>
      </c>
      <c r="Q59" s="861">
        <f t="shared" si="21"/>
        <v>5.938000000000045</v>
      </c>
      <c r="R59" s="605">
        <v>2649</v>
      </c>
      <c r="S59" s="383">
        <f t="shared" si="8"/>
        <v>0.15251038127595318</v>
      </c>
      <c r="T59" s="384">
        <f t="shared" si="22"/>
        <v>0.15217063042657608</v>
      </c>
      <c r="U59" s="383">
        <f t="shared" si="23"/>
        <v>0.14085733896133615</v>
      </c>
      <c r="V59" s="605">
        <f t="shared" si="27"/>
        <v>2452.0572061940634</v>
      </c>
      <c r="W59" s="2" t="s">
        <v>725</v>
      </c>
      <c r="X59" s="940">
        <f t="shared" si="24"/>
        <v>-196.94279380593662</v>
      </c>
      <c r="Y59" s="382">
        <f t="shared" si="25"/>
        <v>2452.0572061940634</v>
      </c>
    </row>
    <row r="60" spans="1:25" s="1" customFormat="1" ht="12.75">
      <c r="A60" s="671"/>
      <c r="B60" s="459" t="s">
        <v>368</v>
      </c>
      <c r="C60" s="910">
        <f>'BCWS by JOB'!E56</f>
        <v>196</v>
      </c>
      <c r="D60" s="911">
        <f>'BCWP by JOB'!C56</f>
        <v>194.2511</v>
      </c>
      <c r="E60" s="925">
        <f>'ACWP by JOB'!C56</f>
        <v>55.86599948702046</v>
      </c>
      <c r="F60" s="912">
        <f t="shared" si="15"/>
        <v>0.9910770408163265</v>
      </c>
      <c r="G60" s="926">
        <f t="shared" si="16"/>
        <v>3.477089854002004</v>
      </c>
      <c r="H60" s="913">
        <f t="shared" si="17"/>
        <v>-1.748899999999992</v>
      </c>
      <c r="I60" s="927">
        <f t="shared" si="18"/>
        <v>138.38510051297953</v>
      </c>
      <c r="J60" s="311"/>
      <c r="K60" s="856">
        <f>'BCWS by JOB'!K56</f>
        <v>35</v>
      </c>
      <c r="L60" s="857">
        <f>'BCWP by JOB'!I56</f>
        <v>33.78110000000001</v>
      </c>
      <c r="M60" s="857">
        <f>SUM('ACWP by JOB'!J56)</f>
        <v>19.305</v>
      </c>
      <c r="N60" s="858">
        <f>+L60/K60</f>
        <v>0.965174285714286</v>
      </c>
      <c r="O60" s="882">
        <f t="shared" si="19"/>
        <v>1.7498627298627303</v>
      </c>
      <c r="P60" s="860">
        <f t="shared" si="20"/>
        <v>-1.2188999999999908</v>
      </c>
      <c r="Q60" s="883">
        <f t="shared" si="21"/>
        <v>14.47610000000001</v>
      </c>
      <c r="R60" s="605">
        <v>1408</v>
      </c>
      <c r="S60" s="383">
        <f t="shared" si="8"/>
        <v>0.13920454545454544</v>
      </c>
      <c r="T60" s="384">
        <f t="shared" si="22"/>
        <v>0.13796242897727273</v>
      </c>
      <c r="U60" s="383">
        <f t="shared" si="23"/>
        <v>0.03967755645384976</v>
      </c>
      <c r="V60" s="605">
        <f>+R60</f>
        <v>1408</v>
      </c>
      <c r="W60" s="2" t="s">
        <v>726</v>
      </c>
      <c r="X60" s="940">
        <f t="shared" si="24"/>
        <v>0</v>
      </c>
      <c r="Y60" s="382">
        <f t="shared" si="25"/>
        <v>1408</v>
      </c>
    </row>
    <row r="61" spans="1:25" s="1" customFormat="1" ht="12.75">
      <c r="A61" s="671"/>
      <c r="B61" s="1161" t="s">
        <v>369</v>
      </c>
      <c r="C61" s="910">
        <f>'BCWS by JOB'!E57</f>
        <v>207</v>
      </c>
      <c r="D61" s="911">
        <f>'BCWP by JOB'!C57</f>
        <v>207.311</v>
      </c>
      <c r="E61" s="925">
        <f>'ACWP by JOB'!C57</f>
        <v>272.063298250104</v>
      </c>
      <c r="F61" s="912">
        <f t="shared" si="15"/>
        <v>1.0015024154589371</v>
      </c>
      <c r="G61" s="1159">
        <f t="shared" si="16"/>
        <v>0.7619954669865903</v>
      </c>
      <c r="H61" s="913">
        <f t="shared" si="17"/>
        <v>0.31100000000000705</v>
      </c>
      <c r="I61" s="930">
        <f t="shared" si="18"/>
        <v>-64.75229825010402</v>
      </c>
      <c r="J61" s="312"/>
      <c r="K61" s="856">
        <f>'BCWS by JOB'!K57</f>
        <v>27</v>
      </c>
      <c r="L61" s="857">
        <f>'BCWP by JOB'!I57</f>
        <v>26.36100000000002</v>
      </c>
      <c r="M61" s="857">
        <f>SUM('ACWP by JOB'!J57)</f>
        <v>46.654</v>
      </c>
      <c r="N61" s="858">
        <f>+L61/K61</f>
        <v>0.976333333333334</v>
      </c>
      <c r="O61" s="859">
        <f t="shared" si="19"/>
        <v>0.5650319372401084</v>
      </c>
      <c r="P61" s="860">
        <f t="shared" si="20"/>
        <v>-0.6389999999999816</v>
      </c>
      <c r="Q61" s="861">
        <f t="shared" si="21"/>
        <v>-20.292999999999985</v>
      </c>
      <c r="R61" s="605">
        <v>1154</v>
      </c>
      <c r="S61" s="383">
        <f t="shared" si="8"/>
        <v>0.17937608318890816</v>
      </c>
      <c r="T61" s="384">
        <f t="shared" si="22"/>
        <v>0.17964558058925478</v>
      </c>
      <c r="U61" s="383">
        <f t="shared" si="23"/>
        <v>0.2357567575824125</v>
      </c>
      <c r="V61" s="605">
        <f t="shared" si="27"/>
        <v>1514.444704721988</v>
      </c>
      <c r="W61" s="2" t="s">
        <v>725</v>
      </c>
      <c r="X61" s="940">
        <f t="shared" si="24"/>
        <v>360.44470472198805</v>
      </c>
      <c r="Y61" s="382">
        <f t="shared" si="25"/>
        <v>1514.444704721988</v>
      </c>
    </row>
    <row r="62" spans="1:25" s="1" customFormat="1" ht="12.75">
      <c r="A62" s="671"/>
      <c r="B62" s="459" t="s">
        <v>370</v>
      </c>
      <c r="C62" s="910">
        <f>'BCWS by JOB'!E58</f>
        <v>123</v>
      </c>
      <c r="D62" s="911">
        <f>'BCWP by JOB'!C58</f>
        <v>87.581</v>
      </c>
      <c r="E62" s="925">
        <f>'ACWP by JOB'!C58</f>
        <v>96.13410772351456</v>
      </c>
      <c r="F62" s="912">
        <f t="shared" si="15"/>
        <v>0.7120406504065041</v>
      </c>
      <c r="G62" s="926">
        <f t="shared" si="16"/>
        <v>0.9110294158228043</v>
      </c>
      <c r="H62" s="913">
        <f t="shared" si="17"/>
        <v>-35.419</v>
      </c>
      <c r="I62" s="927">
        <f t="shared" si="18"/>
        <v>-8.553107723514557</v>
      </c>
      <c r="J62" s="311"/>
      <c r="K62" s="856">
        <f>'BCWS by JOB'!K58</f>
        <v>21</v>
      </c>
      <c r="L62" s="857">
        <f>'BCWP by JOB'!I58</f>
        <v>11.581000000000003</v>
      </c>
      <c r="M62" s="857">
        <f>SUM('ACWP by JOB'!J58)</f>
        <v>4.038</v>
      </c>
      <c r="N62" s="858">
        <f>+L62/K62</f>
        <v>0.5514761904761907</v>
      </c>
      <c r="O62" s="882">
        <f t="shared" si="19"/>
        <v>2.8680039623576032</v>
      </c>
      <c r="P62" s="860">
        <f t="shared" si="20"/>
        <v>-9.418999999999997</v>
      </c>
      <c r="Q62" s="883">
        <f t="shared" si="21"/>
        <v>7.543000000000003</v>
      </c>
      <c r="R62" s="605">
        <v>598</v>
      </c>
      <c r="S62" s="383">
        <f t="shared" si="8"/>
        <v>0.205685618729097</v>
      </c>
      <c r="T62" s="384">
        <f t="shared" si="22"/>
        <v>0.14645652173913043</v>
      </c>
      <c r="U62" s="383">
        <f t="shared" si="23"/>
        <v>0.16075937746407118</v>
      </c>
      <c r="V62" s="605">
        <f t="shared" si="27"/>
        <v>656.4003199171248</v>
      </c>
      <c r="W62" s="2" t="s">
        <v>725</v>
      </c>
      <c r="X62" s="940">
        <f t="shared" si="24"/>
        <v>58.40031991712476</v>
      </c>
      <c r="Y62" s="382">
        <f t="shared" si="25"/>
        <v>656.4003199171248</v>
      </c>
    </row>
    <row r="63" spans="1:25" s="1" customFormat="1" ht="12.75">
      <c r="A63" s="671"/>
      <c r="B63" s="459" t="s">
        <v>371</v>
      </c>
      <c r="C63" s="910">
        <f>'BCWS by JOB'!E59</f>
        <v>19</v>
      </c>
      <c r="D63" s="911">
        <f>'BCWP by JOB'!C59</f>
        <v>18.814</v>
      </c>
      <c r="E63" s="925">
        <f>'ACWP by JOB'!C59</f>
        <v>46.876514202244316</v>
      </c>
      <c r="F63" s="912">
        <f t="shared" si="15"/>
        <v>0.9902105263157894</v>
      </c>
      <c r="G63" s="926">
        <f t="shared" si="16"/>
        <v>0.4013523684553157</v>
      </c>
      <c r="H63" s="913">
        <f t="shared" si="17"/>
        <v>-0.18599999999999994</v>
      </c>
      <c r="I63" s="927">
        <f t="shared" si="18"/>
        <v>-28.062514202244316</v>
      </c>
      <c r="J63" s="311"/>
      <c r="K63" s="856">
        <f>'BCWS by JOB'!K59</f>
        <v>0</v>
      </c>
      <c r="L63" s="857">
        <f>'BCWP by JOB'!I59</f>
        <v>0.004000000000001336</v>
      </c>
      <c r="M63" s="857">
        <f>SUM('ACWP by JOB'!J59)</f>
        <v>1.625</v>
      </c>
      <c r="N63" s="882">
        <f>+K63/L63</f>
        <v>0</v>
      </c>
      <c r="O63" s="882">
        <f t="shared" si="19"/>
        <v>0.0024615384615392834</v>
      </c>
      <c r="P63" s="860">
        <f t="shared" si="20"/>
        <v>0.004000000000001336</v>
      </c>
      <c r="Q63" s="883">
        <f t="shared" si="21"/>
        <v>-1.6209999999999987</v>
      </c>
      <c r="R63" s="605">
        <v>19</v>
      </c>
      <c r="S63" s="383">
        <f t="shared" si="8"/>
        <v>1</v>
      </c>
      <c r="T63" s="384">
        <f t="shared" si="22"/>
        <v>0.9902105263157894</v>
      </c>
      <c r="U63" s="383">
        <f t="shared" si="23"/>
        <v>2.467184958012859</v>
      </c>
      <c r="V63" s="605">
        <f t="shared" si="27"/>
        <v>47.33994737124705</v>
      </c>
      <c r="W63" s="2" t="s">
        <v>725</v>
      </c>
      <c r="X63" s="940">
        <f t="shared" si="24"/>
        <v>28.33994737124705</v>
      </c>
      <c r="Y63" s="382">
        <f t="shared" si="25"/>
        <v>47.33994737124705</v>
      </c>
    </row>
    <row r="64" spans="1:25" s="1" customFormat="1" ht="13.5" thickBot="1">
      <c r="A64" s="671"/>
      <c r="B64" s="460" t="s">
        <v>372</v>
      </c>
      <c r="C64" s="914">
        <f>'BCWS by JOB'!E60</f>
        <v>18</v>
      </c>
      <c r="D64" s="915">
        <f>'BCWP by JOB'!C60</f>
        <v>3</v>
      </c>
      <c r="E64" s="933">
        <f>'ACWP by JOB'!C60</f>
        <v>0</v>
      </c>
      <c r="F64" s="916">
        <f t="shared" si="15"/>
        <v>0.16666666666666666</v>
      </c>
      <c r="G64" s="934" t="e">
        <f t="shared" si="16"/>
        <v>#DIV/0!</v>
      </c>
      <c r="H64" s="917">
        <f t="shared" si="17"/>
        <v>-15</v>
      </c>
      <c r="I64" s="935">
        <f t="shared" si="18"/>
        <v>3</v>
      </c>
      <c r="J64" s="311"/>
      <c r="K64" s="884">
        <f>'BCWS by JOB'!K60</f>
        <v>3</v>
      </c>
      <c r="L64" s="885">
        <f>'BCWP by JOB'!I60</f>
        <v>3</v>
      </c>
      <c r="M64" s="885">
        <f>SUM('ACWP by JOB'!J60)</f>
        <v>0</v>
      </c>
      <c r="N64" s="882">
        <f>+K64/L64</f>
        <v>1</v>
      </c>
      <c r="O64" s="882" t="e">
        <f t="shared" si="19"/>
        <v>#DIV/0!</v>
      </c>
      <c r="P64" s="889">
        <f t="shared" si="20"/>
        <v>0</v>
      </c>
      <c r="Q64" s="890">
        <f t="shared" si="21"/>
        <v>3</v>
      </c>
      <c r="R64" s="605">
        <v>121</v>
      </c>
      <c r="S64" s="383">
        <f t="shared" si="8"/>
        <v>0.1487603305785124</v>
      </c>
      <c r="T64" s="384">
        <f t="shared" si="22"/>
        <v>0.024793388429752067</v>
      </c>
      <c r="U64" s="383">
        <f t="shared" si="23"/>
        <v>0</v>
      </c>
      <c r="V64" s="605">
        <f t="shared" si="27"/>
        <v>121</v>
      </c>
      <c r="W64" s="2" t="s">
        <v>725</v>
      </c>
      <c r="X64" s="940">
        <f t="shared" si="24"/>
        <v>0</v>
      </c>
      <c r="Y64" s="382">
        <f t="shared" si="25"/>
        <v>121</v>
      </c>
    </row>
    <row r="65" spans="1:25" s="463" customFormat="1" ht="15.75" thickBot="1">
      <c r="A65" s="676"/>
      <c r="B65" s="428" t="s">
        <v>661</v>
      </c>
      <c r="C65" s="437">
        <f>SUM(C39:C64)</f>
        <v>3188</v>
      </c>
      <c r="D65" s="438">
        <f>SUM(D39:D64)</f>
        <v>2722.1431000000002</v>
      </c>
      <c r="E65" s="570">
        <f>SUM(E39:E64)</f>
        <v>2404.742653312274</v>
      </c>
      <c r="F65" s="568">
        <f>+D65/C65</f>
        <v>0.853871737766625</v>
      </c>
      <c r="G65" s="569">
        <f>+D65/E65</f>
        <v>1.1319893612110807</v>
      </c>
      <c r="H65" s="566">
        <f t="shared" si="17"/>
        <v>-465.85689999999977</v>
      </c>
      <c r="I65" s="456">
        <f>+D65-E65</f>
        <v>317.40044668772634</v>
      </c>
      <c r="J65" s="440"/>
      <c r="K65" s="869">
        <f>SUM(K39:K64)</f>
        <v>608</v>
      </c>
      <c r="L65" s="870">
        <f>SUM(L39:L64)</f>
        <v>453.4431000000001</v>
      </c>
      <c r="M65" s="870">
        <f>SUM(M39:M64)</f>
        <v>348.902</v>
      </c>
      <c r="N65" s="871">
        <f>+L65/K65</f>
        <v>0.7457945723684212</v>
      </c>
      <c r="O65" s="872">
        <f>+L65/M65</f>
        <v>1.2996288356042673</v>
      </c>
      <c r="P65" s="873">
        <f t="shared" si="20"/>
        <v>-154.55689999999993</v>
      </c>
      <c r="Q65" s="874">
        <f>+L65-M65</f>
        <v>104.54110000000009</v>
      </c>
      <c r="R65" s="606">
        <f>SUM(R39:R64)</f>
        <v>15941</v>
      </c>
      <c r="S65" s="464">
        <f t="shared" si="8"/>
        <v>0.19998745373565022</v>
      </c>
      <c r="T65" s="465">
        <f t="shared" si="22"/>
        <v>0.17076363465278216</v>
      </c>
      <c r="U65" s="464">
        <f t="shared" si="23"/>
        <v>0.15085268510835417</v>
      </c>
      <c r="V65" s="938">
        <f>SUM(V39:V64)</f>
        <v>15547.191076166067</v>
      </c>
      <c r="W65" s="305"/>
      <c r="X65" s="938">
        <f t="shared" si="24"/>
        <v>-393.80892383393257</v>
      </c>
      <c r="Y65" s="444">
        <f>SUM(Y39:Y64)</f>
        <v>15547.191076166067</v>
      </c>
    </row>
    <row r="66" spans="1:24" s="1" customFormat="1" ht="12.75" hidden="1">
      <c r="A66" s="673"/>
      <c r="B66" s="443"/>
      <c r="C66" s="9"/>
      <c r="D66" s="9"/>
      <c r="E66" s="9"/>
      <c r="F66" s="304"/>
      <c r="G66" s="239"/>
      <c r="H66" s="249"/>
      <c r="I66" s="12"/>
      <c r="J66" s="311"/>
      <c r="K66" s="875"/>
      <c r="L66" s="875"/>
      <c r="M66" s="875"/>
      <c r="N66" s="876"/>
      <c r="O66" s="877"/>
      <c r="P66" s="878"/>
      <c r="Q66" s="879"/>
      <c r="R66" s="605"/>
      <c r="S66" s="383" t="e">
        <f t="shared" si="8"/>
        <v>#DIV/0!</v>
      </c>
      <c r="T66" s="384"/>
      <c r="U66" s="383"/>
      <c r="V66" s="443">
        <f>IF(U66&gt;T66*1.5,"X","")</f>
      </c>
      <c r="X66" s="443"/>
    </row>
    <row r="67" spans="1:24" s="1" customFormat="1" ht="3" customHeight="1" thickBot="1">
      <c r="A67" s="673"/>
      <c r="B67" s="443"/>
      <c r="C67" s="9"/>
      <c r="D67" s="9"/>
      <c r="E67" s="9"/>
      <c r="F67" s="304"/>
      <c r="G67" s="239"/>
      <c r="H67" s="249"/>
      <c r="I67" s="12"/>
      <c r="J67" s="311"/>
      <c r="K67" s="875"/>
      <c r="L67" s="875"/>
      <c r="M67" s="875"/>
      <c r="N67" s="876"/>
      <c r="O67" s="877"/>
      <c r="P67" s="878"/>
      <c r="Q67" s="879"/>
      <c r="R67" s="605"/>
      <c r="S67" s="383"/>
      <c r="T67" s="384"/>
      <c r="U67" s="383"/>
      <c r="V67" s="443"/>
      <c r="X67" s="443"/>
    </row>
    <row r="68" spans="1:25" s="1" customFormat="1" ht="27" thickBot="1">
      <c r="A68" s="670" t="s">
        <v>346</v>
      </c>
      <c r="B68" s="458" t="s">
        <v>398</v>
      </c>
      <c r="C68" s="936">
        <f>'BCWS by JOB'!E63</f>
        <v>-104</v>
      </c>
      <c r="D68" s="919">
        <f>'BCWP by JOB'!C63</f>
        <v>-104.1</v>
      </c>
      <c r="E68" s="920">
        <f>'ACWP by JOB'!C63</f>
        <v>-104.10269</v>
      </c>
      <c r="F68" s="921">
        <f aca="true" t="shared" si="28" ref="F68:F80">+D68/C68</f>
        <v>1.0009615384615385</v>
      </c>
      <c r="G68" s="937">
        <f aca="true" t="shared" si="29" ref="G68:G80">+D68/E68</f>
        <v>0.9999741601297718</v>
      </c>
      <c r="H68" s="922">
        <f aca="true" t="shared" si="30" ref="H68:H82">+D68-C68</f>
        <v>-0.09999999999999432</v>
      </c>
      <c r="I68" s="923">
        <f aca="true" t="shared" si="31" ref="I68:I80">+D68-E68</f>
        <v>0.0026900000000011914</v>
      </c>
      <c r="J68" s="311"/>
      <c r="K68" s="851">
        <f>'BCWS by JOB'!K63</f>
        <v>0</v>
      </c>
      <c r="L68" s="880">
        <f>'BCWP by JOB'!I63</f>
        <v>0</v>
      </c>
      <c r="M68" s="880">
        <f>SUM('ACWP by JOB'!J65)</f>
        <v>0</v>
      </c>
      <c r="N68" s="1109" t="e">
        <f>+L68/K68</f>
        <v>#DIV/0!</v>
      </c>
      <c r="O68" s="1109" t="e">
        <f>+M68/L68</f>
        <v>#DIV/0!</v>
      </c>
      <c r="P68" s="881">
        <f aca="true" t="shared" si="32" ref="P68:P82">+L68-K68</f>
        <v>0</v>
      </c>
      <c r="Q68" s="855">
        <f aca="true" t="shared" si="33" ref="Q68:Q80">+L68-M68</f>
        <v>0</v>
      </c>
      <c r="R68" s="443">
        <v>55</v>
      </c>
      <c r="S68" s="383">
        <f t="shared" si="8"/>
        <v>-1.8909090909090909</v>
      </c>
      <c r="T68" s="384">
        <f aca="true" t="shared" si="34" ref="T68:T82">+D68/R68</f>
        <v>-1.8927272727272726</v>
      </c>
      <c r="U68" s="383">
        <f aca="true" t="shared" si="35" ref="U68:U82">+E68/R68</f>
        <v>-1.8927761818181816</v>
      </c>
      <c r="V68" s="605">
        <f aca="true" t="shared" si="36" ref="V68:V77">IF(D68=0,R68,(IF(E68=0,R68,R68/G68)))</f>
        <v>55.00142122958694</v>
      </c>
      <c r="W68" s="2"/>
      <c r="X68" s="940">
        <f aca="true" t="shared" si="37" ref="X68:X82">+V68-R68</f>
        <v>0.0014212295869384661</v>
      </c>
      <c r="Y68" s="382">
        <f aca="true" t="shared" si="38" ref="Y68:Y79">+V68</f>
        <v>55.00142122958694</v>
      </c>
    </row>
    <row r="69" spans="1:25" s="1" customFormat="1" ht="12.75">
      <c r="A69" s="671"/>
      <c r="B69" s="459" t="s">
        <v>399</v>
      </c>
      <c r="C69" s="910">
        <f>'BCWS by JOB'!E64</f>
        <v>1</v>
      </c>
      <c r="D69" s="911">
        <f>'BCWP by JOB'!C64</f>
        <v>0</v>
      </c>
      <c r="E69" s="925">
        <f>'ACWP by JOB'!C64</f>
        <v>0</v>
      </c>
      <c r="F69" s="912">
        <f t="shared" si="28"/>
        <v>0</v>
      </c>
      <c r="G69" s="926" t="e">
        <f t="shared" si="29"/>
        <v>#DIV/0!</v>
      </c>
      <c r="H69" s="913">
        <f t="shared" si="30"/>
        <v>-1</v>
      </c>
      <c r="I69" s="927">
        <f t="shared" si="31"/>
        <v>0</v>
      </c>
      <c r="J69" s="311"/>
      <c r="K69" s="856">
        <f>'BCWS by JOB'!K64</f>
        <v>1</v>
      </c>
      <c r="L69" s="857">
        <f>'BCWP by JOB'!I64</f>
        <v>0</v>
      </c>
      <c r="M69" s="857">
        <f>SUM('ACWP by JOB'!J66)</f>
        <v>0</v>
      </c>
      <c r="N69" s="882" t="e">
        <f aca="true" t="shared" si="39" ref="N69:N79">+K69/L69</f>
        <v>#DIV/0!</v>
      </c>
      <c r="O69" s="882" t="e">
        <f aca="true" t="shared" si="40" ref="O69:O79">+L69/M69</f>
        <v>#DIV/0!</v>
      </c>
      <c r="P69" s="860">
        <f t="shared" si="32"/>
        <v>-1</v>
      </c>
      <c r="Q69" s="883">
        <f t="shared" si="33"/>
        <v>0</v>
      </c>
      <c r="R69" s="443">
        <v>603</v>
      </c>
      <c r="S69" s="383">
        <f t="shared" si="8"/>
        <v>0.001658374792703151</v>
      </c>
      <c r="T69" s="384">
        <f t="shared" si="34"/>
        <v>0</v>
      </c>
      <c r="U69" s="383">
        <f t="shared" si="35"/>
        <v>0</v>
      </c>
      <c r="V69" s="605">
        <f t="shared" si="36"/>
        <v>603</v>
      </c>
      <c r="W69" s="2"/>
      <c r="X69" s="940">
        <f t="shared" si="37"/>
        <v>0</v>
      </c>
      <c r="Y69" s="382">
        <f t="shared" si="38"/>
        <v>603</v>
      </c>
    </row>
    <row r="70" spans="1:25" s="1" customFormat="1" ht="12.75">
      <c r="A70" s="671"/>
      <c r="B70" s="459" t="s">
        <v>400</v>
      </c>
      <c r="C70" s="910">
        <f>'BCWS by JOB'!E65</f>
        <v>0</v>
      </c>
      <c r="D70" s="911">
        <f>'BCWP by JOB'!C65</f>
        <v>0</v>
      </c>
      <c r="E70" s="925">
        <f>'ACWP by JOB'!C65</f>
        <v>0</v>
      </c>
      <c r="F70" s="912" t="e">
        <f t="shared" si="28"/>
        <v>#DIV/0!</v>
      </c>
      <c r="G70" s="926" t="e">
        <f t="shared" si="29"/>
        <v>#DIV/0!</v>
      </c>
      <c r="H70" s="913">
        <f t="shared" si="30"/>
        <v>0</v>
      </c>
      <c r="I70" s="927">
        <f t="shared" si="31"/>
        <v>0</v>
      </c>
      <c r="J70" s="311"/>
      <c r="K70" s="856">
        <f>'BCWS by JOB'!K65</f>
        <v>0</v>
      </c>
      <c r="L70" s="857">
        <f>'BCWP by JOB'!I65</f>
        <v>0</v>
      </c>
      <c r="M70" s="857">
        <f>SUM('ACWP by JOB'!J67)</f>
        <v>0</v>
      </c>
      <c r="N70" s="882" t="e">
        <f t="shared" si="39"/>
        <v>#DIV/0!</v>
      </c>
      <c r="O70" s="882" t="e">
        <f t="shared" si="40"/>
        <v>#DIV/0!</v>
      </c>
      <c r="P70" s="860">
        <f t="shared" si="32"/>
        <v>0</v>
      </c>
      <c r="Q70" s="883">
        <f t="shared" si="33"/>
        <v>0</v>
      </c>
      <c r="R70" s="443">
        <v>1084</v>
      </c>
      <c r="S70" s="383">
        <f t="shared" si="8"/>
        <v>0</v>
      </c>
      <c r="T70" s="384">
        <f t="shared" si="34"/>
        <v>0</v>
      </c>
      <c r="U70" s="383">
        <f t="shared" si="35"/>
        <v>0</v>
      </c>
      <c r="V70" s="605">
        <f t="shared" si="36"/>
        <v>1084</v>
      </c>
      <c r="W70" s="2"/>
      <c r="X70" s="940">
        <f t="shared" si="37"/>
        <v>0</v>
      </c>
      <c r="Y70" s="382">
        <f t="shared" si="38"/>
        <v>1084</v>
      </c>
    </row>
    <row r="71" spans="1:25" s="1" customFormat="1" ht="12.75">
      <c r="A71" s="671"/>
      <c r="B71" s="459" t="s">
        <v>401</v>
      </c>
      <c r="C71" s="910">
        <f>'BCWS by JOB'!E66</f>
        <v>0</v>
      </c>
      <c r="D71" s="911">
        <f>'BCWP by JOB'!C66</f>
        <v>0</v>
      </c>
      <c r="E71" s="925">
        <f>'ACWP by JOB'!C66</f>
        <v>-0.5558088800466068</v>
      </c>
      <c r="F71" s="912" t="e">
        <f t="shared" si="28"/>
        <v>#DIV/0!</v>
      </c>
      <c r="G71" s="926">
        <f t="shared" si="29"/>
        <v>0</v>
      </c>
      <c r="H71" s="913">
        <f t="shared" si="30"/>
        <v>0</v>
      </c>
      <c r="I71" s="927">
        <f t="shared" si="31"/>
        <v>0.5558088800466068</v>
      </c>
      <c r="J71" s="311"/>
      <c r="K71" s="856">
        <f>'BCWS by JOB'!K66</f>
        <v>0</v>
      </c>
      <c r="L71" s="857">
        <f>'BCWP by JOB'!I66</f>
        <v>0</v>
      </c>
      <c r="M71" s="857">
        <f>SUM('ACWP by JOB'!J68)</f>
        <v>0</v>
      </c>
      <c r="N71" s="882" t="e">
        <f t="shared" si="39"/>
        <v>#DIV/0!</v>
      </c>
      <c r="O71" s="882" t="e">
        <f t="shared" si="40"/>
        <v>#DIV/0!</v>
      </c>
      <c r="P71" s="860">
        <f t="shared" si="32"/>
        <v>0</v>
      </c>
      <c r="Q71" s="883">
        <f t="shared" si="33"/>
        <v>0</v>
      </c>
      <c r="R71" s="443">
        <v>683</v>
      </c>
      <c r="S71" s="383">
        <f t="shared" si="8"/>
        <v>0</v>
      </c>
      <c r="T71" s="384">
        <f t="shared" si="34"/>
        <v>0</v>
      </c>
      <c r="U71" s="383">
        <f t="shared" si="35"/>
        <v>-0.0008137758126597463</v>
      </c>
      <c r="V71" s="605">
        <f t="shared" si="36"/>
        <v>683</v>
      </c>
      <c r="W71" s="2"/>
      <c r="X71" s="940">
        <f t="shared" si="37"/>
        <v>0</v>
      </c>
      <c r="Y71" s="382">
        <f t="shared" si="38"/>
        <v>683</v>
      </c>
    </row>
    <row r="72" spans="1:25" s="1" customFormat="1" ht="12.75">
      <c r="A72" s="671"/>
      <c r="B72" s="459" t="s">
        <v>402</v>
      </c>
      <c r="C72" s="910">
        <f>'BCWS by JOB'!E67</f>
        <v>0</v>
      </c>
      <c r="D72" s="911">
        <f>'BCWP by JOB'!C67</f>
        <v>0</v>
      </c>
      <c r="E72" s="925">
        <f>'ACWP by JOB'!C67</f>
        <v>0</v>
      </c>
      <c r="F72" s="912" t="e">
        <f t="shared" si="28"/>
        <v>#DIV/0!</v>
      </c>
      <c r="G72" s="926" t="e">
        <f t="shared" si="29"/>
        <v>#DIV/0!</v>
      </c>
      <c r="H72" s="913">
        <f t="shared" si="30"/>
        <v>0</v>
      </c>
      <c r="I72" s="927">
        <f t="shared" si="31"/>
        <v>0</v>
      </c>
      <c r="J72" s="311"/>
      <c r="K72" s="856">
        <f>'BCWS by JOB'!K67</f>
        <v>0</v>
      </c>
      <c r="L72" s="857">
        <f>'BCWP by JOB'!I67</f>
        <v>0</v>
      </c>
      <c r="M72" s="857">
        <f>SUM('ACWP by JOB'!J69)</f>
        <v>0</v>
      </c>
      <c r="N72" s="882" t="e">
        <f t="shared" si="39"/>
        <v>#DIV/0!</v>
      </c>
      <c r="O72" s="882" t="e">
        <f t="shared" si="40"/>
        <v>#DIV/0!</v>
      </c>
      <c r="P72" s="860">
        <f t="shared" si="32"/>
        <v>0</v>
      </c>
      <c r="Q72" s="883">
        <f t="shared" si="33"/>
        <v>0</v>
      </c>
      <c r="R72" s="443">
        <v>150</v>
      </c>
      <c r="S72" s="383">
        <f t="shared" si="8"/>
        <v>0</v>
      </c>
      <c r="T72" s="384">
        <f t="shared" si="34"/>
        <v>0</v>
      </c>
      <c r="U72" s="383">
        <f t="shared" si="35"/>
        <v>0</v>
      </c>
      <c r="V72" s="605">
        <f t="shared" si="36"/>
        <v>150</v>
      </c>
      <c r="W72" s="2"/>
      <c r="X72" s="940">
        <f t="shared" si="37"/>
        <v>0</v>
      </c>
      <c r="Y72" s="382">
        <f t="shared" si="38"/>
        <v>150</v>
      </c>
    </row>
    <row r="73" spans="1:25" s="1" customFormat="1" ht="12.75">
      <c r="A73" s="671"/>
      <c r="B73" s="459" t="s">
        <v>403</v>
      </c>
      <c r="C73" s="910">
        <f>'BCWS by JOB'!E68</f>
        <v>0</v>
      </c>
      <c r="D73" s="911">
        <f>'BCWP by JOB'!C68</f>
        <v>0</v>
      </c>
      <c r="E73" s="925">
        <f>'ACWP by JOB'!C68</f>
        <v>0</v>
      </c>
      <c r="F73" s="912" t="e">
        <f t="shared" si="28"/>
        <v>#DIV/0!</v>
      </c>
      <c r="G73" s="926" t="e">
        <f t="shared" si="29"/>
        <v>#DIV/0!</v>
      </c>
      <c r="H73" s="913">
        <f t="shared" si="30"/>
        <v>0</v>
      </c>
      <c r="I73" s="927">
        <f t="shared" si="31"/>
        <v>0</v>
      </c>
      <c r="J73" s="311"/>
      <c r="K73" s="856">
        <f>'BCWS by JOB'!K68</f>
        <v>0</v>
      </c>
      <c r="L73" s="857">
        <f>'BCWP by JOB'!I68</f>
        <v>0</v>
      </c>
      <c r="M73" s="857">
        <f>SUM('ACWP by JOB'!J70)</f>
        <v>0</v>
      </c>
      <c r="N73" s="882" t="e">
        <f t="shared" si="39"/>
        <v>#DIV/0!</v>
      </c>
      <c r="O73" s="882" t="e">
        <f t="shared" si="40"/>
        <v>#DIV/0!</v>
      </c>
      <c r="P73" s="860">
        <f t="shared" si="32"/>
        <v>0</v>
      </c>
      <c r="Q73" s="883">
        <f t="shared" si="33"/>
        <v>0</v>
      </c>
      <c r="R73" s="443">
        <v>196</v>
      </c>
      <c r="S73" s="383">
        <f t="shared" si="8"/>
        <v>0</v>
      </c>
      <c r="T73" s="384">
        <f t="shared" si="34"/>
        <v>0</v>
      </c>
      <c r="U73" s="383">
        <f t="shared" si="35"/>
        <v>0</v>
      </c>
      <c r="V73" s="605">
        <f t="shared" si="36"/>
        <v>196</v>
      </c>
      <c r="W73" s="2"/>
      <c r="X73" s="940">
        <f t="shared" si="37"/>
        <v>0</v>
      </c>
      <c r="Y73" s="382">
        <f t="shared" si="38"/>
        <v>196</v>
      </c>
    </row>
    <row r="74" spans="1:25" s="1" customFormat="1" ht="12.75">
      <c r="A74" s="671"/>
      <c r="B74" s="459" t="s">
        <v>404</v>
      </c>
      <c r="C74" s="910">
        <f>'BCWS by JOB'!E69</f>
        <v>0</v>
      </c>
      <c r="D74" s="911">
        <f>'BCWP by JOB'!C69</f>
        <v>0</v>
      </c>
      <c r="E74" s="925">
        <f>'ACWP by JOB'!C69</f>
        <v>0</v>
      </c>
      <c r="F74" s="912" t="e">
        <f t="shared" si="28"/>
        <v>#DIV/0!</v>
      </c>
      <c r="G74" s="926" t="e">
        <f t="shared" si="29"/>
        <v>#DIV/0!</v>
      </c>
      <c r="H74" s="913">
        <f t="shared" si="30"/>
        <v>0</v>
      </c>
      <c r="I74" s="927">
        <f t="shared" si="31"/>
        <v>0</v>
      </c>
      <c r="J74" s="311"/>
      <c r="K74" s="856">
        <f>'BCWS by JOB'!K69</f>
        <v>0</v>
      </c>
      <c r="L74" s="857">
        <f>'BCWP by JOB'!I69</f>
        <v>0</v>
      </c>
      <c r="M74" s="857">
        <f>SUM('ACWP by JOB'!J71)</f>
        <v>0</v>
      </c>
      <c r="N74" s="882" t="e">
        <f t="shared" si="39"/>
        <v>#DIV/0!</v>
      </c>
      <c r="O74" s="882" t="e">
        <f t="shared" si="40"/>
        <v>#DIV/0!</v>
      </c>
      <c r="P74" s="860">
        <f t="shared" si="32"/>
        <v>0</v>
      </c>
      <c r="Q74" s="883">
        <f t="shared" si="33"/>
        <v>0</v>
      </c>
      <c r="R74" s="443">
        <v>165</v>
      </c>
      <c r="S74" s="383">
        <f t="shared" si="8"/>
        <v>0</v>
      </c>
      <c r="T74" s="384">
        <f t="shared" si="34"/>
        <v>0</v>
      </c>
      <c r="U74" s="383">
        <f t="shared" si="35"/>
        <v>0</v>
      </c>
      <c r="V74" s="605">
        <f t="shared" si="36"/>
        <v>165</v>
      </c>
      <c r="W74" s="2"/>
      <c r="X74" s="940">
        <f t="shared" si="37"/>
        <v>0</v>
      </c>
      <c r="Y74" s="382">
        <f t="shared" si="38"/>
        <v>165</v>
      </c>
    </row>
    <row r="75" spans="1:25" s="1" customFormat="1" ht="12.75">
      <c r="A75" s="671"/>
      <c r="B75" s="459" t="s">
        <v>405</v>
      </c>
      <c r="C75" s="910">
        <f>'BCWS by JOB'!E70</f>
        <v>0</v>
      </c>
      <c r="D75" s="911">
        <f>'BCWP by JOB'!C70</f>
        <v>0</v>
      </c>
      <c r="E75" s="925">
        <f>'ACWP by JOB'!C70</f>
        <v>0</v>
      </c>
      <c r="F75" s="912" t="e">
        <f t="shared" si="28"/>
        <v>#DIV/0!</v>
      </c>
      <c r="G75" s="926" t="e">
        <f t="shared" si="29"/>
        <v>#DIV/0!</v>
      </c>
      <c r="H75" s="913">
        <f t="shared" si="30"/>
        <v>0</v>
      </c>
      <c r="I75" s="927">
        <f t="shared" si="31"/>
        <v>0</v>
      </c>
      <c r="J75" s="311"/>
      <c r="K75" s="856">
        <f>'BCWS by JOB'!K70</f>
        <v>0</v>
      </c>
      <c r="L75" s="857">
        <f>'BCWP by JOB'!I70</f>
        <v>0</v>
      </c>
      <c r="M75" s="857">
        <f>SUM('ACWP by JOB'!J72)</f>
        <v>0</v>
      </c>
      <c r="N75" s="882" t="e">
        <f t="shared" si="39"/>
        <v>#DIV/0!</v>
      </c>
      <c r="O75" s="882" t="e">
        <f t="shared" si="40"/>
        <v>#DIV/0!</v>
      </c>
      <c r="P75" s="860">
        <f t="shared" si="32"/>
        <v>0</v>
      </c>
      <c r="Q75" s="883">
        <f t="shared" si="33"/>
        <v>0</v>
      </c>
      <c r="R75" s="443">
        <v>205</v>
      </c>
      <c r="S75" s="383">
        <f t="shared" si="8"/>
        <v>0</v>
      </c>
      <c r="T75" s="384">
        <f t="shared" si="34"/>
        <v>0</v>
      </c>
      <c r="U75" s="383">
        <f t="shared" si="35"/>
        <v>0</v>
      </c>
      <c r="V75" s="605">
        <f t="shared" si="36"/>
        <v>205</v>
      </c>
      <c r="W75" s="2"/>
      <c r="X75" s="940">
        <f t="shared" si="37"/>
        <v>0</v>
      </c>
      <c r="Y75" s="382">
        <f t="shared" si="38"/>
        <v>205</v>
      </c>
    </row>
    <row r="76" spans="1:25" s="1" customFormat="1" ht="12.75">
      <c r="A76" s="671"/>
      <c r="B76" s="459" t="s">
        <v>406</v>
      </c>
      <c r="C76" s="910">
        <f>'BCWS by JOB'!E71</f>
        <v>0</v>
      </c>
      <c r="D76" s="911">
        <f>'BCWP by JOB'!C71</f>
        <v>0</v>
      </c>
      <c r="E76" s="925">
        <f>'ACWP by JOB'!C71</f>
        <v>0</v>
      </c>
      <c r="F76" s="912" t="e">
        <f t="shared" si="28"/>
        <v>#DIV/0!</v>
      </c>
      <c r="G76" s="926" t="e">
        <f t="shared" si="29"/>
        <v>#DIV/0!</v>
      </c>
      <c r="H76" s="913">
        <f t="shared" si="30"/>
        <v>0</v>
      </c>
      <c r="I76" s="927">
        <f t="shared" si="31"/>
        <v>0</v>
      </c>
      <c r="J76" s="311"/>
      <c r="K76" s="856">
        <f>'BCWS by JOB'!K71</f>
        <v>0</v>
      </c>
      <c r="L76" s="857">
        <f>'BCWP by JOB'!I71</f>
        <v>0</v>
      </c>
      <c r="M76" s="857">
        <f>SUM('ACWP by JOB'!J73)</f>
        <v>0</v>
      </c>
      <c r="N76" s="882" t="e">
        <f t="shared" si="39"/>
        <v>#DIV/0!</v>
      </c>
      <c r="O76" s="882" t="e">
        <f t="shared" si="40"/>
        <v>#DIV/0!</v>
      </c>
      <c r="P76" s="860">
        <f t="shared" si="32"/>
        <v>0</v>
      </c>
      <c r="Q76" s="883">
        <f t="shared" si="33"/>
        <v>0</v>
      </c>
      <c r="R76" s="443">
        <v>129</v>
      </c>
      <c r="S76" s="383">
        <f t="shared" si="8"/>
        <v>0</v>
      </c>
      <c r="T76" s="384">
        <f t="shared" si="34"/>
        <v>0</v>
      </c>
      <c r="U76" s="383">
        <f t="shared" si="35"/>
        <v>0</v>
      </c>
      <c r="V76" s="605">
        <f t="shared" si="36"/>
        <v>129</v>
      </c>
      <c r="W76" s="2"/>
      <c r="X76" s="940">
        <f t="shared" si="37"/>
        <v>0</v>
      </c>
      <c r="Y76" s="382">
        <f t="shared" si="38"/>
        <v>129</v>
      </c>
    </row>
    <row r="77" spans="1:25" s="1" customFormat="1" ht="12.75">
      <c r="A77" s="671"/>
      <c r="B77" s="459" t="s">
        <v>407</v>
      </c>
      <c r="C77" s="910">
        <f>'BCWS by JOB'!E72</f>
        <v>0</v>
      </c>
      <c r="D77" s="911">
        <f>'BCWP by JOB'!C72</f>
        <v>0</v>
      </c>
      <c r="E77" s="925">
        <f>'ACWP by JOB'!C72</f>
        <v>0</v>
      </c>
      <c r="F77" s="912" t="e">
        <f t="shared" si="28"/>
        <v>#DIV/0!</v>
      </c>
      <c r="G77" s="926" t="e">
        <f t="shared" si="29"/>
        <v>#DIV/0!</v>
      </c>
      <c r="H77" s="913">
        <f t="shared" si="30"/>
        <v>0</v>
      </c>
      <c r="I77" s="927">
        <f t="shared" si="31"/>
        <v>0</v>
      </c>
      <c r="J77" s="311"/>
      <c r="K77" s="856">
        <f>'BCWS by JOB'!K72</f>
        <v>0</v>
      </c>
      <c r="L77" s="857">
        <f>'BCWP by JOB'!I72</f>
        <v>0</v>
      </c>
      <c r="M77" s="857">
        <f>SUM('ACWP by JOB'!J74)</f>
        <v>0</v>
      </c>
      <c r="N77" s="882" t="e">
        <f t="shared" si="39"/>
        <v>#DIV/0!</v>
      </c>
      <c r="O77" s="882" t="e">
        <f t="shared" si="40"/>
        <v>#DIV/0!</v>
      </c>
      <c r="P77" s="860">
        <f t="shared" si="32"/>
        <v>0</v>
      </c>
      <c r="Q77" s="883">
        <f t="shared" si="33"/>
        <v>0</v>
      </c>
      <c r="R77" s="443">
        <v>222</v>
      </c>
      <c r="S77" s="383">
        <f>+C77/R77</f>
        <v>0</v>
      </c>
      <c r="T77" s="384">
        <f t="shared" si="34"/>
        <v>0</v>
      </c>
      <c r="U77" s="383">
        <f t="shared" si="35"/>
        <v>0</v>
      </c>
      <c r="V77" s="605">
        <f t="shared" si="36"/>
        <v>222</v>
      </c>
      <c r="W77" s="2"/>
      <c r="X77" s="940">
        <f t="shared" si="37"/>
        <v>0</v>
      </c>
      <c r="Y77" s="382">
        <f t="shared" si="38"/>
        <v>222</v>
      </c>
    </row>
    <row r="78" spans="1:25" s="1" customFormat="1" ht="12.75">
      <c r="A78" s="671"/>
      <c r="B78" s="459" t="s">
        <v>408</v>
      </c>
      <c r="C78" s="910">
        <f>'BCWS by JOB'!E73</f>
        <v>8</v>
      </c>
      <c r="D78" s="911">
        <f>'BCWP by JOB'!C73</f>
        <v>9.3</v>
      </c>
      <c r="E78" s="925">
        <f>'ACWP by JOB'!C73</f>
        <v>0</v>
      </c>
      <c r="F78" s="912">
        <f t="shared" si="28"/>
        <v>1.1625</v>
      </c>
      <c r="G78" s="926" t="e">
        <f t="shared" si="29"/>
        <v>#DIV/0!</v>
      </c>
      <c r="H78" s="913">
        <f t="shared" si="30"/>
        <v>1.3000000000000007</v>
      </c>
      <c r="I78" s="927">
        <f t="shared" si="31"/>
        <v>9.3</v>
      </c>
      <c r="J78" s="311"/>
      <c r="K78" s="856">
        <f>'BCWS by JOB'!K73</f>
        <v>2</v>
      </c>
      <c r="L78" s="857">
        <f>'BCWP by JOB'!I73</f>
        <v>2.3200000000000003</v>
      </c>
      <c r="M78" s="857">
        <f>SUM('ACWP by JOB'!J75)</f>
        <v>0</v>
      </c>
      <c r="N78" s="882">
        <f t="shared" si="39"/>
        <v>0.8620689655172413</v>
      </c>
      <c r="O78" s="882" t="e">
        <f t="shared" si="40"/>
        <v>#DIV/0!</v>
      </c>
      <c r="P78" s="860">
        <f t="shared" si="32"/>
        <v>0.3200000000000003</v>
      </c>
      <c r="Q78" s="883">
        <f t="shared" si="33"/>
        <v>2.3200000000000003</v>
      </c>
      <c r="R78" s="443">
        <v>69</v>
      </c>
      <c r="S78" s="383">
        <f>+C78/R78</f>
        <v>0.11594202898550725</v>
      </c>
      <c r="T78" s="384">
        <f t="shared" si="34"/>
        <v>0.13478260869565217</v>
      </c>
      <c r="U78" s="383">
        <f t="shared" si="35"/>
        <v>0</v>
      </c>
      <c r="V78" s="605">
        <f>IF(D78=0,R78,(IF(E78=0,R78,R78/G78)))</f>
        <v>69</v>
      </c>
      <c r="W78" s="2"/>
      <c r="X78" s="940">
        <f t="shared" si="37"/>
        <v>0</v>
      </c>
      <c r="Y78" s="382">
        <f t="shared" si="38"/>
        <v>69</v>
      </c>
    </row>
    <row r="79" spans="1:25" s="1" customFormat="1" ht="13.5" thickBot="1">
      <c r="A79" s="671"/>
      <c r="B79" s="460" t="s">
        <v>409</v>
      </c>
      <c r="C79" s="914">
        <f>'BCWS by JOB'!E74</f>
        <v>0</v>
      </c>
      <c r="D79" s="915">
        <f>'BCWP by JOB'!C74</f>
        <v>0</v>
      </c>
      <c r="E79" s="933">
        <f>'ACWP by JOB'!C74</f>
        <v>0</v>
      </c>
      <c r="F79" s="916" t="e">
        <f t="shared" si="28"/>
        <v>#DIV/0!</v>
      </c>
      <c r="G79" s="934" t="e">
        <f t="shared" si="29"/>
        <v>#DIV/0!</v>
      </c>
      <c r="H79" s="917">
        <f t="shared" si="30"/>
        <v>0</v>
      </c>
      <c r="I79" s="935">
        <f t="shared" si="31"/>
        <v>0</v>
      </c>
      <c r="J79" s="311"/>
      <c r="K79" s="862">
        <f>'BCWS by JOB'!K74</f>
        <v>0</v>
      </c>
      <c r="L79" s="864">
        <f>'BCWP by JOB'!I74</f>
        <v>0</v>
      </c>
      <c r="M79" s="864">
        <f>SUM('ACWP by JOB'!J76)</f>
        <v>0</v>
      </c>
      <c r="N79" s="882" t="e">
        <f t="shared" si="39"/>
        <v>#DIV/0!</v>
      </c>
      <c r="O79" s="882" t="e">
        <f t="shared" si="40"/>
        <v>#DIV/0!</v>
      </c>
      <c r="P79" s="867">
        <f t="shared" si="32"/>
        <v>0</v>
      </c>
      <c r="Q79" s="868">
        <f t="shared" si="33"/>
        <v>0</v>
      </c>
      <c r="R79" s="443">
        <v>765</v>
      </c>
      <c r="S79" s="383">
        <f>+C79/R79</f>
        <v>0</v>
      </c>
      <c r="T79" s="384">
        <f t="shared" si="34"/>
        <v>0</v>
      </c>
      <c r="U79" s="383">
        <f t="shared" si="35"/>
        <v>0</v>
      </c>
      <c r="V79" s="605">
        <f>IF(D79=0,R79,(IF(E79=0,R79,R79/G79)))</f>
        <v>765</v>
      </c>
      <c r="W79" s="2"/>
      <c r="X79" s="940">
        <f t="shared" si="37"/>
        <v>0</v>
      </c>
      <c r="Y79" s="382">
        <f t="shared" si="38"/>
        <v>765</v>
      </c>
    </row>
    <row r="80" spans="1:25" s="463" customFormat="1" ht="15.75" thickBot="1">
      <c r="A80" s="676"/>
      <c r="B80" s="428" t="s">
        <v>662</v>
      </c>
      <c r="C80" s="437">
        <f>SUM(C68:C79)</f>
        <v>-95</v>
      </c>
      <c r="D80" s="438">
        <f>SUM(D68:D79)</f>
        <v>-94.8</v>
      </c>
      <c r="E80" s="570">
        <f>SUM('ACWP by JOB'!C75)</f>
        <v>-104.65849888004661</v>
      </c>
      <c r="F80" s="568">
        <f t="shared" si="28"/>
        <v>0.9978947368421053</v>
      </c>
      <c r="G80" s="569">
        <f t="shared" si="29"/>
        <v>0.9058031694937089</v>
      </c>
      <c r="H80" s="566">
        <f t="shared" si="30"/>
        <v>0.20000000000000284</v>
      </c>
      <c r="I80" s="439">
        <f t="shared" si="31"/>
        <v>9.85849888004661</v>
      </c>
      <c r="J80" s="445"/>
      <c r="K80" s="869">
        <f>SUM(K68:K79)</f>
        <v>3</v>
      </c>
      <c r="L80" s="870">
        <f>SUM('BCWP by JOB'!I75)</f>
        <v>2.3200000000000003</v>
      </c>
      <c r="M80" s="870">
        <f>SUM('ACWP by JOB'!K75)</f>
        <v>0</v>
      </c>
      <c r="N80" s="871">
        <f>+L80/K80</f>
        <v>0.7733333333333334</v>
      </c>
      <c r="O80" s="872" t="e">
        <f>+L80/M80</f>
        <v>#DIV/0!</v>
      </c>
      <c r="P80" s="873">
        <f t="shared" si="32"/>
        <v>-0.6799999999999997</v>
      </c>
      <c r="Q80" s="874">
        <f t="shared" si="33"/>
        <v>2.3200000000000003</v>
      </c>
      <c r="R80" s="606">
        <f>SUM(R66:R79)</f>
        <v>4326</v>
      </c>
      <c r="S80" s="464">
        <f>+C80/R80</f>
        <v>-0.021960240406842347</v>
      </c>
      <c r="T80" s="465">
        <f t="shared" si="34"/>
        <v>-0.02191400832177531</v>
      </c>
      <c r="U80" s="464">
        <f t="shared" si="35"/>
        <v>-0.024192903116053308</v>
      </c>
      <c r="V80" s="938">
        <f>SUM(V68:V79)</f>
        <v>4326.001421229586</v>
      </c>
      <c r="W80" s="305"/>
      <c r="X80" s="938">
        <f t="shared" si="37"/>
        <v>0.0014212295864126645</v>
      </c>
      <c r="Y80" s="385">
        <f>SUM(Y68:Y79)</f>
        <v>4326.001421229586</v>
      </c>
    </row>
    <row r="81" spans="1:25" s="442" customFormat="1" ht="14.25" customHeight="1" thickBot="1">
      <c r="A81" s="677"/>
      <c r="B81" s="462"/>
      <c r="C81" s="450"/>
      <c r="D81" s="450"/>
      <c r="E81" s="451"/>
      <c r="F81" s="452"/>
      <c r="G81" s="453"/>
      <c r="H81" s="454"/>
      <c r="I81" s="455"/>
      <c r="J81" s="445"/>
      <c r="K81" s="891"/>
      <c r="L81" s="891"/>
      <c r="M81" s="892"/>
      <c r="N81" s="893"/>
      <c r="O81" s="894"/>
      <c r="P81" s="895"/>
      <c r="Q81" s="896"/>
      <c r="R81" s="606"/>
      <c r="S81" s="383"/>
      <c r="T81" s="384"/>
      <c r="U81" s="383"/>
      <c r="V81" s="14"/>
      <c r="W81" s="14"/>
      <c r="X81" s="14"/>
      <c r="Y81" s="382"/>
    </row>
    <row r="82" spans="1:25" s="442" customFormat="1" ht="20.25" customHeight="1" thickBot="1">
      <c r="A82" s="678"/>
      <c r="B82" s="428" t="s">
        <v>833</v>
      </c>
      <c r="C82" s="437">
        <f>SUM(C80,C65,C37,C9)</f>
        <v>7737.71</v>
      </c>
      <c r="D82" s="438">
        <f>SUM(D80,D65,D37,D9)</f>
        <v>7049.547100000001</v>
      </c>
      <c r="E82" s="570">
        <f>SUM(E80,E65,E37,E9)</f>
        <v>6148.601562535116</v>
      </c>
      <c r="F82" s="568">
        <f>+D82/C82</f>
        <v>0.9110637514199939</v>
      </c>
      <c r="G82" s="572">
        <f>+D82/E82</f>
        <v>1.1465285282029916</v>
      </c>
      <c r="H82" s="566">
        <f t="shared" si="30"/>
        <v>-688.1628999999994</v>
      </c>
      <c r="I82" s="439">
        <f>+D82-E82</f>
        <v>900.9455374648851</v>
      </c>
      <c r="J82" s="466"/>
      <c r="K82" s="897">
        <f>SUM(K80,K65,K37,K9)</f>
        <v>1960.6100000000001</v>
      </c>
      <c r="L82" s="898">
        <f>SUM(L80,L65,L37,L9)</f>
        <v>1495.28658834</v>
      </c>
      <c r="M82" s="898">
        <f>SUM(M80,M65,M37,M9)</f>
        <v>872.049</v>
      </c>
      <c r="N82" s="899">
        <f>+L82/K82</f>
        <v>0.7626639608795222</v>
      </c>
      <c r="O82" s="900">
        <f>+L82/M82</f>
        <v>1.7146818451027408</v>
      </c>
      <c r="P82" s="901">
        <f t="shared" si="32"/>
        <v>-465.32341166000015</v>
      </c>
      <c r="Q82" s="902">
        <f>+L82-M82</f>
        <v>623.23758834</v>
      </c>
      <c r="R82" s="604">
        <f>SUM(R80,R65,R37,R9)</f>
        <v>50853</v>
      </c>
      <c r="S82" s="467">
        <f>+C82/R82</f>
        <v>0.1521583780701237</v>
      </c>
      <c r="T82" s="468">
        <f t="shared" si="34"/>
        <v>0.13862598273454863</v>
      </c>
      <c r="U82" s="467">
        <f t="shared" si="35"/>
        <v>0.12090931828083133</v>
      </c>
      <c r="V82" s="604">
        <f>SUM(V80,V65,V37,V9)</f>
        <v>50895.74689962765</v>
      </c>
      <c r="W82" s="606"/>
      <c r="X82" s="441">
        <f t="shared" si="37"/>
        <v>42.746899627651146</v>
      </c>
      <c r="Y82" s="683">
        <f>SUM(Y80,Y65,Y37,Y9)</f>
        <v>50895.74689962765</v>
      </c>
    </row>
    <row r="83" spans="1:25" s="442" customFormat="1" ht="15" customHeight="1">
      <c r="A83" s="1085"/>
      <c r="B83" s="1086"/>
      <c r="C83" s="444"/>
      <c r="D83" s="444"/>
      <c r="E83" s="444"/>
      <c r="F83" s="1087"/>
      <c r="G83" s="1088"/>
      <c r="H83" s="1089"/>
      <c r="I83" s="1092"/>
      <c r="J83" s="1092"/>
      <c r="K83" s="1101"/>
      <c r="L83" s="1101"/>
      <c r="M83" s="1101"/>
      <c r="N83" s="1102"/>
      <c r="O83" s="1103"/>
      <c r="P83" s="1104"/>
      <c r="Q83" s="1108" t="s">
        <v>829</v>
      </c>
      <c r="R83" s="1093">
        <f>SUM('Baseline Reconciliation'!N132)</f>
        <v>14380</v>
      </c>
      <c r="S83" s="1090"/>
      <c r="T83" s="1090"/>
      <c r="U83" s="1090"/>
      <c r="V83" s="606"/>
      <c r="W83" s="606"/>
      <c r="X83" s="441"/>
      <c r="Y83" s="1091"/>
    </row>
    <row r="84" spans="1:25" s="442" customFormat="1" ht="15" customHeight="1">
      <c r="A84" s="1085"/>
      <c r="B84" s="1107" t="s">
        <v>832</v>
      </c>
      <c r="C84" s="444"/>
      <c r="D84" s="444"/>
      <c r="E84" s="444"/>
      <c r="F84" s="1087"/>
      <c r="G84" s="1088"/>
      <c r="H84" s="1089"/>
      <c r="I84" s="1092"/>
      <c r="J84" s="1092"/>
      <c r="K84" s="1101"/>
      <c r="L84" s="1101"/>
      <c r="M84" s="1101"/>
      <c r="N84" s="1102"/>
      <c r="O84" s="1103"/>
      <c r="P84" s="1104"/>
      <c r="Q84" s="1108" t="s">
        <v>830</v>
      </c>
      <c r="R84" s="1093">
        <f>SUM('Baseline Reconciliation'!F134)</f>
        <v>67178.138</v>
      </c>
      <c r="S84" s="1090"/>
      <c r="T84" s="1090"/>
      <c r="U84" s="1090"/>
      <c r="V84" s="606"/>
      <c r="W84" s="606"/>
      <c r="X84" s="441"/>
      <c r="Y84" s="1091"/>
    </row>
    <row r="85" spans="1:25" s="442" customFormat="1" ht="15" customHeight="1">
      <c r="A85" s="1085"/>
      <c r="B85" s="1086"/>
      <c r="C85" s="444"/>
      <c r="D85" s="444"/>
      <c r="E85" s="444"/>
      <c r="F85" s="1087"/>
      <c r="G85" s="1088"/>
      <c r="H85" s="1089"/>
      <c r="I85" s="1092"/>
      <c r="J85" s="1092"/>
      <c r="K85" s="1101"/>
      <c r="L85" s="1101"/>
      <c r="M85" s="1101"/>
      <c r="N85" s="1102"/>
      <c r="O85" s="1103"/>
      <c r="P85" s="1104"/>
      <c r="Q85" s="1108" t="s">
        <v>831</v>
      </c>
      <c r="R85" s="1093">
        <f>SUM(R82:R84)</f>
        <v>132411.138</v>
      </c>
      <c r="S85" s="1090"/>
      <c r="T85" s="1090"/>
      <c r="U85" s="1090"/>
      <c r="V85" s="606"/>
      <c r="W85" s="606"/>
      <c r="X85" s="441"/>
      <c r="Y85" s="1091"/>
    </row>
    <row r="86" spans="1:25" s="442" customFormat="1" ht="20.25" customHeight="1">
      <c r="A86" s="1085"/>
      <c r="B86" s="1086"/>
      <c r="C86" s="444"/>
      <c r="D86" s="444"/>
      <c r="E86" s="444"/>
      <c r="F86" s="1087"/>
      <c r="G86" s="1088"/>
      <c r="H86" s="1089"/>
      <c r="I86" s="1092"/>
      <c r="J86" s="1092"/>
      <c r="K86" s="1101"/>
      <c r="L86" s="1101"/>
      <c r="M86" s="1101"/>
      <c r="N86" s="1102"/>
      <c r="O86" s="1103"/>
      <c r="P86" s="1104"/>
      <c r="R86" s="1093"/>
      <c r="S86" s="1090"/>
      <c r="T86" s="1090"/>
      <c r="U86" s="1090"/>
      <c r="V86" s="606"/>
      <c r="W86" s="606"/>
      <c r="X86" s="441"/>
      <c r="Y86" s="1091"/>
    </row>
    <row r="87" spans="1:25" s="442" customFormat="1" ht="20.25" customHeight="1">
      <c r="A87" s="1085"/>
      <c r="B87" s="1086"/>
      <c r="C87" s="444"/>
      <c r="D87" s="444"/>
      <c r="E87" s="444"/>
      <c r="F87" s="1087"/>
      <c r="G87" s="1088"/>
      <c r="H87" s="1089"/>
      <c r="I87" s="1092"/>
      <c r="J87" s="1092"/>
      <c r="K87" s="1101"/>
      <c r="L87" s="1101"/>
      <c r="M87" s="1101"/>
      <c r="N87" s="1102"/>
      <c r="O87" s="1103"/>
      <c r="P87" s="1104"/>
      <c r="Q87" s="1105"/>
      <c r="R87" s="1093"/>
      <c r="S87" s="1090"/>
      <c r="T87" s="1090"/>
      <c r="U87" s="1090"/>
      <c r="V87" s="606"/>
      <c r="W87" s="606"/>
      <c r="X87" s="441"/>
      <c r="Y87" s="1091"/>
    </row>
    <row r="88" spans="1:25" s="442" customFormat="1" ht="20.25" customHeight="1">
      <c r="A88" s="1085"/>
      <c r="B88" s="1086"/>
      <c r="C88" s="444"/>
      <c r="D88" s="444"/>
      <c r="E88" s="444"/>
      <c r="F88" s="1087"/>
      <c r="G88" s="1088"/>
      <c r="H88" s="1089"/>
      <c r="I88" s="1092"/>
      <c r="J88" s="1092"/>
      <c r="K88" s="1101"/>
      <c r="L88" s="1101"/>
      <c r="M88" s="1101"/>
      <c r="N88" s="1102"/>
      <c r="O88" s="1103"/>
      <c r="P88" s="1104"/>
      <c r="Q88" s="1105"/>
      <c r="R88" s="1093"/>
      <c r="S88" s="1090"/>
      <c r="T88" s="1090"/>
      <c r="U88" s="1090"/>
      <c r="V88" s="606"/>
      <c r="W88" s="606"/>
      <c r="X88" s="441"/>
      <c r="Y88" s="1091"/>
    </row>
    <row r="89" spans="1:25" s="1" customFormat="1" ht="27.75" customHeight="1">
      <c r="A89" s="673"/>
      <c r="B89" s="443"/>
      <c r="C89" s="295"/>
      <c r="D89" s="295"/>
      <c r="E89" s="295"/>
      <c r="F89" s="296"/>
      <c r="G89" s="297"/>
      <c r="H89" s="298"/>
      <c r="I89" s="1094"/>
      <c r="J89" s="1094"/>
      <c r="K89" s="1095"/>
      <c r="L89" s="1095"/>
      <c r="M89" s="1095"/>
      <c r="N89" s="1096"/>
      <c r="O89" s="1097"/>
      <c r="P89" s="1098"/>
      <c r="Q89" s="1099"/>
      <c r="R89" s="1100"/>
      <c r="V89" s="608"/>
      <c r="W89" s="608"/>
      <c r="X89" s="608"/>
      <c r="Y89" s="608"/>
    </row>
    <row r="90" spans="1:25" ht="15">
      <c r="A90" s="679"/>
      <c r="B90" s="609" t="s">
        <v>534</v>
      </c>
      <c r="C90" s="610">
        <f>SUM(C58,C57,C47:C48,C52,C7)</f>
        <v>1701</v>
      </c>
      <c r="D90" s="610">
        <f>SUM(D58,D57,D47:D48,D52,D7)</f>
        <v>1372.941</v>
      </c>
      <c r="E90" s="610">
        <f>SUM(E58,E57,E47:E48,E52,E7)</f>
        <v>1103.4505876727494</v>
      </c>
      <c r="F90" s="246">
        <f>+D90/C90</f>
        <v>0.8071375661375662</v>
      </c>
      <c r="G90" s="247">
        <f>+D90/E90</f>
        <v>1.2442251745006758</v>
      </c>
      <c r="H90" s="247"/>
      <c r="I90" s="248">
        <f>+D90-E90</f>
        <v>269.4904123272506</v>
      </c>
      <c r="J90" s="248"/>
      <c r="K90" s="611">
        <f>SUM(K58,K57,K47:K48,K52,K7)</f>
        <v>314</v>
      </c>
      <c r="L90" s="611">
        <f>SUM(L58,L57,L47:L48,L52,L7)</f>
        <v>255.71100000000007</v>
      </c>
      <c r="M90" s="611">
        <f>SUM(M58,M57,M47:M48,M52,M7)</f>
        <v>140.117</v>
      </c>
      <c r="N90" s="304">
        <f>+L90/K90</f>
        <v>0.8143662420382168</v>
      </c>
      <c r="O90" s="308">
        <f>+L90/M90</f>
        <v>1.824981979345833</v>
      </c>
      <c r="P90" s="308"/>
      <c r="Q90" s="2">
        <f>+L90-M90</f>
        <v>115.59400000000008</v>
      </c>
      <c r="R90" s="608"/>
      <c r="S90" s="608"/>
      <c r="T90" s="608"/>
      <c r="U90" s="608"/>
      <c r="V90" s="608"/>
      <c r="W90" s="608"/>
      <c r="X90" s="608"/>
      <c r="Y90" s="608"/>
    </row>
    <row r="91" spans="2:17" ht="15">
      <c r="B91" s="244" t="s">
        <v>535</v>
      </c>
      <c r="C91" s="245">
        <f>+C82-C90</f>
        <v>6036.71</v>
      </c>
      <c r="D91" s="245">
        <f>+D82-D90</f>
        <v>5676.606100000001</v>
      </c>
      <c r="E91" s="245">
        <f>+E82-E90</f>
        <v>5045.150974862367</v>
      </c>
      <c r="F91" s="246">
        <f>+D91/C91</f>
        <v>0.940347656256471</v>
      </c>
      <c r="G91" s="247">
        <f>+D91/E91</f>
        <v>1.1251607986131398</v>
      </c>
      <c r="H91" s="247"/>
      <c r="I91" s="248">
        <f>+D91-E91</f>
        <v>631.4551251376342</v>
      </c>
      <c r="J91" s="248"/>
      <c r="K91" s="307">
        <f>+K82-K90</f>
        <v>1646.6100000000001</v>
      </c>
      <c r="L91" s="307">
        <f>+L82-L90</f>
        <v>1239.57558834</v>
      </c>
      <c r="M91" s="307">
        <f>+M82-M90</f>
        <v>731.932</v>
      </c>
      <c r="N91" s="304">
        <f>+L91/K91</f>
        <v>0.7528046036037677</v>
      </c>
      <c r="O91" s="308">
        <f>+L91/M91</f>
        <v>1.6935665995474989</v>
      </c>
      <c r="P91" s="308"/>
      <c r="Q91" s="2">
        <f>+L91-M91</f>
        <v>507.64358833999995</v>
      </c>
    </row>
    <row r="92" spans="2:17" ht="13.5">
      <c r="B92" s="446" t="s">
        <v>538</v>
      </c>
      <c r="C92" s="241">
        <f>SUM(C57,C48,C19:C20,C15)</f>
        <v>3631.71</v>
      </c>
      <c r="D92" s="241">
        <f>SUM(D57,D48,D19:D20,D15)</f>
        <v>2932.089</v>
      </c>
      <c r="E92" s="241">
        <f>SUM(E57,E48,E19:E20,E15)</f>
        <v>2083.202567452112</v>
      </c>
      <c r="F92" s="252">
        <f>+D92/C92</f>
        <v>0.8073576910050637</v>
      </c>
      <c r="G92" s="253">
        <f>+D92/E92</f>
        <v>1.4074910648685162</v>
      </c>
      <c r="H92" s="254">
        <f>+D92-C92</f>
        <v>-699.6210000000001</v>
      </c>
      <c r="I92" s="255">
        <f>+D92-E92</f>
        <v>848.886432547888</v>
      </c>
      <c r="J92" s="255"/>
      <c r="K92" s="307">
        <f>SUM(K57,K48,K19:K20,K15)</f>
        <v>886.61</v>
      </c>
      <c r="L92" s="307">
        <f>SUM(L57,L48,L19:L20,L15)</f>
        <v>670.2390000000001</v>
      </c>
      <c r="M92" s="307">
        <f>SUM(M57,M48,M19:M20,M15)</f>
        <v>243.67499999999998</v>
      </c>
      <c r="N92" s="293">
        <f>+L92/K92</f>
        <v>0.7559569596553165</v>
      </c>
      <c r="O92" s="309">
        <f>+L92/M92</f>
        <v>2.7505447830101577</v>
      </c>
      <c r="P92" s="294">
        <f>+L92-K92</f>
        <v>-216.37099999999987</v>
      </c>
      <c r="Q92" s="3">
        <f>+L92-M92</f>
        <v>426.5640000000002</v>
      </c>
    </row>
    <row r="93" spans="2:17" ht="13.5">
      <c r="B93" s="446" t="s">
        <v>539</v>
      </c>
      <c r="C93" s="241">
        <f>SUM(C61,C50,C17:C19,C7)</f>
        <v>1107</v>
      </c>
      <c r="D93" s="241">
        <f>SUM(D61,D50,D17:D19,D7)</f>
        <v>970.8979999999999</v>
      </c>
      <c r="E93" s="241">
        <f>SUM(E61,E50,E17:E19,E7)</f>
        <v>1428.7079594294642</v>
      </c>
      <c r="F93" s="252">
        <f>+D93/C93</f>
        <v>0.8770532971996385</v>
      </c>
      <c r="G93" s="253">
        <f>+D93/E93</f>
        <v>0.6795636530139549</v>
      </c>
      <c r="H93" s="254">
        <f>+D93-C93</f>
        <v>-136.1020000000001</v>
      </c>
      <c r="I93" s="255">
        <f>+D93-E93</f>
        <v>-457.80995942946424</v>
      </c>
      <c r="J93" s="255"/>
      <c r="K93" s="307">
        <f>SUM(K61,K50,K17:K19,K7)</f>
        <v>229</v>
      </c>
      <c r="L93" s="307">
        <f>SUM(L61,L50,L17:L19,L7)</f>
        <v>136.57800000000003</v>
      </c>
      <c r="M93" s="307">
        <f>SUM(M61,M50,M17:M19,M7)</f>
        <v>145.61399999999998</v>
      </c>
      <c r="N93" s="293">
        <f>+L93/K93</f>
        <v>0.5964104803493451</v>
      </c>
      <c r="O93" s="309">
        <f>+L93/M93</f>
        <v>0.93794552721579</v>
      </c>
      <c r="P93" s="294">
        <f>+L93-K93</f>
        <v>-92.42199999999997</v>
      </c>
      <c r="Q93" s="3">
        <f>+L93-M93</f>
        <v>-9.035999999999945</v>
      </c>
    </row>
    <row r="94" spans="5:13" ht="12.75">
      <c r="E94" s="9"/>
      <c r="M94" s="9"/>
    </row>
    <row r="95" spans="5:13" ht="12.75">
      <c r="E95" s="9"/>
      <c r="M95" s="9"/>
    </row>
    <row r="96" spans="5:13" ht="12.75">
      <c r="E96" s="9"/>
      <c r="M96" s="9"/>
    </row>
    <row r="97" spans="3:13" ht="12.75">
      <c r="C97" s="426">
        <f>SUM(C60,C19)</f>
        <v>356</v>
      </c>
      <c r="D97" s="426">
        <f>SUM(D60,D19)</f>
        <v>262.7611</v>
      </c>
      <c r="E97" s="426">
        <f>SUM(E60,E19)</f>
        <v>212.66187252260067</v>
      </c>
      <c r="F97" s="567">
        <f>+D97/C97</f>
        <v>0.7380929775280899</v>
      </c>
      <c r="G97" s="571">
        <f>+D97/E97</f>
        <v>1.2355816154683534</v>
      </c>
      <c r="H97" s="565">
        <f>+D97-C97</f>
        <v>-93.2389</v>
      </c>
      <c r="I97" s="427">
        <f>+D97-E97</f>
        <v>50.099227477399324</v>
      </c>
      <c r="M97" s="9"/>
    </row>
    <row r="98" spans="5:13" ht="12.75">
      <c r="E98" s="9"/>
      <c r="M98" s="9"/>
    </row>
    <row r="99" spans="5:13" ht="12.75">
      <c r="E99" s="9"/>
      <c r="M99" s="9"/>
    </row>
    <row r="100" spans="5:13" ht="12.75">
      <c r="E100" s="9"/>
      <c r="M100" s="9"/>
    </row>
    <row r="101" spans="5:13" ht="12.75">
      <c r="E101" s="9"/>
      <c r="M101" s="9"/>
    </row>
    <row r="102" spans="5:13" ht="12.75">
      <c r="E102" s="9"/>
      <c r="M102" s="9"/>
    </row>
    <row r="103" spans="5:13" ht="12.75">
      <c r="E103" s="9"/>
      <c r="M103" s="9"/>
    </row>
    <row r="104" spans="5:13" ht="12.75">
      <c r="E104" s="9"/>
      <c r="M104" s="9"/>
    </row>
    <row r="105" spans="5:13" ht="12.75">
      <c r="E105" s="9"/>
      <c r="M105" s="9"/>
    </row>
    <row r="106" spans="5:13" ht="12.75">
      <c r="E106" s="9"/>
      <c r="M106" s="9"/>
    </row>
    <row r="107" spans="5:13" ht="12.75">
      <c r="E107" s="9"/>
      <c r="M107" s="9"/>
    </row>
    <row r="108" spans="5:13" ht="12.75">
      <c r="E108" s="9"/>
      <c r="M108" s="9"/>
    </row>
    <row r="109" spans="5:13" ht="12.75">
      <c r="E109" s="9"/>
      <c r="M109" s="9"/>
    </row>
    <row r="110" spans="5:13" ht="12.75">
      <c r="E110" s="9"/>
      <c r="M110" s="9"/>
    </row>
    <row r="111" spans="5:13" ht="12.75">
      <c r="E111" s="9"/>
      <c r="M111" s="9"/>
    </row>
    <row r="112" spans="5:13" ht="12.75">
      <c r="E112" s="9"/>
      <c r="M112" s="9"/>
    </row>
    <row r="113" spans="5:13" ht="12.75">
      <c r="E113" s="9"/>
      <c r="M113" s="9"/>
    </row>
    <row r="114" spans="5:13" ht="12.75">
      <c r="E114" s="9"/>
      <c r="M114" s="9"/>
    </row>
    <row r="115" spans="5:13" ht="12.75">
      <c r="E115" s="9"/>
      <c r="M115" s="9"/>
    </row>
    <row r="116" spans="5:13" ht="12.75">
      <c r="E116" s="9"/>
      <c r="M116" s="9"/>
    </row>
    <row r="117" spans="5:13" ht="12.75">
      <c r="E117" s="9"/>
      <c r="M117" s="9"/>
    </row>
    <row r="118" spans="5:13" ht="12.75">
      <c r="E118" s="9"/>
      <c r="M118" s="9"/>
    </row>
    <row r="119" spans="5:13" ht="12.75">
      <c r="E119" s="9"/>
      <c r="M119" s="9"/>
    </row>
    <row r="120" spans="5:13" ht="12.75">
      <c r="E120" s="9"/>
      <c r="M120" s="9"/>
    </row>
    <row r="121" spans="5:13" ht="12.75">
      <c r="E121" s="9"/>
      <c r="M121" s="9"/>
    </row>
    <row r="122" spans="5:13" ht="12.75">
      <c r="E122" s="9"/>
      <c r="M122" s="9"/>
    </row>
    <row r="123" spans="5:13" ht="12.75">
      <c r="E123" s="9"/>
      <c r="M123" s="9"/>
    </row>
    <row r="124" spans="5:13" ht="12.75">
      <c r="E124" s="9"/>
      <c r="M124" s="9"/>
    </row>
    <row r="125" spans="5:13" ht="12.75">
      <c r="E125" s="9"/>
      <c r="M125" s="9"/>
    </row>
    <row r="126" spans="5:13" ht="12.75">
      <c r="E126" s="9"/>
      <c r="M126" s="9"/>
    </row>
    <row r="127" spans="5:13" ht="12.75">
      <c r="E127" s="9"/>
      <c r="M127" s="9"/>
    </row>
    <row r="128" spans="5:13" ht="12.75">
      <c r="E128" s="9"/>
      <c r="M128" s="9"/>
    </row>
    <row r="129" spans="5:13" ht="12.75">
      <c r="E129" s="9"/>
      <c r="M129" s="9"/>
    </row>
    <row r="130" spans="5:13" ht="12.75">
      <c r="E130" s="9"/>
      <c r="M130" s="9"/>
    </row>
    <row r="131" spans="5:13" ht="12.75">
      <c r="E131" s="9"/>
      <c r="M131" s="9"/>
    </row>
    <row r="132" spans="5:13" ht="12.75">
      <c r="E132" s="9"/>
      <c r="M132" s="9"/>
    </row>
    <row r="133" spans="5:13" ht="12.75">
      <c r="E133" s="9"/>
      <c r="M133" s="9"/>
    </row>
    <row r="134" spans="5:13" ht="12.75">
      <c r="E134" s="9"/>
      <c r="M134" s="9"/>
    </row>
    <row r="135" spans="5:13" ht="12.75">
      <c r="E135" s="9"/>
      <c r="M135" s="9"/>
    </row>
    <row r="136" spans="5:13" ht="12.75">
      <c r="E136" s="9"/>
      <c r="M136" s="9"/>
    </row>
    <row r="137" spans="5:13" ht="12.75">
      <c r="E137" s="9"/>
      <c r="M137" s="9"/>
    </row>
    <row r="138" spans="5:13" ht="12.75">
      <c r="E138" s="9"/>
      <c r="M138" s="9"/>
    </row>
    <row r="139" spans="5:13" ht="12.75">
      <c r="E139" s="9"/>
      <c r="M139" s="9"/>
    </row>
    <row r="140" spans="5:13" ht="12.75">
      <c r="E140" s="9"/>
      <c r="M140" s="9"/>
    </row>
    <row r="141" spans="5:13" ht="12.75">
      <c r="E141" s="9"/>
      <c r="M141" s="9"/>
    </row>
    <row r="142" spans="5:13" ht="12.75">
      <c r="E142" s="9"/>
      <c r="M142" s="9"/>
    </row>
    <row r="143" spans="5:13" ht="12.75">
      <c r="E143" s="9"/>
      <c r="M143" s="9"/>
    </row>
    <row r="144" spans="5:13" ht="12.75">
      <c r="E144" s="9"/>
      <c r="M144" s="9"/>
    </row>
    <row r="145" spans="5:13" ht="12.75">
      <c r="E145" s="9"/>
      <c r="M145" s="9"/>
    </row>
    <row r="146" spans="5:13" ht="12.75">
      <c r="E146" s="9"/>
      <c r="M146" s="9"/>
    </row>
    <row r="147" spans="5:13" ht="12.75">
      <c r="E147" s="9"/>
      <c r="M147" s="9"/>
    </row>
    <row r="148" spans="5:13" ht="12.75">
      <c r="E148" s="9"/>
      <c r="M148" s="9"/>
    </row>
    <row r="149" spans="5:13" ht="12.75">
      <c r="E149" s="9"/>
      <c r="M149" s="9"/>
    </row>
    <row r="150" spans="5:13" ht="12.75">
      <c r="E150" s="9"/>
      <c r="M150" s="9"/>
    </row>
    <row r="151" spans="5:13" ht="12.75">
      <c r="E151" s="9"/>
      <c r="M151" s="9"/>
    </row>
    <row r="152" spans="5:13" ht="12.75">
      <c r="E152" s="9"/>
      <c r="M152" s="9"/>
    </row>
    <row r="153" spans="5:13" ht="12.75">
      <c r="E153" s="9"/>
      <c r="M153" s="9"/>
    </row>
    <row r="154" spans="5:13" ht="12.75">
      <c r="E154" s="9"/>
      <c r="M154" s="9"/>
    </row>
    <row r="155" spans="5:13" ht="12.75">
      <c r="E155" s="9"/>
      <c r="M155" s="9"/>
    </row>
    <row r="156" spans="5:13" ht="12.75">
      <c r="E156" s="9"/>
      <c r="M156" s="9"/>
    </row>
    <row r="157" spans="5:13" ht="12.75">
      <c r="E157" s="9"/>
      <c r="M157" s="9"/>
    </row>
    <row r="158" spans="5:13" ht="12.75">
      <c r="E158" s="9"/>
      <c r="M158" s="9"/>
    </row>
    <row r="159" spans="5:13" ht="12.75">
      <c r="E159" s="9"/>
      <c r="M159" s="9"/>
    </row>
    <row r="160" spans="5:13" ht="12.75">
      <c r="E160" s="9"/>
      <c r="M160" s="9"/>
    </row>
    <row r="161" spans="5:13" ht="12.75">
      <c r="E161" s="9"/>
      <c r="M161" s="9"/>
    </row>
  </sheetData>
  <conditionalFormatting sqref="F21:F36 N21:N36 N40:N43 N45:N46 N49 N51:N53 N55:N56 N63:N64 N69:N79">
    <cfRule type="expression" priority="1" dxfId="0" stopIfTrue="1">
      <formula>ISERROR(F21:F36)</formula>
    </cfRule>
  </conditionalFormatting>
  <conditionalFormatting sqref="O13 O15 G24 O24 G21:G22 O21:O22 O40:O43 O45:O46 O49 O51:O53 O55:O56 O63:O64 O69:O79">
    <cfRule type="expression" priority="2" dxfId="0" stopIfTrue="1">
      <formula>ISERROR(G13:G71)</formula>
    </cfRule>
  </conditionalFormatting>
  <conditionalFormatting sqref="F43 F40:F41">
    <cfRule type="expression" priority="3" dxfId="0" stopIfTrue="1">
      <formula>ISERROR(F40:F79)</formula>
    </cfRule>
  </conditionalFormatting>
  <conditionalFormatting sqref="G29 O29">
    <cfRule type="expression" priority="4" dxfId="0" stopIfTrue="1">
      <formula>ISERROR(G29:G91)</formula>
    </cfRule>
  </conditionalFormatting>
  <conditionalFormatting sqref="G30 O30">
    <cfRule type="expression" priority="5" dxfId="0" stopIfTrue="1">
      <formula>ISERROR(G30:G91)</formula>
    </cfRule>
  </conditionalFormatting>
  <conditionalFormatting sqref="F48 N48">
    <cfRule type="expression" priority="6" dxfId="0" stopIfTrue="1">
      <formula>ISERROR(F48:F91)</formula>
    </cfRule>
  </conditionalFormatting>
  <conditionalFormatting sqref="F49">
    <cfRule type="expression" priority="7" dxfId="0" stopIfTrue="1">
      <formula>ISERROR(F49:F91)</formula>
    </cfRule>
  </conditionalFormatting>
  <conditionalFormatting sqref="G25 O25">
    <cfRule type="expression" priority="8" dxfId="0" stopIfTrue="1">
      <formula>ISERROR(G25:G82)</formula>
    </cfRule>
  </conditionalFormatting>
  <conditionalFormatting sqref="F44 N44">
    <cfRule type="expression" priority="9" dxfId="0" stopIfTrue="1">
      <formula>ISERROR(F44:F82)</formula>
    </cfRule>
  </conditionalFormatting>
  <conditionalFormatting sqref="G23 O23 G68:G79">
    <cfRule type="expression" priority="10" dxfId="0" stopIfTrue="1">
      <formula>ISERROR(G23:G82)</formula>
    </cfRule>
  </conditionalFormatting>
  <conditionalFormatting sqref="F42 F68:F79">
    <cfRule type="expression" priority="11" dxfId="0" stopIfTrue="1">
      <formula>ISERROR(F42:F82)</formula>
    </cfRule>
  </conditionalFormatting>
  <conditionalFormatting sqref="G97">
    <cfRule type="expression" priority="12" dxfId="0" stopIfTrue="1">
      <formula>ISERROR(G97:G150)</formula>
    </cfRule>
  </conditionalFormatting>
  <conditionalFormatting sqref="F97">
    <cfRule type="expression" priority="13" dxfId="0" stopIfTrue="1">
      <formula>ISERROR(F97:F131)</formula>
    </cfRule>
  </conditionalFormatting>
  <conditionalFormatting sqref="G26:G27 O26:O27">
    <cfRule type="expression" priority="14" dxfId="0" stopIfTrue="1">
      <formula>ISERROR(G26:G90)</formula>
    </cfRule>
  </conditionalFormatting>
  <conditionalFormatting sqref="F45:F46">
    <cfRule type="expression" priority="15" dxfId="0" stopIfTrue="1">
      <formula>ISERROR(F45:F90)</formula>
    </cfRule>
  </conditionalFormatting>
  <conditionalFormatting sqref="G28 O28">
    <cfRule type="expression" priority="16" dxfId="0" stopIfTrue="1">
      <formula>ISERROR(G28:G91)</formula>
    </cfRule>
  </conditionalFormatting>
  <conditionalFormatting sqref="F47 N47">
    <cfRule type="expression" priority="17" dxfId="0" stopIfTrue="1">
      <formula>ISERROR(F47:F91)</formula>
    </cfRule>
  </conditionalFormatting>
  <conditionalFormatting sqref="G31:G67 O65:O67 O50 O54 O44 O31:O39 O47:O48 O58:O62">
    <cfRule type="expression" priority="18" dxfId="0" stopIfTrue="1">
      <formula>ISERROR(G31:G91)</formula>
    </cfRule>
  </conditionalFormatting>
  <conditionalFormatting sqref="F50:F67 N54 N57:N62 N50 N65:N67">
    <cfRule type="expression" priority="19" dxfId="0" stopIfTrue="1">
      <formula>ISERROR(F50:F91)</formula>
    </cfRule>
  </conditionalFormatting>
  <conditionalFormatting sqref="F80:F89 N80:N89">
    <cfRule type="expression" priority="20" dxfId="0" stopIfTrue="1">
      <formula>ISERROR($F$6:$F$82)</formula>
    </cfRule>
  </conditionalFormatting>
  <conditionalFormatting sqref="F6:G20 N6:N20 O6:O12 O14 O16:O20">
    <cfRule type="expression" priority="21" dxfId="0" stopIfTrue="1">
      <formula>ISERROR($F$6:$G$79)</formula>
    </cfRule>
  </conditionalFormatting>
  <conditionalFormatting sqref="E35">
    <cfRule type="expression" priority="22" dxfId="0" stopIfTrue="1">
      <formula>ISERROR($F$21:$G$37)</formula>
    </cfRule>
  </conditionalFormatting>
  <conditionalFormatting sqref="F37:F39 N37:N39">
    <cfRule type="expression" priority="23" dxfId="0" stopIfTrue="1">
      <formula>ISERROR($F$24:$F$37)</formula>
    </cfRule>
  </conditionalFormatting>
  <conditionalFormatting sqref="N68:O68 O57">
    <cfRule type="expression" priority="24" dxfId="1" stopIfTrue="1">
      <formula>ISERROR(N57:N97)</formula>
    </cfRule>
  </conditionalFormatting>
  <printOptions gridLines="1" headings="1"/>
  <pageMargins left="0.44" right="0.2" top="0.36" bottom="0.37" header="0.21" footer="0.17"/>
  <pageSetup fitToHeight="1" fitToWidth="1" horizontalDpi="600" verticalDpi="600" orientation="landscape" paperSize="218" scale="72" r:id="rId2"/>
  <headerFooter alignWithMargins="0">
    <oddFooter>&amp;C&amp;F                    &amp;A             &amp;D      &amp;T</oddFooter>
  </headerFooter>
  <ignoredErrors>
    <ignoredError sqref="K66 F89:N94 O13:O15 L65:M66 N21:O36 F21:J36 F40:J66 F68:J80 F82:N82 N80 N65:N66 N44 N57:N62 N54 N50 N47:N48" evalError="1"/>
    <ignoredError sqref="P89:Q93 O38:O39 P68:Q80 P38:P66 Q39:Q66 P82:Q82" formula="1"/>
    <ignoredError sqref="O89:O93 O80 O82 O65:O66 O50 O54 O44 O47:O48 O58:O62" evalError="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"/>
  <sheetViews>
    <sheetView workbookViewId="0" topLeftCell="A1">
      <selection activeCell="P15" sqref="P15"/>
    </sheetView>
  </sheetViews>
  <sheetFormatPr defaultColWidth="9.140625" defaultRowHeight="12.75"/>
  <cols>
    <col min="1" max="1" width="46.4218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9.421875" style="86" customWidth="1"/>
    <col min="7" max="7" width="14.00390625" style="86" customWidth="1"/>
    <col min="8" max="8" width="3.140625" style="86" customWidth="1"/>
    <col min="9" max="9" width="5.28125" style="86" customWidth="1"/>
    <col min="10" max="10" width="7.140625" style="86" customWidth="1"/>
    <col min="11" max="11" width="8.7109375" style="86" customWidth="1"/>
    <col min="12" max="12" width="2.7109375" style="86" customWidth="1"/>
    <col min="13" max="13" width="110.140625" style="278" customWidth="1"/>
    <col min="14" max="14" width="5.00390625" style="86" customWidth="1"/>
    <col min="15" max="16" width="13.140625" style="86" customWidth="1"/>
    <col min="17" max="17" width="9.57421875" style="86" customWidth="1"/>
    <col min="18" max="16384" width="13.140625" style="86" customWidth="1"/>
  </cols>
  <sheetData>
    <row r="1" spans="1:21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71"/>
      <c r="N1" s="25"/>
      <c r="O1" s="25"/>
      <c r="P1" s="25"/>
      <c r="Q1" s="25"/>
      <c r="R1" s="25"/>
      <c r="S1"/>
      <c r="T1"/>
      <c r="U1"/>
    </row>
    <row r="2" spans="1:21" ht="17.25">
      <c r="A2" s="26" t="s">
        <v>491</v>
      </c>
      <c r="B2" s="27"/>
      <c r="C2" s="27"/>
      <c r="D2" s="28"/>
      <c r="E2" s="28"/>
      <c r="F2" s="28"/>
      <c r="G2" s="29"/>
      <c r="H2" s="30" t="s">
        <v>186</v>
      </c>
      <c r="I2" s="25"/>
      <c r="J2" s="25"/>
      <c r="K2" s="25"/>
      <c r="L2" s="25"/>
      <c r="M2" s="271"/>
      <c r="N2" s="25"/>
      <c r="O2" s="25"/>
      <c r="P2" s="25"/>
      <c r="Q2" s="25"/>
      <c r="R2" s="25"/>
      <c r="S2"/>
      <c r="T2"/>
      <c r="U2"/>
    </row>
    <row r="3" spans="1:21" ht="15.75" thickBot="1">
      <c r="A3" s="1250" t="s">
        <v>19</v>
      </c>
      <c r="B3" s="1251"/>
      <c r="C3" s="1251"/>
      <c r="D3" s="1252"/>
      <c r="E3" s="31" t="s">
        <v>17</v>
      </c>
      <c r="F3" s="32" t="s">
        <v>21</v>
      </c>
      <c r="G3" s="33" t="s">
        <v>18</v>
      </c>
      <c r="H3" s="30"/>
      <c r="I3" s="25"/>
      <c r="J3" s="25"/>
      <c r="K3" s="25"/>
      <c r="L3" s="25"/>
      <c r="M3" s="271"/>
      <c r="N3" s="25"/>
      <c r="O3" s="25"/>
      <c r="P3" s="25"/>
      <c r="Q3" s="25"/>
      <c r="R3" s="25"/>
      <c r="S3"/>
      <c r="T3"/>
      <c r="U3"/>
    </row>
    <row r="4" spans="1:21" ht="20.25">
      <c r="A4" s="236" t="s">
        <v>536</v>
      </c>
      <c r="B4" s="34"/>
      <c r="C4" s="34"/>
      <c r="D4" s="34"/>
      <c r="E4" s="237" t="s">
        <v>487</v>
      </c>
      <c r="F4" s="35"/>
      <c r="G4" s="614">
        <v>39386</v>
      </c>
      <c r="H4" s="36"/>
      <c r="I4" s="37"/>
      <c r="J4" s="37"/>
      <c r="K4" s="37"/>
      <c r="L4" s="37"/>
      <c r="M4" s="272"/>
      <c r="N4" s="37"/>
      <c r="O4" s="37"/>
      <c r="P4" s="37"/>
      <c r="Q4" s="37"/>
      <c r="R4" s="37"/>
      <c r="S4"/>
      <c r="T4"/>
      <c r="U4"/>
    </row>
    <row r="5" spans="1:21" ht="4.5" customHeight="1">
      <c r="A5" s="205"/>
      <c r="B5" s="230"/>
      <c r="C5" s="193"/>
      <c r="D5" s="198"/>
      <c r="E5" s="199"/>
      <c r="F5" s="193"/>
      <c r="G5" s="206"/>
      <c r="H5" s="25"/>
      <c r="I5" s="25"/>
      <c r="J5" s="25"/>
      <c r="K5" s="25"/>
      <c r="L5" s="25"/>
      <c r="M5" s="271"/>
      <c r="N5" s="25"/>
      <c r="O5" s="25"/>
      <c r="P5" s="25"/>
      <c r="Q5" s="25"/>
      <c r="R5" s="25"/>
      <c r="S5"/>
      <c r="T5"/>
      <c r="U5"/>
    </row>
    <row r="6" spans="1:21" ht="6" customHeight="1" thickBot="1">
      <c r="A6" s="1253"/>
      <c r="B6" s="1254"/>
      <c r="C6" s="1254"/>
      <c r="D6" s="1254"/>
      <c r="E6" s="190"/>
      <c r="F6" s="39"/>
      <c r="G6" s="40"/>
      <c r="H6" s="25"/>
      <c r="I6" s="25"/>
      <c r="J6" s="25"/>
      <c r="K6" s="25"/>
      <c r="L6" s="25"/>
      <c r="M6" s="271"/>
      <c r="N6" s="25"/>
      <c r="O6" s="25"/>
      <c r="P6" s="25"/>
      <c r="Q6" s="25"/>
      <c r="R6" s="41"/>
      <c r="S6"/>
      <c r="T6"/>
      <c r="U6"/>
    </row>
    <row r="7" spans="1:21" ht="4.5" customHeight="1" thickBot="1">
      <c r="A7" s="1255"/>
      <c r="B7" s="1255"/>
      <c r="C7" s="1255"/>
      <c r="D7" s="1256"/>
      <c r="E7" s="1255"/>
      <c r="F7" s="1256"/>
      <c r="G7" s="1256"/>
      <c r="H7"/>
      <c r="I7"/>
      <c r="J7"/>
      <c r="K7"/>
      <c r="L7"/>
      <c r="M7" s="273"/>
      <c r="N7"/>
      <c r="O7"/>
      <c r="P7"/>
      <c r="Q7"/>
      <c r="R7"/>
      <c r="S7"/>
      <c r="T7"/>
      <c r="U7"/>
    </row>
    <row r="8" spans="1:21" ht="13.5">
      <c r="A8" s="1244" t="s">
        <v>1</v>
      </c>
      <c r="B8" s="1245"/>
      <c r="C8" s="1245"/>
      <c r="D8" s="1246"/>
      <c r="E8" s="1246"/>
      <c r="F8" s="1246"/>
      <c r="G8" s="1247"/>
      <c r="H8"/>
      <c r="I8"/>
      <c r="J8"/>
      <c r="K8"/>
      <c r="L8"/>
      <c r="M8" s="273"/>
      <c r="N8"/>
      <c r="O8"/>
      <c r="P8"/>
      <c r="Q8"/>
      <c r="R8"/>
      <c r="S8"/>
      <c r="T8"/>
      <c r="U8"/>
    </row>
    <row r="9" spans="1:21" ht="12.75">
      <c r="A9" s="1217"/>
      <c r="B9" s="1218"/>
      <c r="C9" s="1218"/>
      <c r="D9" s="1188"/>
      <c r="E9" s="1188"/>
      <c r="F9" s="1188"/>
      <c r="G9" s="1219"/>
      <c r="H9"/>
      <c r="I9"/>
      <c r="J9"/>
      <c r="K9"/>
      <c r="L9"/>
      <c r="M9" s="273"/>
      <c r="N9"/>
      <c r="O9"/>
      <c r="P9"/>
      <c r="Q9"/>
      <c r="R9"/>
      <c r="S9"/>
      <c r="T9"/>
      <c r="U9"/>
    </row>
    <row r="10" spans="1:21" ht="12.75">
      <c r="A10" s="1217"/>
      <c r="B10" s="1218"/>
      <c r="C10" s="1218"/>
      <c r="D10" s="1188"/>
      <c r="E10" s="1188"/>
      <c r="F10" s="1188"/>
      <c r="G10" s="1219"/>
      <c r="H10"/>
      <c r="I10"/>
      <c r="J10"/>
      <c r="K10"/>
      <c r="L10"/>
      <c r="M10" s="273"/>
      <c r="N10"/>
      <c r="O10"/>
      <c r="P10"/>
      <c r="Q10"/>
      <c r="R10"/>
      <c r="S10"/>
      <c r="T10"/>
      <c r="U10"/>
    </row>
    <row r="11" spans="1:21" ht="12.75">
      <c r="A11" s="1217"/>
      <c r="B11" s="1218"/>
      <c r="C11" s="1218"/>
      <c r="D11" s="1188"/>
      <c r="E11" s="1188"/>
      <c r="F11" s="1188"/>
      <c r="G11" s="1219"/>
      <c r="H11"/>
      <c r="I11"/>
      <c r="J11"/>
      <c r="K11"/>
      <c r="L11"/>
      <c r="M11" s="273"/>
      <c r="N11"/>
      <c r="O11"/>
      <c r="P11"/>
      <c r="Q11"/>
      <c r="R11"/>
      <c r="S11"/>
      <c r="T11"/>
      <c r="U11"/>
    </row>
    <row r="12" spans="1:22" ht="13.5">
      <c r="A12" s="1220"/>
      <c r="B12" s="1188"/>
      <c r="C12" s="1188"/>
      <c r="D12" s="1188"/>
      <c r="E12" s="1188"/>
      <c r="F12" s="1188"/>
      <c r="G12" s="1219"/>
      <c r="H12"/>
      <c r="I12"/>
      <c r="J12"/>
      <c r="K12"/>
      <c r="L12"/>
      <c r="M12" s="273"/>
      <c r="N12"/>
      <c r="O12" s="978" t="s">
        <v>524</v>
      </c>
      <c r="P12" s="978" t="s">
        <v>67</v>
      </c>
      <c r="Q12" s="978">
        <v>1361</v>
      </c>
      <c r="R12" s="979" t="s">
        <v>68</v>
      </c>
      <c r="S12" s="979">
        <v>39353</v>
      </c>
      <c r="T12" s="979">
        <v>39386</v>
      </c>
      <c r="U12" s="980">
        <v>39417</v>
      </c>
      <c r="V12" s="995">
        <v>2</v>
      </c>
    </row>
    <row r="13" spans="1:22" ht="13.5">
      <c r="A13" s="1220"/>
      <c r="B13" s="1188"/>
      <c r="C13" s="1188"/>
      <c r="D13" s="1188"/>
      <c r="E13" s="1188"/>
      <c r="F13" s="1188"/>
      <c r="G13" s="1219"/>
      <c r="H13"/>
      <c r="I13"/>
      <c r="J13"/>
      <c r="K13"/>
      <c r="L13"/>
      <c r="M13" s="273"/>
      <c r="N13"/>
      <c r="O13" s="978" t="s">
        <v>522</v>
      </c>
      <c r="P13" s="978" t="s">
        <v>545</v>
      </c>
      <c r="Q13" s="978">
        <v>1421</v>
      </c>
      <c r="R13" s="979" t="s">
        <v>62</v>
      </c>
      <c r="S13" s="979">
        <v>39329</v>
      </c>
      <c r="T13" s="981" t="s">
        <v>820</v>
      </c>
      <c r="U13" s="980">
        <v>39387</v>
      </c>
      <c r="V13" s="995">
        <v>2</v>
      </c>
    </row>
    <row r="14" spans="1:21" ht="12.75">
      <c r="A14" s="1248"/>
      <c r="B14" s="1192"/>
      <c r="C14" s="1192"/>
      <c r="D14" s="1192"/>
      <c r="E14" s="1192"/>
      <c r="F14" s="1192"/>
      <c r="G14" s="1249"/>
      <c r="H14"/>
      <c r="I14"/>
      <c r="J14"/>
      <c r="K14"/>
      <c r="L14"/>
      <c r="M14" s="273"/>
      <c r="N14"/>
      <c r="O14"/>
      <c r="P14"/>
      <c r="Q14"/>
      <c r="R14"/>
      <c r="S14"/>
      <c r="T14"/>
      <c r="U14"/>
    </row>
    <row r="15" spans="1:22" ht="13.5">
      <c r="A15" s="1213" t="s">
        <v>2</v>
      </c>
      <c r="B15" s="1214"/>
      <c r="C15" s="1214"/>
      <c r="D15" s="1215"/>
      <c r="E15" s="1215"/>
      <c r="F15" s="1215"/>
      <c r="G15" s="1216"/>
      <c r="H15"/>
      <c r="I15"/>
      <c r="J15"/>
      <c r="K15"/>
      <c r="L15"/>
      <c r="M15" s="273"/>
      <c r="N15"/>
      <c r="O15" s="322" t="s">
        <v>151</v>
      </c>
      <c r="P15" s="322" t="s">
        <v>44</v>
      </c>
      <c r="Q15" s="322">
        <v>1431</v>
      </c>
      <c r="R15" s="322" t="s">
        <v>152</v>
      </c>
      <c r="S15" s="1014">
        <v>39345</v>
      </c>
      <c r="T15" s="1014">
        <v>39458</v>
      </c>
      <c r="U15" s="1015">
        <v>39417</v>
      </c>
      <c r="V15" s="1016">
        <v>2</v>
      </c>
    </row>
    <row r="16" spans="1:21" ht="12.75">
      <c r="A16" s="1217"/>
      <c r="B16" s="1218"/>
      <c r="C16" s="1218"/>
      <c r="D16" s="1188"/>
      <c r="E16" s="1188"/>
      <c r="F16" s="1188"/>
      <c r="G16" s="1219"/>
      <c r="H16"/>
      <c r="I16"/>
      <c r="J16"/>
      <c r="K16"/>
      <c r="L16"/>
      <c r="M16" s="273"/>
      <c r="N16"/>
      <c r="O16"/>
      <c r="P16"/>
      <c r="Q16"/>
      <c r="R16"/>
      <c r="S16"/>
      <c r="T16"/>
      <c r="U16"/>
    </row>
    <row r="17" spans="1:21" ht="12.75">
      <c r="A17" s="1217"/>
      <c r="B17" s="1218"/>
      <c r="C17" s="1218"/>
      <c r="D17" s="1188"/>
      <c r="E17" s="1188"/>
      <c r="F17" s="1188"/>
      <c r="G17" s="1219"/>
      <c r="H17"/>
      <c r="I17"/>
      <c r="J17"/>
      <c r="K17"/>
      <c r="L17"/>
      <c r="M17" s="273"/>
      <c r="N17"/>
      <c r="O17"/>
      <c r="P17"/>
      <c r="Q17"/>
      <c r="R17"/>
      <c r="S17"/>
      <c r="T17"/>
      <c r="U17"/>
    </row>
    <row r="18" spans="1:21" ht="12.75">
      <c r="A18" s="1217"/>
      <c r="B18" s="1218"/>
      <c r="C18" s="1218"/>
      <c r="D18" s="1188"/>
      <c r="E18" s="1188"/>
      <c r="F18" s="1188"/>
      <c r="G18" s="1219"/>
      <c r="H18"/>
      <c r="I18"/>
      <c r="J18"/>
      <c r="K18"/>
      <c r="L18"/>
      <c r="M18" s="273"/>
      <c r="N18"/>
      <c r="O18"/>
      <c r="P18"/>
      <c r="Q18"/>
      <c r="R18"/>
      <c r="S18"/>
      <c r="T18"/>
      <c r="U18"/>
    </row>
    <row r="19" spans="1:21" ht="12.75">
      <c r="A19" s="1217"/>
      <c r="B19" s="1218"/>
      <c r="C19" s="1218"/>
      <c r="D19" s="1188"/>
      <c r="E19" s="1188"/>
      <c r="F19" s="1188"/>
      <c r="G19" s="1219"/>
      <c r="H19"/>
      <c r="I19"/>
      <c r="J19"/>
      <c r="K19"/>
      <c r="L19"/>
      <c r="M19" s="273"/>
      <c r="N19"/>
      <c r="O19"/>
      <c r="P19"/>
      <c r="Q19"/>
      <c r="R19"/>
      <c r="S19"/>
      <c r="T19"/>
      <c r="U19"/>
    </row>
    <row r="20" spans="1:21" ht="12.75">
      <c r="A20" s="1220"/>
      <c r="B20" s="1188"/>
      <c r="C20" s="1188"/>
      <c r="D20" s="1188"/>
      <c r="E20" s="1188"/>
      <c r="F20" s="1188"/>
      <c r="G20" s="1219"/>
      <c r="H20"/>
      <c r="I20"/>
      <c r="J20"/>
      <c r="K20"/>
      <c r="L20"/>
      <c r="M20" s="273"/>
      <c r="N20"/>
      <c r="O20"/>
      <c r="P20"/>
      <c r="Q20"/>
      <c r="R20"/>
      <c r="S20"/>
      <c r="T20"/>
      <c r="U20"/>
    </row>
    <row r="21" spans="1:21" ht="12.75">
      <c r="A21" s="1220"/>
      <c r="B21" s="1188"/>
      <c r="C21" s="1188"/>
      <c r="D21" s="1188"/>
      <c r="E21" s="1188"/>
      <c r="F21" s="1188"/>
      <c r="G21" s="1219"/>
      <c r="H21"/>
      <c r="I21"/>
      <c r="J21"/>
      <c r="K21"/>
      <c r="L21"/>
      <c r="M21" s="273"/>
      <c r="N21"/>
      <c r="O21"/>
      <c r="P21"/>
      <c r="Q21"/>
      <c r="R21"/>
      <c r="S21"/>
      <c r="T21"/>
      <c r="U21"/>
    </row>
    <row r="22" spans="1:21" ht="12.75">
      <c r="A22" s="1248"/>
      <c r="B22" s="1192"/>
      <c r="C22" s="1192"/>
      <c r="D22" s="1192"/>
      <c r="E22" s="1192"/>
      <c r="F22" s="1192"/>
      <c r="G22" s="1249"/>
      <c r="H22"/>
      <c r="I22"/>
      <c r="J22"/>
      <c r="K22"/>
      <c r="L22"/>
      <c r="M22" s="273"/>
      <c r="N22"/>
      <c r="O22"/>
      <c r="P22"/>
      <c r="Q22"/>
      <c r="R22"/>
      <c r="S22"/>
      <c r="T22"/>
      <c r="U22"/>
    </row>
    <row r="23" spans="1:23" ht="13.5">
      <c r="A23" s="1213" t="s">
        <v>16</v>
      </c>
      <c r="B23" s="1214"/>
      <c r="C23" s="1214"/>
      <c r="D23" s="1215"/>
      <c r="E23" s="1215"/>
      <c r="F23" s="1215"/>
      <c r="G23" s="1216"/>
      <c r="H23"/>
      <c r="I23"/>
      <c r="J23"/>
      <c r="K23"/>
      <c r="L23"/>
      <c r="M23" s="273"/>
      <c r="N23"/>
      <c r="O23" t="s">
        <v>51</v>
      </c>
      <c r="P23" t="s">
        <v>52</v>
      </c>
      <c r="Q23" t="s">
        <v>54</v>
      </c>
      <c r="R23" t="s">
        <v>55</v>
      </c>
      <c r="S23" t="s">
        <v>503</v>
      </c>
      <c r="T23" t="s">
        <v>57</v>
      </c>
      <c r="U23" t="s">
        <v>727</v>
      </c>
      <c r="V23" s="86" t="s">
        <v>53</v>
      </c>
      <c r="W23" s="86" t="s">
        <v>729</v>
      </c>
    </row>
    <row r="24" spans="1:23" ht="12.75">
      <c r="A24" s="1217"/>
      <c r="B24" s="1218"/>
      <c r="C24" s="1218"/>
      <c r="D24" s="1188"/>
      <c r="E24" s="1188"/>
      <c r="F24" s="1188"/>
      <c r="G24" s="1219"/>
      <c r="H24"/>
      <c r="I24"/>
      <c r="J24"/>
      <c r="K24"/>
      <c r="L24"/>
      <c r="M24" s="273"/>
      <c r="N24"/>
      <c r="W24" s="86">
        <v>-39</v>
      </c>
    </row>
    <row r="25" spans="1:21" ht="12.75">
      <c r="A25" s="1217"/>
      <c r="B25" s="1218"/>
      <c r="C25" s="1218"/>
      <c r="D25" s="1188"/>
      <c r="E25" s="1188"/>
      <c r="F25" s="1188"/>
      <c r="G25" s="1219"/>
      <c r="H25" s="25"/>
      <c r="I25" s="25"/>
      <c r="J25" s="25"/>
      <c r="K25" s="25"/>
      <c r="L25" s="25"/>
      <c r="M25" s="271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217"/>
      <c r="B26" s="1218"/>
      <c r="C26" s="1218"/>
      <c r="D26" s="1188"/>
      <c r="E26" s="1188"/>
      <c r="F26" s="1188"/>
      <c r="G26" s="1219"/>
      <c r="H26" s="25"/>
      <c r="I26" s="25"/>
      <c r="J26" s="25"/>
      <c r="K26" s="25"/>
      <c r="L26" s="25"/>
      <c r="M26" s="271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1217"/>
      <c r="B27" s="1218"/>
      <c r="C27" s="1218"/>
      <c r="D27" s="1188"/>
      <c r="E27" s="1188"/>
      <c r="F27" s="1188"/>
      <c r="G27" s="1219"/>
      <c r="H27" s="25"/>
      <c r="I27" s="25"/>
      <c r="J27" s="25"/>
      <c r="K27" s="25"/>
      <c r="L27" s="25"/>
      <c r="M27" s="271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1220"/>
      <c r="B28" s="1188"/>
      <c r="C28" s="1188"/>
      <c r="D28" s="1188"/>
      <c r="E28" s="1188"/>
      <c r="F28" s="1188"/>
      <c r="G28" s="1219"/>
      <c r="H28" s="25"/>
      <c r="I28" s="25"/>
      <c r="J28" s="25"/>
      <c r="K28" s="25"/>
      <c r="L28" s="25"/>
      <c r="M28" s="271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1220"/>
      <c r="B29" s="1188"/>
      <c r="C29" s="1188"/>
      <c r="D29" s="1188"/>
      <c r="E29" s="1188"/>
      <c r="F29" s="1188"/>
      <c r="G29" s="1219"/>
      <c r="H29" s="25"/>
      <c r="I29" s="25"/>
      <c r="J29" s="25"/>
      <c r="K29" s="25"/>
      <c r="L29" s="25"/>
      <c r="M29" s="271"/>
      <c r="N29" s="25"/>
      <c r="O29" s="25"/>
      <c r="P29" s="25"/>
      <c r="Q29" s="25"/>
      <c r="R29" s="25"/>
      <c r="S29" s="25"/>
      <c r="T29" s="25"/>
      <c r="U29" s="25"/>
    </row>
    <row r="30" spans="1:21" ht="13.5" thickBot="1">
      <c r="A30" s="1221"/>
      <c r="B30" s="1222"/>
      <c r="C30" s="1222"/>
      <c r="D30" s="1222"/>
      <c r="E30" s="1222"/>
      <c r="F30" s="1222"/>
      <c r="G30" s="1223"/>
      <c r="H30" s="25"/>
      <c r="I30" s="25"/>
      <c r="J30" s="25"/>
      <c r="K30" s="25"/>
      <c r="L30" s="25"/>
      <c r="M30" s="271"/>
      <c r="N30" s="25"/>
      <c r="O30" s="25"/>
      <c r="P30" s="25"/>
      <c r="Q30" s="25"/>
      <c r="R30" s="25"/>
      <c r="S30" s="25"/>
      <c r="T30" s="25"/>
      <c r="U30" s="25"/>
    </row>
    <row r="31" spans="1:21" ht="6.75" customHeight="1" thickBot="1">
      <c r="A31" s="42"/>
      <c r="B31" s="42"/>
      <c r="C31" s="42"/>
      <c r="D31" s="42"/>
      <c r="E31" s="42"/>
      <c r="F31" s="42"/>
      <c r="G31" s="42"/>
      <c r="H31" s="25"/>
      <c r="I31" s="25"/>
      <c r="J31" s="25"/>
      <c r="K31" s="25"/>
      <c r="L31" s="25"/>
      <c r="M31" s="271"/>
      <c r="N31" s="25"/>
      <c r="O31" s="25"/>
      <c r="P31" s="25"/>
      <c r="Q31" s="25"/>
      <c r="R31" s="25"/>
      <c r="S31" s="25"/>
      <c r="T31" s="25"/>
      <c r="U31" s="25"/>
    </row>
    <row r="32" spans="1:23" ht="15.75" customHeight="1" thickBot="1">
      <c r="A32" s="1224" t="s">
        <v>248</v>
      </c>
      <c r="B32" s="1225"/>
      <c r="C32" s="1225"/>
      <c r="D32" s="1226"/>
      <c r="E32" s="1226"/>
      <c r="F32" s="1226"/>
      <c r="G32" s="1227"/>
      <c r="H32" s="25"/>
      <c r="I32" s="25"/>
      <c r="J32" s="25"/>
      <c r="K32" s="25"/>
      <c r="L32" s="25"/>
      <c r="M32" s="271"/>
      <c r="N32" s="25"/>
      <c r="O32" s="25" t="s">
        <v>51</v>
      </c>
      <c r="P32" s="25" t="s">
        <v>52</v>
      </c>
      <c r="Q32" s="25" t="s">
        <v>54</v>
      </c>
      <c r="R32" s="25" t="s">
        <v>55</v>
      </c>
      <c r="S32" s="25" t="s">
        <v>503</v>
      </c>
      <c r="T32" s="25" t="s">
        <v>57</v>
      </c>
      <c r="U32" s="25" t="s">
        <v>727</v>
      </c>
      <c r="V32" s="86" t="s">
        <v>53</v>
      </c>
      <c r="W32" s="86" t="s">
        <v>729</v>
      </c>
    </row>
    <row r="33" spans="1:41" ht="26.25">
      <c r="A33" s="996" t="s">
        <v>20</v>
      </c>
      <c r="B33" s="997" t="s">
        <v>192</v>
      </c>
      <c r="C33" s="997" t="s">
        <v>96</v>
      </c>
      <c r="D33" s="257" t="s">
        <v>492</v>
      </c>
      <c r="E33" s="257" t="s">
        <v>493</v>
      </c>
      <c r="F33" s="257" t="s">
        <v>499</v>
      </c>
      <c r="G33" s="258" t="s">
        <v>293</v>
      </c>
      <c r="H33" s="282"/>
      <c r="I33" s="1018"/>
      <c r="J33" s="282"/>
      <c r="K33" s="282"/>
      <c r="L33" s="282"/>
      <c r="M33" s="282"/>
      <c r="N33" s="282"/>
      <c r="O33" s="986" t="s">
        <v>512</v>
      </c>
      <c r="P33" s="986" t="s">
        <v>513</v>
      </c>
      <c r="Q33" s="986">
        <v>1421</v>
      </c>
      <c r="R33" s="970" t="s">
        <v>62</v>
      </c>
      <c r="S33" s="971">
        <v>39281</v>
      </c>
      <c r="T33" s="970" t="s">
        <v>515</v>
      </c>
      <c r="U33" s="970"/>
      <c r="V33" s="970">
        <v>3</v>
      </c>
      <c r="W33" s="970"/>
      <c r="Y33" s="282"/>
      <c r="Z33" s="282"/>
      <c r="AA33" s="282"/>
      <c r="AB33" s="25"/>
      <c r="AC33" s="38" t="s">
        <v>51</v>
      </c>
      <c r="AD33" s="38" t="s">
        <v>52</v>
      </c>
      <c r="AE33" s="38" t="s">
        <v>53</v>
      </c>
      <c r="AF33" s="38"/>
      <c r="AG33" s="274" t="s">
        <v>54</v>
      </c>
      <c r="AH33" s="38" t="s">
        <v>55</v>
      </c>
      <c r="AI33" s="38" t="s">
        <v>502</v>
      </c>
      <c r="AJ33" s="38" t="s">
        <v>503</v>
      </c>
      <c r="AK33" s="250" t="s">
        <v>56</v>
      </c>
      <c r="AL33" s="38" t="s">
        <v>57</v>
      </c>
      <c r="AM33" s="38" t="s">
        <v>543</v>
      </c>
      <c r="AN33" s="38" t="s">
        <v>543</v>
      </c>
      <c r="AO33" s="25"/>
    </row>
    <row r="34" spans="1:41" ht="12.75">
      <c r="A34" s="998" t="s">
        <v>46</v>
      </c>
      <c r="B34" s="972">
        <v>1803</v>
      </c>
      <c r="C34" s="973" t="s">
        <v>148</v>
      </c>
      <c r="D34" s="973">
        <v>39276</v>
      </c>
      <c r="E34" s="974" t="s">
        <v>505</v>
      </c>
      <c r="F34" s="974"/>
      <c r="G34" s="999">
        <v>3</v>
      </c>
      <c r="H34" s="243"/>
      <c r="I34" s="615"/>
      <c r="J34" s="243"/>
      <c r="K34" s="243"/>
      <c r="L34" s="243"/>
      <c r="M34" s="243"/>
      <c r="N34" s="243"/>
      <c r="O34" s="972" t="s">
        <v>146</v>
      </c>
      <c r="P34" s="972" t="s">
        <v>46</v>
      </c>
      <c r="Q34" s="972">
        <v>1803</v>
      </c>
      <c r="R34" s="973" t="s">
        <v>148</v>
      </c>
      <c r="S34" s="973">
        <v>39276</v>
      </c>
      <c r="T34" s="974" t="s">
        <v>505</v>
      </c>
      <c r="U34" s="974"/>
      <c r="V34" s="970">
        <v>3</v>
      </c>
      <c r="W34" s="970"/>
      <c r="Y34" s="243"/>
      <c r="Z34" s="243"/>
      <c r="AA34" s="243"/>
      <c r="AB34" s="25" t="s">
        <v>550</v>
      </c>
      <c r="AC34" s="38" t="s">
        <v>506</v>
      </c>
      <c r="AD34" s="38" t="s">
        <v>58</v>
      </c>
      <c r="AE34" s="38">
        <v>3</v>
      </c>
      <c r="AF34" s="38"/>
      <c r="AG34" s="274">
        <v>8205</v>
      </c>
      <c r="AH34" s="38" t="s">
        <v>59</v>
      </c>
      <c r="AI34" s="38" t="s">
        <v>507</v>
      </c>
      <c r="AJ34" s="250">
        <v>39325</v>
      </c>
      <c r="AK34" s="268" t="s">
        <v>508</v>
      </c>
      <c r="AL34" s="250">
        <v>39346</v>
      </c>
      <c r="AM34" s="250">
        <v>-14</v>
      </c>
      <c r="AN34" s="38">
        <v>-14</v>
      </c>
      <c r="AO34" s="25"/>
    </row>
    <row r="35" spans="1:41" ht="12.75">
      <c r="A35" s="1000" t="s">
        <v>544</v>
      </c>
      <c r="B35" s="975">
        <v>1501</v>
      </c>
      <c r="C35" s="976" t="s">
        <v>64</v>
      </c>
      <c r="D35" s="976">
        <v>39283</v>
      </c>
      <c r="E35" s="977" t="s">
        <v>521</v>
      </c>
      <c r="F35" s="977"/>
      <c r="G35" s="999">
        <v>3</v>
      </c>
      <c r="H35" s="243"/>
      <c r="I35" s="615"/>
      <c r="J35" s="243"/>
      <c r="K35" s="243"/>
      <c r="L35" s="243"/>
      <c r="M35" s="243"/>
      <c r="N35" s="243"/>
      <c r="O35" s="975" t="s">
        <v>519</v>
      </c>
      <c r="P35" s="975" t="s">
        <v>544</v>
      </c>
      <c r="Q35" s="975">
        <v>1501</v>
      </c>
      <c r="R35" s="976" t="s">
        <v>64</v>
      </c>
      <c r="S35" s="976">
        <v>39283</v>
      </c>
      <c r="T35" s="975" t="s">
        <v>521</v>
      </c>
      <c r="U35" s="977"/>
      <c r="V35" s="970">
        <v>3</v>
      </c>
      <c r="W35" s="970"/>
      <c r="Y35" s="243"/>
      <c r="Z35" s="243"/>
      <c r="AA35" s="243"/>
      <c r="AB35" s="25" t="s">
        <v>550</v>
      </c>
      <c r="AC35" s="38" t="s">
        <v>509</v>
      </c>
      <c r="AD35" s="38" t="s">
        <v>60</v>
      </c>
      <c r="AE35" s="38">
        <v>3</v>
      </c>
      <c r="AF35" s="38"/>
      <c r="AG35" s="274">
        <v>1806</v>
      </c>
      <c r="AH35" s="38" t="s">
        <v>61</v>
      </c>
      <c r="AI35" s="38" t="s">
        <v>510</v>
      </c>
      <c r="AJ35" s="250">
        <v>39336</v>
      </c>
      <c r="AK35" s="268" t="s">
        <v>511</v>
      </c>
      <c r="AL35" s="250">
        <v>39358</v>
      </c>
      <c r="AM35" s="250">
        <v>-16</v>
      </c>
      <c r="AN35" s="38">
        <v>-16</v>
      </c>
      <c r="AO35" s="25"/>
    </row>
    <row r="36" spans="1:41" ht="12.75">
      <c r="A36" s="1000" t="s">
        <v>551</v>
      </c>
      <c r="B36" s="975">
        <v>3101</v>
      </c>
      <c r="C36" s="976" t="s">
        <v>150</v>
      </c>
      <c r="D36" s="976">
        <v>39331</v>
      </c>
      <c r="E36" s="977" t="s">
        <v>542</v>
      </c>
      <c r="F36" s="977"/>
      <c r="G36" s="999">
        <v>3</v>
      </c>
      <c r="H36" s="243"/>
      <c r="I36" s="615"/>
      <c r="J36" s="243"/>
      <c r="K36" s="243"/>
      <c r="L36" s="243"/>
      <c r="M36" s="243"/>
      <c r="N36" s="243"/>
      <c r="O36" s="975" t="s">
        <v>149</v>
      </c>
      <c r="P36" s="975" t="s">
        <v>551</v>
      </c>
      <c r="Q36" s="975">
        <v>3101</v>
      </c>
      <c r="R36" s="976" t="s">
        <v>150</v>
      </c>
      <c r="S36" s="976">
        <v>39331</v>
      </c>
      <c r="T36" s="977" t="s">
        <v>542</v>
      </c>
      <c r="U36" s="977"/>
      <c r="V36" s="970">
        <v>3</v>
      </c>
      <c r="W36" s="970"/>
      <c r="Y36" s="243"/>
      <c r="Z36" s="243"/>
      <c r="AA36" s="243"/>
      <c r="AB36" s="25" t="s">
        <v>550</v>
      </c>
      <c r="AC36" s="38" t="s">
        <v>512</v>
      </c>
      <c r="AD36" s="38" t="s">
        <v>513</v>
      </c>
      <c r="AE36" s="38">
        <v>3</v>
      </c>
      <c r="AF36" s="38"/>
      <c r="AG36" s="274">
        <v>1421</v>
      </c>
      <c r="AH36" s="38" t="s">
        <v>62</v>
      </c>
      <c r="AI36" s="264">
        <v>39268</v>
      </c>
      <c r="AJ36" s="250">
        <v>39281</v>
      </c>
      <c r="AK36" s="268" t="s">
        <v>514</v>
      </c>
      <c r="AL36" s="38" t="s">
        <v>515</v>
      </c>
      <c r="AM36" s="38">
        <v>12</v>
      </c>
      <c r="AN36" s="38">
        <v>12</v>
      </c>
      <c r="AO36" s="25"/>
    </row>
    <row r="37" spans="1:41" ht="15">
      <c r="A37" s="1001" t="s">
        <v>67</v>
      </c>
      <c r="B37" s="978">
        <v>1361</v>
      </c>
      <c r="C37" s="979" t="s">
        <v>68</v>
      </c>
      <c r="D37" s="979">
        <v>39353</v>
      </c>
      <c r="E37" s="1082" t="s">
        <v>826</v>
      </c>
      <c r="F37" s="980">
        <v>39417</v>
      </c>
      <c r="G37" s="1002">
        <v>2</v>
      </c>
      <c r="H37" s="243"/>
      <c r="I37" s="615"/>
      <c r="J37" s="243"/>
      <c r="K37" s="243"/>
      <c r="L37" s="243"/>
      <c r="M37" s="243"/>
      <c r="N37" s="243"/>
      <c r="W37" s="970">
        <v>337</v>
      </c>
      <c r="Y37" s="243"/>
      <c r="Z37" s="243"/>
      <c r="AA37" s="243"/>
      <c r="AB37" s="25" t="s">
        <v>550</v>
      </c>
      <c r="AC37" s="38" t="s">
        <v>516</v>
      </c>
      <c r="AD37" s="38" t="s">
        <v>63</v>
      </c>
      <c r="AE37" s="38">
        <v>3</v>
      </c>
      <c r="AF37" s="38"/>
      <c r="AG37" s="274">
        <v>1806</v>
      </c>
      <c r="AH37" s="38" t="s">
        <v>61</v>
      </c>
      <c r="AI37" s="38" t="s">
        <v>510</v>
      </c>
      <c r="AJ37" s="250">
        <v>39336</v>
      </c>
      <c r="AK37" s="268" t="s">
        <v>517</v>
      </c>
      <c r="AL37" s="250">
        <v>39367</v>
      </c>
      <c r="AM37" s="250">
        <v>-23</v>
      </c>
      <c r="AN37" s="38">
        <v>-23</v>
      </c>
      <c r="AO37" s="25"/>
    </row>
    <row r="38" spans="1:41" ht="13.5">
      <c r="A38" s="1003" t="s">
        <v>58</v>
      </c>
      <c r="B38" s="987">
        <v>8205</v>
      </c>
      <c r="C38" s="988" t="s">
        <v>59</v>
      </c>
      <c r="D38" s="988">
        <v>39325</v>
      </c>
      <c r="E38" s="989">
        <v>39399</v>
      </c>
      <c r="F38" s="990"/>
      <c r="G38" s="999">
        <v>3</v>
      </c>
      <c r="H38" s="243"/>
      <c r="I38" s="615"/>
      <c r="J38" s="243"/>
      <c r="K38" s="243"/>
      <c r="L38" s="243"/>
      <c r="M38" s="243"/>
      <c r="N38" s="243"/>
      <c r="O38" s="987" t="s">
        <v>506</v>
      </c>
      <c r="P38" s="987" t="s">
        <v>58</v>
      </c>
      <c r="Q38" s="987">
        <v>8205</v>
      </c>
      <c r="R38" s="988" t="s">
        <v>59</v>
      </c>
      <c r="S38" s="988">
        <v>39325</v>
      </c>
      <c r="T38" s="989">
        <v>39399</v>
      </c>
      <c r="U38" s="990"/>
      <c r="V38" s="970">
        <v>3</v>
      </c>
      <c r="W38" s="982">
        <v>1179</v>
      </c>
      <c r="Y38" s="243"/>
      <c r="Z38" s="243"/>
      <c r="AA38" s="243"/>
      <c r="AB38" s="25" t="s">
        <v>550</v>
      </c>
      <c r="AC38" s="38" t="s">
        <v>518</v>
      </c>
      <c r="AD38" s="38" t="s">
        <v>65</v>
      </c>
      <c r="AE38" s="38">
        <v>3</v>
      </c>
      <c r="AF38" s="38"/>
      <c r="AG38" s="274">
        <v>1416</v>
      </c>
      <c r="AH38" s="38" t="s">
        <v>62</v>
      </c>
      <c r="AI38" s="250">
        <v>39295</v>
      </c>
      <c r="AJ38" s="250">
        <v>39407</v>
      </c>
      <c r="AK38" s="268" t="s">
        <v>517</v>
      </c>
      <c r="AL38" s="250">
        <v>39407</v>
      </c>
      <c r="AM38" s="250">
        <v>0</v>
      </c>
      <c r="AN38" s="38">
        <v>0</v>
      </c>
      <c r="AO38" s="25"/>
    </row>
    <row r="39" spans="1:41" ht="12.75">
      <c r="A39" s="998" t="s">
        <v>71</v>
      </c>
      <c r="B39" s="972">
        <v>1361</v>
      </c>
      <c r="C39" s="973" t="s">
        <v>68</v>
      </c>
      <c r="D39" s="973">
        <v>39409</v>
      </c>
      <c r="E39" s="973">
        <v>39412</v>
      </c>
      <c r="F39" s="974"/>
      <c r="G39" s="999">
        <v>3</v>
      </c>
      <c r="H39" s="243"/>
      <c r="I39" s="615"/>
      <c r="J39" s="243"/>
      <c r="K39" s="243"/>
      <c r="L39" s="243"/>
      <c r="M39" s="243"/>
      <c r="N39" s="243"/>
      <c r="O39" s="972" t="s">
        <v>529</v>
      </c>
      <c r="P39" s="972" t="s">
        <v>71</v>
      </c>
      <c r="Q39" s="972">
        <v>1361</v>
      </c>
      <c r="R39" s="973" t="s">
        <v>68</v>
      </c>
      <c r="S39" s="973">
        <v>39409</v>
      </c>
      <c r="T39" s="973">
        <v>39412</v>
      </c>
      <c r="U39" s="974"/>
      <c r="V39" s="970">
        <v>3</v>
      </c>
      <c r="W39" s="970">
        <v>403</v>
      </c>
      <c r="Y39" s="243"/>
      <c r="Z39" s="243"/>
      <c r="AA39" s="243"/>
      <c r="AB39" s="25" t="s">
        <v>550</v>
      </c>
      <c r="AC39" s="38" t="s">
        <v>146</v>
      </c>
      <c r="AD39" s="38" t="s">
        <v>46</v>
      </c>
      <c r="AE39" s="38">
        <v>3</v>
      </c>
      <c r="AF39" s="38"/>
      <c r="AG39" s="274">
        <v>1803</v>
      </c>
      <c r="AH39" s="38" t="s">
        <v>148</v>
      </c>
      <c r="AI39" s="38" t="s">
        <v>147</v>
      </c>
      <c r="AJ39" s="250">
        <v>39276</v>
      </c>
      <c r="AK39" s="250" t="s">
        <v>504</v>
      </c>
      <c r="AL39" s="38" t="s">
        <v>505</v>
      </c>
      <c r="AM39" s="38">
        <v>-2</v>
      </c>
      <c r="AN39" s="38">
        <v>-2</v>
      </c>
      <c r="AO39" s="25"/>
    </row>
    <row r="40" spans="1:41" ht="12.75">
      <c r="A40" s="1000" t="s">
        <v>60</v>
      </c>
      <c r="B40" s="975">
        <v>1806</v>
      </c>
      <c r="C40" s="976" t="s">
        <v>61</v>
      </c>
      <c r="D40" s="976">
        <v>39336</v>
      </c>
      <c r="E40" s="976">
        <v>39413</v>
      </c>
      <c r="F40" s="977"/>
      <c r="G40" s="999">
        <v>3</v>
      </c>
      <c r="H40" s="243"/>
      <c r="I40" s="615"/>
      <c r="J40" s="243"/>
      <c r="K40" s="243"/>
      <c r="L40" s="243"/>
      <c r="M40" s="243"/>
      <c r="N40" s="243"/>
      <c r="O40" s="975" t="s">
        <v>509</v>
      </c>
      <c r="P40" s="975" t="s">
        <v>60</v>
      </c>
      <c r="Q40" s="975">
        <v>1806</v>
      </c>
      <c r="R40" s="976" t="s">
        <v>61</v>
      </c>
      <c r="S40" s="976">
        <v>39336</v>
      </c>
      <c r="T40" s="976">
        <v>39413</v>
      </c>
      <c r="U40" s="977"/>
      <c r="V40" s="970">
        <v>3</v>
      </c>
      <c r="W40" s="982">
        <v>1178</v>
      </c>
      <c r="Y40" s="243"/>
      <c r="Z40" s="243"/>
      <c r="AA40" s="243"/>
      <c r="AB40" s="25" t="s">
        <v>550</v>
      </c>
      <c r="AC40" s="38" t="s">
        <v>519</v>
      </c>
      <c r="AD40" s="38" t="s">
        <v>544</v>
      </c>
      <c r="AE40" s="38">
        <v>3</v>
      </c>
      <c r="AF40" s="38"/>
      <c r="AG40" s="274">
        <v>1501</v>
      </c>
      <c r="AH40" s="38" t="s">
        <v>64</v>
      </c>
      <c r="AI40" s="38" t="s">
        <v>520</v>
      </c>
      <c r="AJ40" s="250">
        <v>39283</v>
      </c>
      <c r="AK40" s="250" t="s">
        <v>521</v>
      </c>
      <c r="AL40" s="38" t="s">
        <v>521</v>
      </c>
      <c r="AM40" s="38">
        <v>0</v>
      </c>
      <c r="AN40" s="38">
        <v>0</v>
      </c>
      <c r="AO40" s="59"/>
    </row>
    <row r="41" spans="1:41" ht="13.5">
      <c r="A41" s="1007" t="s">
        <v>545</v>
      </c>
      <c r="B41" s="1008">
        <v>1421</v>
      </c>
      <c r="C41" s="1009" t="s">
        <v>62</v>
      </c>
      <c r="D41" s="1009">
        <v>39329</v>
      </c>
      <c r="E41" s="1010" t="s">
        <v>820</v>
      </c>
      <c r="F41" s="1011">
        <v>39387</v>
      </c>
      <c r="G41" s="1012">
        <v>2</v>
      </c>
      <c r="H41" s="243"/>
      <c r="I41" s="615"/>
      <c r="J41" s="243"/>
      <c r="K41" s="243"/>
      <c r="L41" s="243"/>
      <c r="M41" s="243"/>
      <c r="N41" s="243"/>
      <c r="W41" s="970">
        <v>-38</v>
      </c>
      <c r="Y41" s="243"/>
      <c r="Z41" s="243"/>
      <c r="AA41" s="243"/>
      <c r="AB41" s="25" t="s">
        <v>550</v>
      </c>
      <c r="AC41" s="38" t="s">
        <v>149</v>
      </c>
      <c r="AD41" s="38" t="s">
        <v>551</v>
      </c>
      <c r="AE41" s="38">
        <v>3</v>
      </c>
      <c r="AF41" s="38"/>
      <c r="AG41" s="274">
        <v>3101</v>
      </c>
      <c r="AH41" s="38" t="s">
        <v>150</v>
      </c>
      <c r="AI41" s="38"/>
      <c r="AJ41" s="250">
        <v>39331</v>
      </c>
      <c r="AK41" s="250"/>
      <c r="AL41" s="38" t="s">
        <v>542</v>
      </c>
      <c r="AM41" s="38">
        <v>19</v>
      </c>
      <c r="AN41" s="38">
        <v>19</v>
      </c>
      <c r="AO41" s="25"/>
    </row>
    <row r="42" spans="1:41" ht="13.5">
      <c r="A42" s="1004" t="s">
        <v>66</v>
      </c>
      <c r="B42" s="991">
        <v>8205</v>
      </c>
      <c r="C42" s="992" t="s">
        <v>59</v>
      </c>
      <c r="D42" s="992">
        <v>39370</v>
      </c>
      <c r="E42" s="993">
        <v>39416</v>
      </c>
      <c r="F42" s="994"/>
      <c r="G42" s="999">
        <v>3</v>
      </c>
      <c r="H42" s="285"/>
      <c r="I42" s="1019"/>
      <c r="J42" s="285"/>
      <c r="K42" s="285"/>
      <c r="L42" s="285"/>
      <c r="M42" s="285"/>
      <c r="N42" s="285"/>
      <c r="O42" s="991" t="s">
        <v>523</v>
      </c>
      <c r="P42" s="991" t="s">
        <v>66</v>
      </c>
      <c r="Q42" s="991">
        <v>8205</v>
      </c>
      <c r="R42" s="992" t="s">
        <v>59</v>
      </c>
      <c r="S42" s="992">
        <v>39370</v>
      </c>
      <c r="T42" s="993">
        <v>39416</v>
      </c>
      <c r="U42" s="994"/>
      <c r="V42" s="970">
        <v>3</v>
      </c>
      <c r="W42" s="970">
        <v>24</v>
      </c>
      <c r="Y42" s="261"/>
      <c r="Z42" s="261"/>
      <c r="AA42" s="261"/>
      <c r="AB42" s="25" t="s">
        <v>550</v>
      </c>
      <c r="AC42" s="38" t="s">
        <v>151</v>
      </c>
      <c r="AD42" s="38" t="s">
        <v>44</v>
      </c>
      <c r="AE42" s="38">
        <v>2</v>
      </c>
      <c r="AF42" s="38"/>
      <c r="AG42" s="275">
        <v>1431</v>
      </c>
      <c r="AH42" s="38" t="s">
        <v>152</v>
      </c>
      <c r="AI42" s="250">
        <v>39345</v>
      </c>
      <c r="AJ42" s="250"/>
      <c r="AK42" s="250">
        <v>39349</v>
      </c>
      <c r="AL42" s="250"/>
      <c r="AM42" s="38">
        <v>-2</v>
      </c>
      <c r="AN42" s="38">
        <v>-2</v>
      </c>
      <c r="AO42" s="25"/>
    </row>
    <row r="43" spans="1:41" ht="12.75">
      <c r="A43" s="1000" t="s">
        <v>555</v>
      </c>
      <c r="B43" s="975">
        <v>1501</v>
      </c>
      <c r="C43" s="976" t="s">
        <v>64</v>
      </c>
      <c r="D43" s="976">
        <v>39346</v>
      </c>
      <c r="E43" s="976">
        <v>39423</v>
      </c>
      <c r="F43" s="977"/>
      <c r="G43" s="999">
        <v>3</v>
      </c>
      <c r="H43" s="243"/>
      <c r="I43" s="615"/>
      <c r="J43" s="243"/>
      <c r="K43" s="243"/>
      <c r="L43" s="243"/>
      <c r="M43" s="243"/>
      <c r="N43" s="243"/>
      <c r="O43" s="975" t="s">
        <v>554</v>
      </c>
      <c r="P43" s="975" t="s">
        <v>555</v>
      </c>
      <c r="Q43" s="975">
        <v>1501</v>
      </c>
      <c r="R43" s="976" t="s">
        <v>64</v>
      </c>
      <c r="S43" s="976">
        <v>39346</v>
      </c>
      <c r="T43" s="976">
        <v>39423</v>
      </c>
      <c r="U43" s="977"/>
      <c r="V43" s="970">
        <v>3</v>
      </c>
      <c r="W43" s="970">
        <v>111</v>
      </c>
      <c r="Y43" s="243"/>
      <c r="Z43" s="243"/>
      <c r="AA43" s="243"/>
      <c r="AB43" s="25" t="s">
        <v>550</v>
      </c>
      <c r="AC43" s="38" t="s">
        <v>523</v>
      </c>
      <c r="AD43" s="38" t="s">
        <v>66</v>
      </c>
      <c r="AE43" s="38">
        <v>3</v>
      </c>
      <c r="AF43" s="38"/>
      <c r="AG43" s="274">
        <v>8205</v>
      </c>
      <c r="AH43" s="38" t="s">
        <v>59</v>
      </c>
      <c r="AI43" s="250">
        <v>39329</v>
      </c>
      <c r="AJ43" s="250">
        <v>39370</v>
      </c>
      <c r="AK43" s="250">
        <v>39349</v>
      </c>
      <c r="AL43" s="250">
        <v>39388</v>
      </c>
      <c r="AM43" s="250">
        <v>-14</v>
      </c>
      <c r="AN43" s="38">
        <v>-14</v>
      </c>
      <c r="AO43" s="25"/>
    </row>
    <row r="44" spans="1:41" ht="13.5">
      <c r="A44" s="1003" t="s">
        <v>63</v>
      </c>
      <c r="B44" s="987">
        <v>1806</v>
      </c>
      <c r="C44" s="988" t="s">
        <v>61</v>
      </c>
      <c r="D44" s="988">
        <v>39336</v>
      </c>
      <c r="E44" s="989">
        <v>39427</v>
      </c>
      <c r="F44" s="990"/>
      <c r="G44" s="999">
        <v>3</v>
      </c>
      <c r="H44" s="243"/>
      <c r="I44" s="615"/>
      <c r="J44" s="243"/>
      <c r="K44" s="243"/>
      <c r="L44" s="243"/>
      <c r="M44" s="243"/>
      <c r="N44" s="243"/>
      <c r="O44" s="987" t="s">
        <v>516</v>
      </c>
      <c r="P44" s="987" t="s">
        <v>63</v>
      </c>
      <c r="Q44" s="987">
        <v>1806</v>
      </c>
      <c r="R44" s="988" t="s">
        <v>61</v>
      </c>
      <c r="S44" s="988">
        <v>39336</v>
      </c>
      <c r="T44" s="989">
        <v>39427</v>
      </c>
      <c r="U44" s="990"/>
      <c r="V44" s="970">
        <v>3</v>
      </c>
      <c r="W44" s="982">
        <v>1161</v>
      </c>
      <c r="Y44" s="281"/>
      <c r="Z44" s="281"/>
      <c r="AA44" s="281"/>
      <c r="AB44" s="25" t="s">
        <v>550</v>
      </c>
      <c r="AC44" s="38" t="s">
        <v>525</v>
      </c>
      <c r="AD44" s="38" t="s">
        <v>69</v>
      </c>
      <c r="AE44" s="38">
        <v>3</v>
      </c>
      <c r="AF44" s="38"/>
      <c r="AG44" s="274">
        <v>1416</v>
      </c>
      <c r="AH44" s="38" t="s">
        <v>62</v>
      </c>
      <c r="AI44" s="38" t="s">
        <v>526</v>
      </c>
      <c r="AJ44" s="250">
        <v>39392</v>
      </c>
      <c r="AK44" s="250" t="s">
        <v>526</v>
      </c>
      <c r="AL44" s="250">
        <v>39392</v>
      </c>
      <c r="AM44" s="250">
        <v>0</v>
      </c>
      <c r="AN44" s="38">
        <v>0</v>
      </c>
      <c r="AO44" s="59"/>
    </row>
    <row r="45" spans="1:41" ht="13.5">
      <c r="A45" s="1000" t="s">
        <v>65</v>
      </c>
      <c r="B45" s="975">
        <v>1416</v>
      </c>
      <c r="C45" s="976" t="s">
        <v>62</v>
      </c>
      <c r="D45" s="976">
        <v>39407</v>
      </c>
      <c r="E45" s="976">
        <v>39454</v>
      </c>
      <c r="F45" s="977"/>
      <c r="G45" s="999">
        <v>3</v>
      </c>
      <c r="H45" s="285"/>
      <c r="I45" s="1019"/>
      <c r="J45" s="285"/>
      <c r="K45" s="285"/>
      <c r="L45" s="285"/>
      <c r="M45" s="285"/>
      <c r="N45" s="285"/>
      <c r="O45" s="975" t="s">
        <v>518</v>
      </c>
      <c r="P45" s="975" t="s">
        <v>65</v>
      </c>
      <c r="Q45" s="975">
        <v>1416</v>
      </c>
      <c r="R45" s="976" t="s">
        <v>62</v>
      </c>
      <c r="S45" s="976">
        <v>39407</v>
      </c>
      <c r="T45" s="976">
        <v>39454</v>
      </c>
      <c r="U45" s="977"/>
      <c r="V45" s="970">
        <v>3</v>
      </c>
      <c r="W45" s="970">
        <v>53</v>
      </c>
      <c r="Y45" s="281"/>
      <c r="Z45" s="281"/>
      <c r="AA45" s="281"/>
      <c r="AB45" s="25" t="s">
        <v>550</v>
      </c>
      <c r="AC45" s="38" t="s">
        <v>522</v>
      </c>
      <c r="AD45" s="38" t="s">
        <v>545</v>
      </c>
      <c r="AE45" s="38">
        <v>2</v>
      </c>
      <c r="AF45" s="38"/>
      <c r="AG45" s="275">
        <v>1421</v>
      </c>
      <c r="AH45" s="38" t="s">
        <v>62</v>
      </c>
      <c r="AI45" s="38"/>
      <c r="AJ45" s="250">
        <v>39329</v>
      </c>
      <c r="AK45" s="250"/>
      <c r="AL45" s="38" t="s">
        <v>546</v>
      </c>
      <c r="AM45" s="38">
        <v>-23</v>
      </c>
      <c r="AN45" s="38">
        <v>-23</v>
      </c>
      <c r="AO45" s="25"/>
    </row>
    <row r="46" spans="1:41" ht="13.5">
      <c r="A46" s="1000" t="s">
        <v>728</v>
      </c>
      <c r="B46" s="975">
        <v>1421</v>
      </c>
      <c r="C46" s="976" t="s">
        <v>62</v>
      </c>
      <c r="D46" s="976">
        <v>39454</v>
      </c>
      <c r="E46" s="976">
        <v>39454</v>
      </c>
      <c r="F46" s="977"/>
      <c r="G46" s="999">
        <v>3</v>
      </c>
      <c r="H46" s="285"/>
      <c r="I46" s="1019"/>
      <c r="J46" s="285"/>
      <c r="K46" s="285"/>
      <c r="L46" s="285"/>
      <c r="M46" s="285"/>
      <c r="N46" s="285"/>
      <c r="O46" s="975" t="s">
        <v>533</v>
      </c>
      <c r="P46" s="975" t="s">
        <v>728</v>
      </c>
      <c r="Q46" s="975">
        <v>1421</v>
      </c>
      <c r="R46" s="976" t="s">
        <v>62</v>
      </c>
      <c r="S46" s="976">
        <v>39454</v>
      </c>
      <c r="T46" s="976">
        <v>39454</v>
      </c>
      <c r="U46" s="977"/>
      <c r="V46" s="970">
        <v>3</v>
      </c>
      <c r="W46" s="970">
        <v>449</v>
      </c>
      <c r="Y46" s="281"/>
      <c r="Z46" s="281"/>
      <c r="AA46" s="281"/>
      <c r="AB46" s="25" t="s">
        <v>550</v>
      </c>
      <c r="AC46" s="38" t="s">
        <v>527</v>
      </c>
      <c r="AD46" s="38" t="s">
        <v>72</v>
      </c>
      <c r="AE46" s="38">
        <v>2</v>
      </c>
      <c r="AF46" s="38"/>
      <c r="AG46" s="275">
        <v>1302</v>
      </c>
      <c r="AH46" s="38" t="s">
        <v>68</v>
      </c>
      <c r="AI46" s="38"/>
      <c r="AJ46" s="250">
        <v>39427</v>
      </c>
      <c r="AK46" s="250"/>
      <c r="AL46" s="250">
        <v>39374</v>
      </c>
      <c r="AM46" s="250">
        <v>35</v>
      </c>
      <c r="AN46" s="38">
        <v>35</v>
      </c>
      <c r="AO46" s="25"/>
    </row>
    <row r="47" spans="1:41" ht="13.5">
      <c r="A47" s="1000" t="s">
        <v>552</v>
      </c>
      <c r="B47" s="975">
        <v>1810</v>
      </c>
      <c r="C47" s="976" t="s">
        <v>156</v>
      </c>
      <c r="D47" s="976">
        <v>39484</v>
      </c>
      <c r="E47" s="976">
        <v>39454</v>
      </c>
      <c r="F47" s="977"/>
      <c r="G47" s="999">
        <v>3</v>
      </c>
      <c r="H47" s="285"/>
      <c r="I47" s="1019"/>
      <c r="J47" s="285"/>
      <c r="K47" s="285"/>
      <c r="L47" s="285"/>
      <c r="M47" s="285"/>
      <c r="N47" s="285"/>
      <c r="O47" s="975" t="s">
        <v>155</v>
      </c>
      <c r="P47" s="975" t="s">
        <v>552</v>
      </c>
      <c r="Q47" s="975">
        <v>1810</v>
      </c>
      <c r="R47" s="976" t="s">
        <v>156</v>
      </c>
      <c r="S47" s="976">
        <v>39484</v>
      </c>
      <c r="T47" s="976">
        <v>39454</v>
      </c>
      <c r="U47" s="977"/>
      <c r="V47" s="970">
        <v>3</v>
      </c>
      <c r="W47" s="970">
        <v>319</v>
      </c>
      <c r="Y47" s="243"/>
      <c r="Z47" s="243"/>
      <c r="AA47" s="243"/>
      <c r="AB47" s="25" t="s">
        <v>550</v>
      </c>
      <c r="AC47" s="38" t="s">
        <v>524</v>
      </c>
      <c r="AD47" s="38" t="s">
        <v>67</v>
      </c>
      <c r="AE47" s="38">
        <v>2</v>
      </c>
      <c r="AF47" s="38"/>
      <c r="AG47" s="276">
        <v>1361</v>
      </c>
      <c r="AH47" s="38" t="s">
        <v>68</v>
      </c>
      <c r="AI47" s="38"/>
      <c r="AJ47" s="250">
        <v>39353</v>
      </c>
      <c r="AK47" s="250"/>
      <c r="AL47" s="250">
        <v>39374</v>
      </c>
      <c r="AM47" s="250">
        <v>-15</v>
      </c>
      <c r="AN47" s="38">
        <v>-15</v>
      </c>
      <c r="AO47" s="25"/>
    </row>
    <row r="48" spans="1:41" ht="13.5">
      <c r="A48" s="1007" t="s">
        <v>44</v>
      </c>
      <c r="B48" s="1008">
        <v>1431</v>
      </c>
      <c r="C48" s="1009" t="s">
        <v>152</v>
      </c>
      <c r="D48" s="1009">
        <v>39345</v>
      </c>
      <c r="E48" s="1017">
        <v>39458</v>
      </c>
      <c r="F48" s="1011">
        <v>39417</v>
      </c>
      <c r="G48" s="1012">
        <v>2</v>
      </c>
      <c r="H48" s="243"/>
      <c r="I48" s="615"/>
      <c r="J48" s="243"/>
      <c r="K48" s="243"/>
      <c r="L48" s="243"/>
      <c r="M48" s="243"/>
      <c r="N48" s="243"/>
      <c r="W48" s="970">
        <v>-39</v>
      </c>
      <c r="Y48" s="281"/>
      <c r="Z48" s="281"/>
      <c r="AA48" s="281"/>
      <c r="AB48" s="25" t="s">
        <v>550</v>
      </c>
      <c r="AC48" s="38" t="s">
        <v>153</v>
      </c>
      <c r="AD48" s="38" t="s">
        <v>154</v>
      </c>
      <c r="AE48" s="38">
        <v>3</v>
      </c>
      <c r="AF48" s="38"/>
      <c r="AG48" s="274">
        <v>1803</v>
      </c>
      <c r="AH48" s="38" t="s">
        <v>148</v>
      </c>
      <c r="AI48" s="38"/>
      <c r="AJ48" s="250">
        <v>39407</v>
      </c>
      <c r="AK48" s="250"/>
      <c r="AL48" s="250">
        <v>39384</v>
      </c>
      <c r="AM48" s="250">
        <v>17</v>
      </c>
      <c r="AN48" s="38">
        <v>17</v>
      </c>
      <c r="AO48" s="25"/>
    </row>
    <row r="49" spans="1:41" ht="12.75">
      <c r="A49" s="1000" t="s">
        <v>69</v>
      </c>
      <c r="B49" s="975">
        <v>1416</v>
      </c>
      <c r="C49" s="976" t="s">
        <v>62</v>
      </c>
      <c r="D49" s="976">
        <v>39392</v>
      </c>
      <c r="E49" s="976">
        <v>39478</v>
      </c>
      <c r="F49" s="977"/>
      <c r="G49" s="999">
        <v>3</v>
      </c>
      <c r="H49" s="243"/>
      <c r="I49" s="615"/>
      <c r="J49" s="243"/>
      <c r="K49" s="243"/>
      <c r="L49" s="243"/>
      <c r="M49" s="243"/>
      <c r="N49" s="243"/>
      <c r="O49" s="975" t="s">
        <v>525</v>
      </c>
      <c r="P49" s="975" t="s">
        <v>69</v>
      </c>
      <c r="Q49" s="975">
        <v>1416</v>
      </c>
      <c r="R49" s="976" t="s">
        <v>62</v>
      </c>
      <c r="S49" s="976">
        <v>39392</v>
      </c>
      <c r="T49" s="976">
        <v>39478</v>
      </c>
      <c r="U49" s="977"/>
      <c r="V49" s="970">
        <v>3</v>
      </c>
      <c r="W49" s="970">
        <v>25</v>
      </c>
      <c r="Y49" s="281"/>
      <c r="Z49" s="281"/>
      <c r="AA49" s="281"/>
      <c r="AB49" s="25" t="s">
        <v>550</v>
      </c>
      <c r="AC49" s="38" t="s">
        <v>528</v>
      </c>
      <c r="AD49" s="38" t="s">
        <v>70</v>
      </c>
      <c r="AE49" s="38">
        <v>3</v>
      </c>
      <c r="AF49" s="38"/>
      <c r="AG49" s="274">
        <v>8205</v>
      </c>
      <c r="AH49" s="38" t="s">
        <v>59</v>
      </c>
      <c r="AI49" s="250">
        <v>39371</v>
      </c>
      <c r="AJ49" s="250">
        <v>39493</v>
      </c>
      <c r="AK49" s="250">
        <v>39391</v>
      </c>
      <c r="AL49" s="250">
        <v>39513</v>
      </c>
      <c r="AM49" s="250">
        <v>-14</v>
      </c>
      <c r="AN49" s="38">
        <v>-14</v>
      </c>
      <c r="AO49" s="59"/>
    </row>
    <row r="50" spans="1:41" ht="12.75">
      <c r="A50" s="1005" t="s">
        <v>547</v>
      </c>
      <c r="B50" s="983">
        <v>1302</v>
      </c>
      <c r="C50" s="984" t="s">
        <v>68</v>
      </c>
      <c r="D50" s="984">
        <v>39531</v>
      </c>
      <c r="E50" s="984">
        <v>39483</v>
      </c>
      <c r="F50" s="985"/>
      <c r="G50" s="1006">
        <v>3</v>
      </c>
      <c r="H50" s="243"/>
      <c r="I50" s="615"/>
      <c r="J50" s="243"/>
      <c r="K50" s="243"/>
      <c r="L50" s="243"/>
      <c r="M50" s="243"/>
      <c r="N50" s="243"/>
      <c r="O50" s="983" t="s">
        <v>531</v>
      </c>
      <c r="P50" s="983" t="s">
        <v>547</v>
      </c>
      <c r="Q50" s="983">
        <v>1302</v>
      </c>
      <c r="R50" s="984" t="s">
        <v>68</v>
      </c>
      <c r="S50" s="984">
        <v>39531</v>
      </c>
      <c r="T50" s="984">
        <v>39483</v>
      </c>
      <c r="U50" s="985"/>
      <c r="V50" s="983">
        <v>3</v>
      </c>
      <c r="W50" s="970">
        <v>49</v>
      </c>
      <c r="Y50" s="281"/>
      <c r="Z50" s="281"/>
      <c r="AA50" s="281"/>
      <c r="AB50" s="25" t="s">
        <v>550</v>
      </c>
      <c r="AC50" s="38" t="s">
        <v>529</v>
      </c>
      <c r="AD50" s="38" t="s">
        <v>71</v>
      </c>
      <c r="AE50" s="38">
        <v>3</v>
      </c>
      <c r="AF50" s="38"/>
      <c r="AG50" s="274">
        <v>1361</v>
      </c>
      <c r="AH50" s="38" t="s">
        <v>68</v>
      </c>
      <c r="AI50" s="38" t="s">
        <v>530</v>
      </c>
      <c r="AJ50" s="250">
        <v>39409</v>
      </c>
      <c r="AK50" s="250" t="s">
        <v>530</v>
      </c>
      <c r="AL50" s="250">
        <v>39409</v>
      </c>
      <c r="AM50" s="250">
        <v>0</v>
      </c>
      <c r="AN50" s="38">
        <v>0</v>
      </c>
      <c r="AO50" s="59"/>
    </row>
    <row r="51" spans="1:41" ht="12.75">
      <c r="A51" s="1000" t="s">
        <v>154</v>
      </c>
      <c r="B51" s="975">
        <v>1803</v>
      </c>
      <c r="C51" s="976" t="s">
        <v>148</v>
      </c>
      <c r="D51" s="976">
        <v>39407</v>
      </c>
      <c r="E51" s="976">
        <v>39497</v>
      </c>
      <c r="F51" s="977"/>
      <c r="G51" s="999">
        <v>3</v>
      </c>
      <c r="H51" s="243"/>
      <c r="I51" s="615"/>
      <c r="J51" s="243"/>
      <c r="K51" s="243"/>
      <c r="L51" s="243"/>
      <c r="M51" s="243"/>
      <c r="N51" s="243"/>
      <c r="O51" s="975" t="s">
        <v>153</v>
      </c>
      <c r="P51" s="975" t="s">
        <v>154</v>
      </c>
      <c r="Q51" s="975">
        <v>1803</v>
      </c>
      <c r="R51" s="976" t="s">
        <v>148</v>
      </c>
      <c r="S51" s="976">
        <v>39407</v>
      </c>
      <c r="T51" s="976">
        <v>39497</v>
      </c>
      <c r="U51" s="977"/>
      <c r="V51" s="970">
        <v>3</v>
      </c>
      <c r="W51" s="970">
        <v>72</v>
      </c>
      <c r="Y51" s="281"/>
      <c r="Z51" s="281"/>
      <c r="AA51" s="281"/>
      <c r="AB51" s="25" t="s">
        <v>550</v>
      </c>
      <c r="AC51" s="38" t="s">
        <v>531</v>
      </c>
      <c r="AD51" s="38" t="s">
        <v>547</v>
      </c>
      <c r="AE51" s="38">
        <v>3</v>
      </c>
      <c r="AF51" s="38"/>
      <c r="AG51" s="274">
        <v>1302</v>
      </c>
      <c r="AH51" s="38" t="s">
        <v>68</v>
      </c>
      <c r="AI51" s="250">
        <v>39528</v>
      </c>
      <c r="AJ51" s="250">
        <v>39531</v>
      </c>
      <c r="AK51" s="250">
        <v>39435</v>
      </c>
      <c r="AL51" s="250">
        <v>39436</v>
      </c>
      <c r="AM51" s="250">
        <v>60</v>
      </c>
      <c r="AN51" s="38">
        <v>60</v>
      </c>
      <c r="AO51" s="25"/>
    </row>
    <row r="52" spans="1:41" ht="9.75" customHeight="1" thickBot="1">
      <c r="A52" s="38"/>
      <c r="B52" s="38"/>
      <c r="C52" s="38"/>
      <c r="D52" s="38"/>
      <c r="E52" s="38"/>
      <c r="F52" s="38"/>
      <c r="G52" s="38"/>
      <c r="H52" s="38"/>
      <c r="I52" s="612"/>
      <c r="J52" s="38"/>
      <c r="K52" s="38"/>
      <c r="L52" s="38"/>
      <c r="M52" s="38"/>
      <c r="N52" s="38"/>
      <c r="O52" s="639"/>
      <c r="P52" s="640"/>
      <c r="Q52" s="639"/>
      <c r="R52" s="638"/>
      <c r="S52" s="638"/>
      <c r="T52" s="637"/>
      <c r="U52" s="637"/>
      <c r="Y52" s="38"/>
      <c r="Z52" s="38"/>
      <c r="AA52" s="38"/>
      <c r="AB52" s="71"/>
      <c r="AC52" s="38" t="s">
        <v>533</v>
      </c>
      <c r="AD52" s="38" t="s">
        <v>549</v>
      </c>
      <c r="AE52" s="38">
        <v>3</v>
      </c>
      <c r="AF52" s="38"/>
      <c r="AG52" s="274">
        <v>1421</v>
      </c>
      <c r="AH52" s="250" t="s">
        <v>62</v>
      </c>
      <c r="AI52" s="38"/>
      <c r="AJ52" s="259">
        <v>39454</v>
      </c>
      <c r="AK52" s="250"/>
      <c r="AL52" s="270">
        <v>39485</v>
      </c>
      <c r="AM52" s="270">
        <v>-23</v>
      </c>
      <c r="AN52" s="4">
        <v>-23</v>
      </c>
      <c r="AO52" s="25"/>
    </row>
    <row r="53" spans="1:41" ht="13.5">
      <c r="A53" s="66"/>
      <c r="B53" s="67"/>
      <c r="C53" s="67"/>
      <c r="D53" s="68" t="s">
        <v>496</v>
      </c>
      <c r="E53" s="69"/>
      <c r="F53" s="69"/>
      <c r="G53" s="70"/>
      <c r="H53" s="38"/>
      <c r="I53" s="612"/>
      <c r="J53" s="38"/>
      <c r="K53" s="38"/>
      <c r="L53" s="38"/>
      <c r="M53" s="38"/>
      <c r="N53" s="38"/>
      <c r="O53" s="38" t="s">
        <v>51</v>
      </c>
      <c r="P53" s="38" t="s">
        <v>52</v>
      </c>
      <c r="Q53" s="38" t="s">
        <v>54</v>
      </c>
      <c r="R53" s="49" t="s">
        <v>55</v>
      </c>
      <c r="S53" s="49" t="s">
        <v>503</v>
      </c>
      <c r="T53" s="243" t="s">
        <v>57</v>
      </c>
      <c r="U53" s="243" t="s">
        <v>727</v>
      </c>
      <c r="V53" s="86" t="s">
        <v>53</v>
      </c>
      <c r="W53" s="86" t="s">
        <v>729</v>
      </c>
      <c r="Y53" s="38"/>
      <c r="Z53" s="38"/>
      <c r="AA53" s="38"/>
      <c r="AB53" s="71"/>
      <c r="AC53" s="38" t="s">
        <v>554</v>
      </c>
      <c r="AD53" s="38" t="s">
        <v>555</v>
      </c>
      <c r="AE53" s="38">
        <v>3</v>
      </c>
      <c r="AF53" s="38"/>
      <c r="AG53" s="274">
        <v>1501</v>
      </c>
      <c r="AH53" s="250" t="s">
        <v>64</v>
      </c>
      <c r="AI53" s="250">
        <v>39346</v>
      </c>
      <c r="AJ53" s="259">
        <v>39346</v>
      </c>
      <c r="AK53" s="250">
        <v>39499</v>
      </c>
      <c r="AL53" s="270">
        <v>39499</v>
      </c>
      <c r="AM53" s="270">
        <v>-100</v>
      </c>
      <c r="AN53" s="4">
        <v>-100</v>
      </c>
      <c r="AO53"/>
    </row>
    <row r="54" spans="1:41" ht="13.5">
      <c r="A54" s="1228"/>
      <c r="B54" s="1229"/>
      <c r="C54" s="1229"/>
      <c r="D54" s="1230"/>
      <c r="E54" s="207"/>
      <c r="F54" s="72" t="s">
        <v>494</v>
      </c>
      <c r="G54" s="72" t="s">
        <v>495</v>
      </c>
      <c r="H54" s="283"/>
      <c r="I54" s="626"/>
      <c r="J54" s="283"/>
      <c r="K54" s="283"/>
      <c r="L54" s="283"/>
      <c r="M54" s="283"/>
      <c r="N54" s="288"/>
      <c r="O54" s="657" t="s">
        <v>512</v>
      </c>
      <c r="P54" s="657" t="s">
        <v>513</v>
      </c>
      <c r="Q54" s="657">
        <v>1421</v>
      </c>
      <c r="R54" s="284" t="s">
        <v>62</v>
      </c>
      <c r="S54" s="284">
        <v>39281</v>
      </c>
      <c r="T54" s="658" t="s">
        <v>515</v>
      </c>
      <c r="U54" s="285"/>
      <c r="V54" s="288">
        <v>3</v>
      </c>
      <c r="W54" s="283"/>
      <c r="X54" s="283"/>
      <c r="Y54" s="283"/>
      <c r="Z54" s="283"/>
      <c r="AA54" s="283"/>
      <c r="AB54" s="71"/>
      <c r="AC54" s="38" t="s">
        <v>556</v>
      </c>
      <c r="AD54" s="38" t="s">
        <v>557</v>
      </c>
      <c r="AE54" s="38">
        <v>2</v>
      </c>
      <c r="AF54" s="38"/>
      <c r="AG54" s="274">
        <v>1352</v>
      </c>
      <c r="AH54" s="250" t="s">
        <v>68</v>
      </c>
      <c r="AI54" s="251"/>
      <c r="AJ54" s="260">
        <v>39595</v>
      </c>
      <c r="AK54" s="250"/>
      <c r="AL54" s="270">
        <v>39510</v>
      </c>
      <c r="AM54" s="270">
        <v>60</v>
      </c>
      <c r="AN54" s="4">
        <v>60</v>
      </c>
      <c r="AO54"/>
    </row>
    <row r="55" spans="1:41" ht="15">
      <c r="A55" s="1231"/>
      <c r="B55" s="1232"/>
      <c r="C55" s="1232"/>
      <c r="D55" s="1233"/>
      <c r="E55" s="73" t="s">
        <v>6</v>
      </c>
      <c r="F55" s="630">
        <f>SUM('COST PERFORMANCE BY RLM &amp; JOB'!C82)</f>
        <v>7737.71</v>
      </c>
      <c r="G55" s="631">
        <f>SUM('COST PERFORMANCE BY RLM &amp; JOB'!K82)</f>
        <v>1960.6100000000001</v>
      </c>
      <c r="H55" s="286"/>
      <c r="I55" s="627"/>
      <c r="J55" s="286"/>
      <c r="K55" s="286"/>
      <c r="L55" s="286"/>
      <c r="M55" s="286"/>
      <c r="N55" s="286"/>
      <c r="O55" s="286" t="s">
        <v>146</v>
      </c>
      <c r="P55" s="286" t="s">
        <v>46</v>
      </c>
      <c r="Q55" s="286">
        <v>1803</v>
      </c>
      <c r="R55" s="286" t="s">
        <v>148</v>
      </c>
      <c r="S55" s="286">
        <v>39276</v>
      </c>
      <c r="T55" s="286" t="s">
        <v>505</v>
      </c>
      <c r="U55" s="286"/>
      <c r="V55" s="286">
        <v>3</v>
      </c>
      <c r="W55" s="286"/>
      <c r="X55" s="286"/>
      <c r="Y55" s="286"/>
      <c r="Z55" s="286"/>
      <c r="AA55" s="286"/>
      <c r="AB55" s="71"/>
      <c r="AC55" s="38" t="s">
        <v>155</v>
      </c>
      <c r="AD55" s="38" t="s">
        <v>552</v>
      </c>
      <c r="AE55" s="243">
        <v>3</v>
      </c>
      <c r="AF55" s="243"/>
      <c r="AG55" s="277">
        <v>1810</v>
      </c>
      <c r="AH55" s="250" t="s">
        <v>156</v>
      </c>
      <c r="AI55" s="49">
        <v>39479</v>
      </c>
      <c r="AJ55" s="259">
        <v>39484</v>
      </c>
      <c r="AK55" s="49">
        <v>39511</v>
      </c>
      <c r="AL55" s="270">
        <v>39514</v>
      </c>
      <c r="AM55" s="270">
        <v>-22</v>
      </c>
      <c r="AN55" s="4">
        <v>-22</v>
      </c>
      <c r="AO55"/>
    </row>
    <row r="56" spans="1:41" ht="15">
      <c r="A56" s="1231"/>
      <c r="B56" s="1232"/>
      <c r="C56" s="1232"/>
      <c r="D56" s="1233"/>
      <c r="E56" s="73" t="s">
        <v>7</v>
      </c>
      <c r="F56" s="630">
        <f>SUM('COST PERFORMANCE BY RLM &amp; JOB'!D82)</f>
        <v>7049.547100000001</v>
      </c>
      <c r="G56" s="631">
        <f>SUM('COST PERFORMANCE BY RLM &amp; JOB'!L82)</f>
        <v>1495.28658834</v>
      </c>
      <c r="H56" s="286"/>
      <c r="I56" s="627"/>
      <c r="J56" s="286"/>
      <c r="K56" s="286"/>
      <c r="L56" s="286"/>
      <c r="M56" s="286"/>
      <c r="N56" s="286"/>
      <c r="O56" s="286" t="s">
        <v>519</v>
      </c>
      <c r="P56" s="286" t="s">
        <v>544</v>
      </c>
      <c r="Q56" s="286">
        <v>1501</v>
      </c>
      <c r="R56" s="286" t="s">
        <v>64</v>
      </c>
      <c r="S56" s="286">
        <v>39283</v>
      </c>
      <c r="T56" s="286" t="s">
        <v>521</v>
      </c>
      <c r="U56" s="286"/>
      <c r="V56" s="286">
        <v>3</v>
      </c>
      <c r="W56" s="286"/>
      <c r="X56" s="286"/>
      <c r="Y56" s="286"/>
      <c r="Z56" s="286"/>
      <c r="AA56" s="286"/>
      <c r="AB56" s="71"/>
      <c r="AC56" s="38" t="s">
        <v>558</v>
      </c>
      <c r="AD56" s="38" t="s">
        <v>559</v>
      </c>
      <c r="AE56" s="38">
        <v>3</v>
      </c>
      <c r="AF56" s="38"/>
      <c r="AG56" s="274">
        <v>8205</v>
      </c>
      <c r="AH56" s="250" t="s">
        <v>59</v>
      </c>
      <c r="AI56" s="250">
        <v>39496</v>
      </c>
      <c r="AJ56" s="259">
        <v>39608</v>
      </c>
      <c r="AK56" s="250">
        <v>39514</v>
      </c>
      <c r="AL56" s="270">
        <v>39626</v>
      </c>
      <c r="AM56" s="270">
        <v>-14</v>
      </c>
      <c r="AN56" s="4">
        <v>-14</v>
      </c>
      <c r="AO56"/>
    </row>
    <row r="57" spans="1:41" ht="15">
      <c r="A57" s="1231"/>
      <c r="B57" s="1232"/>
      <c r="C57" s="1232"/>
      <c r="D57" s="1233"/>
      <c r="E57" s="73" t="s">
        <v>8</v>
      </c>
      <c r="F57" s="630">
        <f>SUM('COST PERFORMANCE BY RLM &amp; JOB'!E82)</f>
        <v>6148.601562535116</v>
      </c>
      <c r="G57" s="631">
        <f>SUM('COST PERFORMANCE BY RLM &amp; JOB'!M82)</f>
        <v>872.049</v>
      </c>
      <c r="H57" s="286"/>
      <c r="I57" s="627"/>
      <c r="J57" s="286"/>
      <c r="K57" s="286"/>
      <c r="L57" s="286"/>
      <c r="M57" s="286"/>
      <c r="N57" s="286"/>
      <c r="O57" s="286" t="s">
        <v>149</v>
      </c>
      <c r="P57" s="286" t="s">
        <v>551</v>
      </c>
      <c r="Q57" s="286">
        <v>3101</v>
      </c>
      <c r="R57" s="286" t="s">
        <v>150</v>
      </c>
      <c r="S57" s="286">
        <v>39331</v>
      </c>
      <c r="T57" s="286" t="s">
        <v>542</v>
      </c>
      <c r="U57" s="286"/>
      <c r="V57" s="286">
        <v>3</v>
      </c>
      <c r="W57" s="286"/>
      <c r="X57" s="286"/>
      <c r="Y57" s="286"/>
      <c r="Z57" s="286"/>
      <c r="AA57" s="286"/>
      <c r="AB57" s="71"/>
      <c r="AC57" s="38" t="s">
        <v>560</v>
      </c>
      <c r="AD57" s="38" t="s">
        <v>561</v>
      </c>
      <c r="AE57" s="38">
        <v>2</v>
      </c>
      <c r="AF57" s="38"/>
      <c r="AG57" s="274">
        <v>1702</v>
      </c>
      <c r="AH57" s="250" t="s">
        <v>64</v>
      </c>
      <c r="AI57" s="250"/>
      <c r="AJ57" s="259">
        <v>39482</v>
      </c>
      <c r="AK57" s="250"/>
      <c r="AL57" s="270">
        <v>39534</v>
      </c>
      <c r="AM57" s="270">
        <v>-38</v>
      </c>
      <c r="AN57" s="4">
        <v>-38</v>
      </c>
      <c r="AO57"/>
    </row>
    <row r="58" spans="1:41" ht="15">
      <c r="A58" s="1231"/>
      <c r="B58" s="1232"/>
      <c r="C58" s="1232"/>
      <c r="D58" s="1233"/>
      <c r="E58" s="73" t="s">
        <v>9</v>
      </c>
      <c r="F58" s="630">
        <f>+F56-F57</f>
        <v>900.9455374648851</v>
      </c>
      <c r="G58" s="632"/>
      <c r="H58" s="38"/>
      <c r="I58" s="612"/>
      <c r="J58" s="38"/>
      <c r="K58" s="38"/>
      <c r="L58" s="38"/>
      <c r="M58" s="38"/>
      <c r="N58" s="38"/>
      <c r="O58" s="74" t="s">
        <v>524</v>
      </c>
      <c r="P58" s="74" t="s">
        <v>67</v>
      </c>
      <c r="Q58" s="74">
        <v>1361</v>
      </c>
      <c r="R58" s="74" t="s">
        <v>68</v>
      </c>
      <c r="S58" s="1083">
        <v>39353</v>
      </c>
      <c r="T58" s="74" t="s">
        <v>828</v>
      </c>
      <c r="U58" s="1084">
        <v>39417</v>
      </c>
      <c r="V58" s="38">
        <v>2</v>
      </c>
      <c r="W58" s="38"/>
      <c r="X58" s="38"/>
      <c r="Y58" s="38"/>
      <c r="Z58" s="38"/>
      <c r="AA58" s="38"/>
      <c r="AB58" s="71"/>
      <c r="AG58" s="278"/>
      <c r="AO58"/>
    </row>
    <row r="59" spans="1:23" ht="15">
      <c r="A59" s="1231"/>
      <c r="B59" s="1232"/>
      <c r="C59" s="1232"/>
      <c r="D59" s="1233"/>
      <c r="E59" s="73" t="s">
        <v>10</v>
      </c>
      <c r="F59" s="630">
        <f>+F56-F55</f>
        <v>-688.1628999999994</v>
      </c>
      <c r="G59" s="632"/>
      <c r="H59" s="38"/>
      <c r="I59" s="968"/>
      <c r="J59" s="267"/>
      <c r="K59" s="261"/>
      <c r="L59" s="261"/>
      <c r="M59" s="279"/>
      <c r="N59" s="269"/>
      <c r="O59" s="49" t="s">
        <v>506</v>
      </c>
      <c r="P59" s="260" t="s">
        <v>58</v>
      </c>
      <c r="Q59" s="261">
        <v>8205</v>
      </c>
      <c r="R59" s="4" t="s">
        <v>59</v>
      </c>
      <c r="S59" s="270">
        <v>39325</v>
      </c>
      <c r="T59" s="270">
        <v>39399</v>
      </c>
      <c r="U59" s="338"/>
      <c r="V59" s="86">
        <v>3</v>
      </c>
      <c r="W59" s="86">
        <v>-10</v>
      </c>
    </row>
    <row r="60" spans="1:23" ht="15">
      <c r="A60" s="1231"/>
      <c r="B60" s="1232"/>
      <c r="C60" s="1232"/>
      <c r="D60" s="1233"/>
      <c r="E60" s="73" t="s">
        <v>11</v>
      </c>
      <c r="F60" s="633">
        <f>+F56/F57</f>
        <v>1.1465285282029916</v>
      </c>
      <c r="G60" s="634">
        <f>+G56/G57</f>
        <v>1.7146818451027408</v>
      </c>
      <c r="H60" s="38"/>
      <c r="I60" s="612"/>
      <c r="J60" s="38"/>
      <c r="K60" s="38"/>
      <c r="L60" s="38"/>
      <c r="M60" s="274"/>
      <c r="N60" s="250"/>
      <c r="O60" s="250" t="s">
        <v>529</v>
      </c>
      <c r="P60" s="259" t="s">
        <v>71</v>
      </c>
      <c r="Q60" s="38">
        <v>1361</v>
      </c>
      <c r="R60" s="4" t="s">
        <v>68</v>
      </c>
      <c r="S60" s="270">
        <v>39409</v>
      </c>
      <c r="T60" s="270">
        <v>39412</v>
      </c>
      <c r="U60" s="338"/>
      <c r="V60" s="86">
        <v>3</v>
      </c>
      <c r="W60" s="86">
        <v>403</v>
      </c>
    </row>
    <row r="61" spans="1:23" ht="15">
      <c r="A61" s="1231"/>
      <c r="B61" s="1232"/>
      <c r="C61" s="1232"/>
      <c r="D61" s="1233"/>
      <c r="E61" s="73" t="s">
        <v>12</v>
      </c>
      <c r="F61" s="633">
        <f>+F56/F55</f>
        <v>0.9110637514199939</v>
      </c>
      <c r="G61" s="634">
        <f>+G56/G55</f>
        <v>0.7626639608795222</v>
      </c>
      <c r="H61" s="71"/>
      <c r="I61" s="612"/>
      <c r="J61" s="38"/>
      <c r="K61" s="38"/>
      <c r="L61" s="38"/>
      <c r="M61" s="274"/>
      <c r="N61" s="250"/>
      <c r="O61" s="250" t="s">
        <v>509</v>
      </c>
      <c r="P61" s="259" t="s">
        <v>60</v>
      </c>
      <c r="Q61" s="38">
        <v>1806</v>
      </c>
      <c r="R61" s="4" t="s">
        <v>61</v>
      </c>
      <c r="S61" s="270">
        <v>39336</v>
      </c>
      <c r="T61" s="270">
        <v>39413</v>
      </c>
      <c r="U61"/>
      <c r="V61" s="86">
        <v>3</v>
      </c>
      <c r="W61" s="86">
        <v>-18</v>
      </c>
    </row>
    <row r="62" spans="1:23" ht="13.5">
      <c r="A62" s="1231"/>
      <c r="B62" s="1232"/>
      <c r="C62" s="1232"/>
      <c r="D62" s="1233"/>
      <c r="E62" s="73" t="s">
        <v>4</v>
      </c>
      <c r="F62" s="183">
        <f>SUM('COST PERFORMANCE BY RLM &amp; JOB'!R82)+'Baseline Reconciliation'!F134</f>
        <v>118031.138</v>
      </c>
      <c r="G62" s="210"/>
      <c r="H62" s="71"/>
      <c r="I62" s="612"/>
      <c r="J62" s="38"/>
      <c r="K62" s="38"/>
      <c r="L62" s="38"/>
      <c r="M62" s="274"/>
      <c r="N62" s="250"/>
      <c r="O62" s="250" t="s">
        <v>522</v>
      </c>
      <c r="P62" s="259" t="s">
        <v>545</v>
      </c>
      <c r="Q62" s="38">
        <v>1421</v>
      </c>
      <c r="R62" s="4" t="s">
        <v>62</v>
      </c>
      <c r="S62" s="270">
        <v>39329</v>
      </c>
      <c r="T62" s="4" t="s">
        <v>820</v>
      </c>
      <c r="U62" s="1013">
        <v>39387</v>
      </c>
      <c r="V62" s="86">
        <v>2</v>
      </c>
      <c r="W62" s="86">
        <v>-38</v>
      </c>
    </row>
    <row r="63" spans="1:23" ht="13.5">
      <c r="A63" s="1231"/>
      <c r="B63" s="1232"/>
      <c r="C63" s="1232"/>
      <c r="D63" s="1233"/>
      <c r="E63" s="73" t="s">
        <v>5</v>
      </c>
      <c r="F63" s="184">
        <f>SUM('COST PERFORMANCE BY RLM &amp; JOB'!V82)+'Baseline Reconciliation'!F134</f>
        <v>118073.88489962765</v>
      </c>
      <c r="G63" s="210"/>
      <c r="H63" s="71"/>
      <c r="I63" s="612"/>
      <c r="J63" s="38"/>
      <c r="K63" s="38"/>
      <c r="L63" s="38"/>
      <c r="M63" s="274"/>
      <c r="N63" s="250"/>
      <c r="O63" s="250" t="s">
        <v>523</v>
      </c>
      <c r="P63" s="259" t="s">
        <v>66</v>
      </c>
      <c r="Q63" s="38">
        <v>8205</v>
      </c>
      <c r="R63" s="4" t="s">
        <v>59</v>
      </c>
      <c r="S63" s="270">
        <v>39370</v>
      </c>
      <c r="T63" s="270">
        <v>39416</v>
      </c>
      <c r="U63"/>
      <c r="V63" s="86">
        <v>3</v>
      </c>
      <c r="W63" s="86">
        <v>24</v>
      </c>
    </row>
    <row r="64" spans="1:23" ht="12.75">
      <c r="A64" s="1231"/>
      <c r="B64" s="1232"/>
      <c r="C64" s="1232"/>
      <c r="D64" s="1233"/>
      <c r="E64" s="211" t="s">
        <v>3</v>
      </c>
      <c r="F64" s="212"/>
      <c r="G64" s="213"/>
      <c r="H64" s="71"/>
      <c r="I64" s="612"/>
      <c r="J64" s="38"/>
      <c r="K64" s="243"/>
      <c r="L64" s="243"/>
      <c r="M64" s="277"/>
      <c r="N64" s="250"/>
      <c r="O64" s="49" t="s">
        <v>554</v>
      </c>
      <c r="P64" s="259" t="s">
        <v>555</v>
      </c>
      <c r="Q64" s="243">
        <v>1501</v>
      </c>
      <c r="R64" s="4" t="s">
        <v>64</v>
      </c>
      <c r="S64" s="270">
        <v>39346</v>
      </c>
      <c r="T64" s="270">
        <v>39423</v>
      </c>
      <c r="U64"/>
      <c r="V64" s="86">
        <v>3</v>
      </c>
      <c r="W64" s="86">
        <v>111</v>
      </c>
    </row>
    <row r="65" spans="1:23" ht="12.75">
      <c r="A65" s="1231"/>
      <c r="B65" s="1232"/>
      <c r="C65" s="1232"/>
      <c r="D65" s="1233"/>
      <c r="E65" s="75" t="s">
        <v>13</v>
      </c>
      <c r="F65" s="1237"/>
      <c r="G65" s="1238"/>
      <c r="H65" s="71"/>
      <c r="I65" s="612"/>
      <c r="J65" s="38"/>
      <c r="K65" s="38"/>
      <c r="L65" s="38"/>
      <c r="M65" s="274"/>
      <c r="N65" s="250"/>
      <c r="O65" s="250" t="s">
        <v>516</v>
      </c>
      <c r="P65" s="259" t="s">
        <v>63</v>
      </c>
      <c r="Q65" s="38">
        <v>1806</v>
      </c>
      <c r="R65" s="4" t="s">
        <v>61</v>
      </c>
      <c r="S65" s="270">
        <v>39336</v>
      </c>
      <c r="T65" s="270">
        <v>39427</v>
      </c>
      <c r="U65"/>
      <c r="V65" s="86">
        <v>3</v>
      </c>
      <c r="W65" s="86">
        <v>-28</v>
      </c>
    </row>
    <row r="66" spans="1:23" ht="12.75">
      <c r="A66" s="1231"/>
      <c r="B66" s="1232"/>
      <c r="C66" s="1232"/>
      <c r="D66" s="1233"/>
      <c r="E66" s="1239"/>
      <c r="F66" s="1206"/>
      <c r="G66" s="1240"/>
      <c r="H66" s="71"/>
      <c r="I66" s="612"/>
      <c r="J66" s="38"/>
      <c r="K66" s="38"/>
      <c r="L66" s="38"/>
      <c r="M66" s="274"/>
      <c r="N66" s="250"/>
      <c r="O66" s="250" t="s">
        <v>518</v>
      </c>
      <c r="P66" s="260" t="s">
        <v>65</v>
      </c>
      <c r="Q66" s="38">
        <v>1416</v>
      </c>
      <c r="R66" s="4" t="s">
        <v>62</v>
      </c>
      <c r="S66" s="270">
        <v>39407</v>
      </c>
      <c r="T66" s="270">
        <v>39454</v>
      </c>
      <c r="U66"/>
      <c r="V66" s="86">
        <v>3</v>
      </c>
      <c r="W66" s="86">
        <v>26</v>
      </c>
    </row>
    <row r="67" spans="1:23" ht="12.75">
      <c r="A67" s="1234"/>
      <c r="B67" s="1235"/>
      <c r="C67" s="1235"/>
      <c r="D67" s="1236"/>
      <c r="E67" s="1241"/>
      <c r="F67" s="1242"/>
      <c r="G67" s="1243"/>
      <c r="H67" s="25"/>
      <c r="I67" s="612"/>
      <c r="J67" s="38"/>
      <c r="K67" s="38"/>
      <c r="L67" s="38"/>
      <c r="M67" s="274"/>
      <c r="N67" s="250"/>
      <c r="O67" s="250" t="s">
        <v>533</v>
      </c>
      <c r="P67" s="260" t="s">
        <v>728</v>
      </c>
      <c r="Q67" s="38">
        <v>1421</v>
      </c>
      <c r="R67" s="4" t="s">
        <v>62</v>
      </c>
      <c r="S67" s="270">
        <v>39454</v>
      </c>
      <c r="T67" s="270">
        <v>39454</v>
      </c>
      <c r="U67"/>
      <c r="V67" s="86">
        <v>3</v>
      </c>
      <c r="W67" s="86">
        <v>449</v>
      </c>
    </row>
    <row r="68" spans="1:23" ht="12.75">
      <c r="A68" s="1194" t="s">
        <v>497</v>
      </c>
      <c r="B68" s="1195"/>
      <c r="C68" s="1195"/>
      <c r="D68" s="1196"/>
      <c r="E68" s="1196"/>
      <c r="F68" s="1196"/>
      <c r="G68" s="1197"/>
      <c r="H68" s="25"/>
      <c r="I68" s="612"/>
      <c r="J68" s="38"/>
      <c r="K68" s="38"/>
      <c r="L68" s="38"/>
      <c r="M68" s="274"/>
      <c r="N68" s="250"/>
      <c r="O68" s="250" t="s">
        <v>155</v>
      </c>
      <c r="P68" s="259" t="s">
        <v>552</v>
      </c>
      <c r="Q68" s="38">
        <v>1810</v>
      </c>
      <c r="R68" s="4" t="s">
        <v>156</v>
      </c>
      <c r="S68" s="270">
        <v>39484</v>
      </c>
      <c r="T68" s="270">
        <v>39454</v>
      </c>
      <c r="U68"/>
      <c r="V68" s="86">
        <v>3</v>
      </c>
      <c r="W68" s="86">
        <v>312</v>
      </c>
    </row>
    <row r="69" spans="1:23" ht="12.75">
      <c r="A69" s="1198" t="s">
        <v>22</v>
      </c>
      <c r="B69" s="1199"/>
      <c r="C69" s="1199"/>
      <c r="D69" s="1200"/>
      <c r="E69" s="76" t="s">
        <v>23</v>
      </c>
      <c r="F69" s="77"/>
      <c r="G69" s="78"/>
      <c r="H69" s="25"/>
      <c r="I69" s="38"/>
      <c r="J69" s="38"/>
      <c r="K69" s="38"/>
      <c r="L69" s="38"/>
      <c r="M69" s="274"/>
      <c r="N69" s="250"/>
      <c r="O69" s="250" t="s">
        <v>151</v>
      </c>
      <c r="P69" s="259" t="s">
        <v>44</v>
      </c>
      <c r="Q69" s="38">
        <v>1431</v>
      </c>
      <c r="R69" s="4" t="s">
        <v>152</v>
      </c>
      <c r="S69" s="270">
        <v>39345</v>
      </c>
      <c r="T69" s="270">
        <v>39458</v>
      </c>
      <c r="U69" s="1013">
        <v>39417</v>
      </c>
      <c r="V69" s="86">
        <v>2</v>
      </c>
      <c r="W69" s="86">
        <v>-39</v>
      </c>
    </row>
    <row r="70" spans="1:23" ht="12.75">
      <c r="A70" s="1201"/>
      <c r="B70" s="1202"/>
      <c r="C70" s="1202"/>
      <c r="D70" s="1203"/>
      <c r="E70" s="1202"/>
      <c r="F70" s="1203"/>
      <c r="G70" s="1210"/>
      <c r="H70" s="25"/>
      <c r="I70" s="38"/>
      <c r="J70" s="38"/>
      <c r="K70" s="38"/>
      <c r="L70" s="38"/>
      <c r="M70" s="274"/>
      <c r="N70" s="250"/>
      <c r="O70" s="250" t="s">
        <v>525</v>
      </c>
      <c r="P70" s="259" t="s">
        <v>69</v>
      </c>
      <c r="Q70" s="38">
        <v>1416</v>
      </c>
      <c r="R70" s="4" t="s">
        <v>62</v>
      </c>
      <c r="S70" s="270">
        <v>39392</v>
      </c>
      <c r="T70" s="270">
        <v>39478</v>
      </c>
      <c r="U70"/>
      <c r="V70" s="86">
        <v>3</v>
      </c>
      <c r="W70" s="86">
        <v>-2</v>
      </c>
    </row>
    <row r="71" spans="1:23" ht="12.75">
      <c r="A71" s="1204"/>
      <c r="B71" s="1205"/>
      <c r="C71" s="1205"/>
      <c r="D71" s="1206"/>
      <c r="E71" s="1205"/>
      <c r="F71" s="1206"/>
      <c r="G71" s="1211"/>
      <c r="H71" s="25"/>
      <c r="I71" s="38"/>
      <c r="J71" s="38"/>
      <c r="K71" s="38"/>
      <c r="L71" s="38"/>
      <c r="M71" s="274"/>
      <c r="N71" s="250"/>
      <c r="O71" s="250" t="s">
        <v>531</v>
      </c>
      <c r="P71" s="259" t="s">
        <v>547</v>
      </c>
      <c r="Q71" s="38">
        <v>1302</v>
      </c>
      <c r="R71" s="4" t="s">
        <v>68</v>
      </c>
      <c r="S71" s="270">
        <v>39531</v>
      </c>
      <c r="T71" s="270">
        <v>39483</v>
      </c>
      <c r="U71"/>
      <c r="V71" s="86">
        <v>3</v>
      </c>
      <c r="W71" s="86">
        <v>49</v>
      </c>
    </row>
    <row r="72" spans="1:23" ht="12.75">
      <c r="A72" s="1204"/>
      <c r="B72" s="1205"/>
      <c r="C72" s="1205"/>
      <c r="D72" s="1206"/>
      <c r="E72" s="1205"/>
      <c r="F72" s="1206"/>
      <c r="G72" s="1211"/>
      <c r="H72" s="25"/>
      <c r="I72" s="38"/>
      <c r="J72" s="38"/>
      <c r="K72" s="243"/>
      <c r="L72" s="243"/>
      <c r="M72" s="277"/>
      <c r="N72" s="250"/>
      <c r="O72" s="49" t="s">
        <v>153</v>
      </c>
      <c r="P72" s="259" t="s">
        <v>154</v>
      </c>
      <c r="Q72" s="243">
        <v>1803</v>
      </c>
      <c r="R72" s="4" t="s">
        <v>148</v>
      </c>
      <c r="S72" s="270">
        <v>39407</v>
      </c>
      <c r="T72" s="270">
        <v>39497</v>
      </c>
      <c r="U72"/>
      <c r="V72" s="86">
        <v>3</v>
      </c>
      <c r="W72" s="86">
        <v>69</v>
      </c>
    </row>
    <row r="73" spans="1:21" ht="12.75">
      <c r="A73" s="1204"/>
      <c r="B73" s="1205"/>
      <c r="C73" s="1205"/>
      <c r="D73" s="1206"/>
      <c r="E73" s="1205"/>
      <c r="F73" s="1206"/>
      <c r="G73" s="1211"/>
      <c r="H73" s="25"/>
      <c r="I73" s="38"/>
      <c r="J73" s="38"/>
      <c r="K73" s="38"/>
      <c r="L73" s="38"/>
      <c r="M73" s="274"/>
      <c r="N73" s="250"/>
      <c r="O73" s="250"/>
      <c r="P73" s="259"/>
      <c r="Q73" s="38"/>
      <c r="R73" s="4"/>
      <c r="S73" s="4"/>
      <c r="T73" s="4"/>
      <c r="U73"/>
    </row>
    <row r="74" spans="1:21" ht="12.75">
      <c r="A74" s="1207"/>
      <c r="B74" s="1206"/>
      <c r="C74" s="1206"/>
      <c r="D74" s="1206"/>
      <c r="E74" s="1206"/>
      <c r="F74" s="1206"/>
      <c r="G74" s="1211"/>
      <c r="H74" s="71"/>
      <c r="I74" s="38"/>
      <c r="J74" s="38"/>
      <c r="K74" s="38"/>
      <c r="L74" s="38"/>
      <c r="M74" s="274"/>
      <c r="N74" s="250"/>
      <c r="O74" s="250"/>
      <c r="P74" s="259"/>
      <c r="Q74" s="38"/>
      <c r="R74" s="4"/>
      <c r="S74" s="4"/>
      <c r="T74" s="4"/>
      <c r="U74"/>
    </row>
    <row r="75" spans="1:21" ht="13.5">
      <c r="A75" s="1207"/>
      <c r="B75" s="1206"/>
      <c r="C75" s="1206"/>
      <c r="D75" s="1206"/>
      <c r="E75" s="1206"/>
      <c r="F75" s="1206"/>
      <c r="G75" s="1211"/>
      <c r="H75" s="71"/>
      <c r="I75" s="38"/>
      <c r="J75" s="38"/>
      <c r="K75" s="38"/>
      <c r="L75" s="38"/>
      <c r="M75" s="274"/>
      <c r="N75" s="250"/>
      <c r="O75" s="657" t="s">
        <v>512</v>
      </c>
      <c r="P75" s="259"/>
      <c r="Q75" s="4"/>
      <c r="R75" s="4"/>
      <c r="S75" s="4"/>
      <c r="T75" s="4">
        <f>IF(T54=T33,"","X")</f>
      </c>
      <c r="U75"/>
    </row>
    <row r="76" spans="1:21" ht="14.25" thickBot="1">
      <c r="A76" s="1208"/>
      <c r="B76" s="1209"/>
      <c r="C76" s="1209"/>
      <c r="D76" s="1209"/>
      <c r="E76" s="1209"/>
      <c r="F76" s="1209"/>
      <c r="G76" s="1212"/>
      <c r="H76" s="25"/>
      <c r="I76" s="38"/>
      <c r="J76" s="38"/>
      <c r="K76" s="38"/>
      <c r="L76" s="38"/>
      <c r="M76" s="274"/>
      <c r="N76" s="250"/>
      <c r="O76" s="286" t="s">
        <v>146</v>
      </c>
      <c r="P76" s="259"/>
      <c r="Q76" s="4"/>
      <c r="R76" s="4"/>
      <c r="S76" s="4"/>
      <c r="T76" s="4">
        <f>IF(T55=E34,"","X")</f>
      </c>
      <c r="U76"/>
    </row>
    <row r="77" spans="1:21" ht="17.25" customHeight="1" thickBot="1">
      <c r="A77" s="42"/>
      <c r="B77" s="42"/>
      <c r="C77" s="42"/>
      <c r="D77" s="42"/>
      <c r="E77" s="42"/>
      <c r="F77" s="42"/>
      <c r="G77" s="42"/>
      <c r="H77" s="25"/>
      <c r="I77" s="4"/>
      <c r="J77" s="4"/>
      <c r="K77" s="4"/>
      <c r="L77" s="4"/>
      <c r="M77" s="280"/>
      <c r="N77" s="4"/>
      <c r="O77" s="286" t="s">
        <v>519</v>
      </c>
      <c r="P77" s="4"/>
      <c r="Q77" s="4"/>
      <c r="R77" s="4"/>
      <c r="S77" s="4"/>
      <c r="T77" s="4">
        <f aca="true" t="shared" si="0" ref="T77:T93">IF(T56=E35,"","X")</f>
      </c>
      <c r="U77"/>
    </row>
    <row r="78" spans="1:21" ht="13.5">
      <c r="A78" s="79" t="s">
        <v>15</v>
      </c>
      <c r="B78" s="80"/>
      <c r="C78" s="80"/>
      <c r="D78" s="81"/>
      <c r="E78" s="82"/>
      <c r="F78" s="83"/>
      <c r="G78" s="84"/>
      <c r="H78" s="25"/>
      <c r="I78" s="4"/>
      <c r="J78" s="4"/>
      <c r="K78" s="4"/>
      <c r="L78" s="4"/>
      <c r="M78" s="280"/>
      <c r="N78" s="4"/>
      <c r="O78" s="286" t="s">
        <v>149</v>
      </c>
      <c r="P78" s="4"/>
      <c r="Q78" s="4"/>
      <c r="R78" s="4"/>
      <c r="S78" s="4"/>
      <c r="T78" s="4">
        <f t="shared" si="0"/>
      </c>
      <c r="U78"/>
    </row>
    <row r="79" spans="1:21" ht="12.75">
      <c r="A79" s="214" t="s">
        <v>498</v>
      </c>
      <c r="B79" s="215"/>
      <c r="C79" s="215"/>
      <c r="D79" s="217" t="s">
        <v>14</v>
      </c>
      <c r="E79" s="218" t="s">
        <v>500</v>
      </c>
      <c r="F79" s="219"/>
      <c r="G79" s="220"/>
      <c r="H79" s="25"/>
      <c r="I79" s="4"/>
      <c r="J79" s="4"/>
      <c r="K79" s="4"/>
      <c r="L79" s="4"/>
      <c r="M79" s="280"/>
      <c r="N79" s="4"/>
      <c r="O79" s="38" t="s">
        <v>524</v>
      </c>
      <c r="P79" s="4"/>
      <c r="Q79" s="4"/>
      <c r="R79" s="4"/>
      <c r="S79" s="4"/>
      <c r="T79" s="4" t="str">
        <f t="shared" si="0"/>
        <v>X</v>
      </c>
      <c r="U79"/>
    </row>
    <row r="80" spans="1:21" ht="12.75">
      <c r="A80" s="948"/>
      <c r="B80" s="216"/>
      <c r="C80" s="216"/>
      <c r="D80" s="948"/>
      <c r="E80" s="948"/>
      <c r="F80" s="1186"/>
      <c r="G80" s="1187"/>
      <c r="H80" s="25"/>
      <c r="I80" s="4"/>
      <c r="J80" s="4"/>
      <c r="K80" s="4"/>
      <c r="L80" s="4"/>
      <c r="M80" s="280"/>
      <c r="N80" s="4"/>
      <c r="O80" s="49" t="s">
        <v>506</v>
      </c>
      <c r="P80" s="4"/>
      <c r="Q80" s="4"/>
      <c r="R80" s="4"/>
      <c r="S80" s="4"/>
      <c r="T80" s="4">
        <f t="shared" si="0"/>
      </c>
      <c r="U80"/>
    </row>
    <row r="81" spans="1:21" ht="12.75">
      <c r="A81" s="1185"/>
      <c r="B81" s="43"/>
      <c r="C81" s="43"/>
      <c r="D81" s="1185"/>
      <c r="E81" s="1185"/>
      <c r="F81" s="1188"/>
      <c r="G81" s="1189"/>
      <c r="H81" s="25"/>
      <c r="I81"/>
      <c r="J81"/>
      <c r="K81"/>
      <c r="L81"/>
      <c r="M81" s="273"/>
      <c r="N81"/>
      <c r="O81" s="250" t="s">
        <v>529</v>
      </c>
      <c r="P81"/>
      <c r="Q81"/>
      <c r="R81"/>
      <c r="S81"/>
      <c r="T81" s="4">
        <f t="shared" si="0"/>
      </c>
      <c r="U81"/>
    </row>
    <row r="82" spans="1:21" ht="12.75">
      <c r="A82" s="1190"/>
      <c r="B82" s="85"/>
      <c r="C82" s="85"/>
      <c r="D82" s="1190"/>
      <c r="E82" s="1190"/>
      <c r="F82" s="1188"/>
      <c r="G82" s="1189"/>
      <c r="H82"/>
      <c r="I82"/>
      <c r="J82"/>
      <c r="K82"/>
      <c r="L82"/>
      <c r="M82" s="273"/>
      <c r="N82"/>
      <c r="O82" s="250" t="s">
        <v>509</v>
      </c>
      <c r="P82"/>
      <c r="Q82"/>
      <c r="R82"/>
      <c r="S82"/>
      <c r="T82" s="4">
        <f t="shared" si="0"/>
      </c>
      <c r="U82"/>
    </row>
    <row r="83" spans="1:21" ht="12.75">
      <c r="A83" s="1191"/>
      <c r="B83" s="44"/>
      <c r="C83" s="44"/>
      <c r="D83" s="1191"/>
      <c r="E83" s="1191"/>
      <c r="F83" s="1192"/>
      <c r="G83" s="1193"/>
      <c r="H83"/>
      <c r="I83"/>
      <c r="J83"/>
      <c r="K83"/>
      <c r="L83"/>
      <c r="M83" s="273"/>
      <c r="N83"/>
      <c r="O83" s="250" t="s">
        <v>522</v>
      </c>
      <c r="P83"/>
      <c r="Q83"/>
      <c r="R83"/>
      <c r="S83"/>
      <c r="T83" s="4">
        <f t="shared" si="0"/>
      </c>
      <c r="U8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 s="273"/>
      <c r="N84"/>
      <c r="O84" s="250" t="s">
        <v>523</v>
      </c>
      <c r="P84"/>
      <c r="Q84"/>
      <c r="R84"/>
      <c r="S84"/>
      <c r="T84" s="4">
        <f t="shared" si="0"/>
      </c>
      <c r="U84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 s="273"/>
      <c r="N85"/>
      <c r="O85" s="49" t="s">
        <v>554</v>
      </c>
      <c r="P85"/>
      <c r="Q85"/>
      <c r="R85"/>
      <c r="S85"/>
      <c r="T85" s="4">
        <f t="shared" si="0"/>
      </c>
      <c r="U85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 s="273"/>
      <c r="N86"/>
      <c r="O86" s="250" t="s">
        <v>516</v>
      </c>
      <c r="P86"/>
      <c r="Q86"/>
      <c r="R86"/>
      <c r="S86"/>
      <c r="T86" s="4">
        <f t="shared" si="0"/>
      </c>
      <c r="U86"/>
    </row>
    <row r="87" spans="15:20" ht="12.75">
      <c r="O87" s="250" t="s">
        <v>518</v>
      </c>
      <c r="T87" s="4">
        <f t="shared" si="0"/>
      </c>
    </row>
    <row r="88" spans="15:20" ht="12.75">
      <c r="O88" s="250" t="s">
        <v>533</v>
      </c>
      <c r="T88" s="4">
        <f t="shared" si="0"/>
      </c>
    </row>
    <row r="89" spans="15:20" ht="12.75">
      <c r="O89" s="250" t="s">
        <v>155</v>
      </c>
      <c r="T89" s="4">
        <f t="shared" si="0"/>
      </c>
    </row>
    <row r="90" spans="15:20" ht="12.75">
      <c r="O90" s="250" t="s">
        <v>151</v>
      </c>
      <c r="T90" s="4">
        <f t="shared" si="0"/>
      </c>
    </row>
    <row r="91" spans="15:20" ht="12.75">
      <c r="O91" s="250" t="s">
        <v>525</v>
      </c>
      <c r="T91" s="4">
        <f t="shared" si="0"/>
      </c>
    </row>
    <row r="92" spans="15:20" ht="12.75">
      <c r="O92" s="250" t="s">
        <v>531</v>
      </c>
      <c r="T92" s="4">
        <f t="shared" si="0"/>
      </c>
    </row>
    <row r="93" spans="15:20" ht="12.75">
      <c r="O93" s="49" t="s">
        <v>153</v>
      </c>
      <c r="T93" s="4">
        <f t="shared" si="0"/>
      </c>
    </row>
    <row r="94" ht="12.75">
      <c r="T94" s="4">
        <f aca="true" t="shared" si="1" ref="T94:T100">IF(T73=T52,"","X")</f>
      </c>
    </row>
    <row r="95" ht="12.75">
      <c r="T95" s="4" t="str">
        <f t="shared" si="1"/>
        <v>X</v>
      </c>
    </row>
    <row r="96" ht="12.75">
      <c r="T96" s="4" t="str">
        <f t="shared" si="1"/>
        <v>X</v>
      </c>
    </row>
    <row r="97" ht="12.75">
      <c r="T97" s="4" t="str">
        <f t="shared" si="1"/>
        <v>X</v>
      </c>
    </row>
    <row r="98" ht="12.75">
      <c r="T98" s="4" t="str">
        <f t="shared" si="1"/>
        <v>X</v>
      </c>
    </row>
    <row r="99" ht="12.75">
      <c r="T99" s="4" t="str">
        <f t="shared" si="1"/>
        <v>X</v>
      </c>
    </row>
    <row r="100" ht="12.75">
      <c r="T100" s="4" t="str">
        <f t="shared" si="1"/>
        <v>X</v>
      </c>
    </row>
  </sheetData>
  <mergeCells count="24">
    <mergeCell ref="A3:D3"/>
    <mergeCell ref="A6:D6"/>
    <mergeCell ref="A7:D7"/>
    <mergeCell ref="E7:G7"/>
    <mergeCell ref="A8:G8"/>
    <mergeCell ref="A9:G14"/>
    <mergeCell ref="A15:G15"/>
    <mergeCell ref="A16:G22"/>
    <mergeCell ref="A23:G23"/>
    <mergeCell ref="A24:G30"/>
    <mergeCell ref="A32:G32"/>
    <mergeCell ref="A54:D67"/>
    <mergeCell ref="F65:G65"/>
    <mergeCell ref="E66:G67"/>
    <mergeCell ref="A68:G68"/>
    <mergeCell ref="A69:D69"/>
    <mergeCell ref="A70:D76"/>
    <mergeCell ref="E70:G76"/>
    <mergeCell ref="A80:A81"/>
    <mergeCell ref="D80:D81"/>
    <mergeCell ref="E80:G81"/>
    <mergeCell ref="A82:A83"/>
    <mergeCell ref="D82:D83"/>
    <mergeCell ref="E82:G83"/>
  </mergeCells>
  <printOptions/>
  <pageMargins left="0.17" right="0.17" top="0.21" bottom="0.24" header="0.17" footer="0.19"/>
  <pageSetup fitToHeight="1" fitToWidth="1" horizontalDpi="600" verticalDpi="600" orientation="portrait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workbookViewId="0" topLeftCell="A22">
      <selection activeCell="G54" sqref="G5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9.421875" style="86" customWidth="1"/>
    <col min="7" max="7" width="18.28125" style="86" customWidth="1"/>
    <col min="8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7.25">
      <c r="A2" s="26" t="s">
        <v>491</v>
      </c>
      <c r="B2" s="27"/>
      <c r="C2" s="27"/>
      <c r="D2" s="28"/>
      <c r="E2" s="28"/>
      <c r="F2" s="28"/>
      <c r="G2" s="29"/>
      <c r="H2" s="30" t="s">
        <v>186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ht="15.75" thickBot="1">
      <c r="A3" s="1250" t="s">
        <v>19</v>
      </c>
      <c r="B3" s="1251"/>
      <c r="C3" s="1251"/>
      <c r="D3" s="1252"/>
      <c r="E3" s="31" t="s">
        <v>17</v>
      </c>
      <c r="F3" s="32" t="s">
        <v>21</v>
      </c>
      <c r="G3" s="33" t="s">
        <v>18</v>
      </c>
      <c r="H3" s="30"/>
      <c r="I3" s="25"/>
      <c r="J3" s="25"/>
      <c r="K3" s="25"/>
      <c r="L3" s="25"/>
      <c r="M3" s="25"/>
      <c r="N3" s="25"/>
      <c r="O3" s="25"/>
      <c r="P3" s="25"/>
      <c r="Q3"/>
      <c r="R3"/>
      <c r="S3"/>
    </row>
    <row r="4" spans="1:19" ht="20.25">
      <c r="A4" s="236" t="s">
        <v>172</v>
      </c>
      <c r="B4" s="34"/>
      <c r="C4" s="34"/>
      <c r="D4" s="34"/>
      <c r="E4" s="237" t="s">
        <v>487</v>
      </c>
      <c r="F4" s="35"/>
      <c r="G4" s="614">
        <v>39386</v>
      </c>
      <c r="H4" s="36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3.5">
      <c r="A5" s="200" t="s">
        <v>0</v>
      </c>
      <c r="B5" s="188" t="s">
        <v>194</v>
      </c>
      <c r="C5" s="189" t="s">
        <v>21</v>
      </c>
      <c r="D5" s="186" t="s">
        <v>0</v>
      </c>
      <c r="E5" s="187"/>
      <c r="F5" s="188" t="s">
        <v>194</v>
      </c>
      <c r="G5" s="201" t="s">
        <v>21</v>
      </c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173</v>
      </c>
      <c r="B6" s="228" t="s">
        <v>177</v>
      </c>
      <c r="C6" s="191"/>
      <c r="D6" s="194"/>
      <c r="E6" s="195"/>
      <c r="F6" s="191"/>
      <c r="G6" s="203"/>
      <c r="H6" s="25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174</v>
      </c>
      <c r="B7" s="229" t="s">
        <v>178</v>
      </c>
      <c r="C7" s="192"/>
      <c r="D7" s="196"/>
      <c r="E7" s="197"/>
      <c r="F7" s="192"/>
      <c r="G7" s="185"/>
      <c r="H7" s="25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175</v>
      </c>
      <c r="B8" s="229" t="s">
        <v>176</v>
      </c>
      <c r="C8" s="192"/>
      <c r="D8" s="196"/>
      <c r="E8" s="197"/>
      <c r="F8" s="192"/>
      <c r="G8" s="185"/>
      <c r="H8" s="25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/>
      <c r="B9" s="229"/>
      <c r="C9" s="192"/>
      <c r="D9" s="196"/>
      <c r="E9" s="197"/>
      <c r="F9" s="192"/>
      <c r="G9" s="185"/>
      <c r="H9" s="25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/>
      <c r="B10" s="230"/>
      <c r="C10" s="193"/>
      <c r="D10" s="198"/>
      <c r="E10" s="199"/>
      <c r="F10" s="193"/>
      <c r="G10" s="206"/>
      <c r="H10" s="25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253"/>
      <c r="B11" s="1254"/>
      <c r="C11" s="1254"/>
      <c r="D11" s="1254"/>
      <c r="E11" s="190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255"/>
      <c r="B12" s="1255"/>
      <c r="C12" s="1255"/>
      <c r="D12" s="1256"/>
      <c r="E12" s="1255"/>
      <c r="F12" s="1256"/>
      <c r="G12" s="1256"/>
      <c r="H12"/>
      <c r="I12"/>
      <c r="J12"/>
      <c r="K12"/>
      <c r="L12"/>
      <c r="M12"/>
      <c r="N12"/>
      <c r="O12"/>
      <c r="P12"/>
      <c r="Q12"/>
      <c r="R12"/>
      <c r="S12"/>
    </row>
    <row r="13" spans="1:19" ht="13.5">
      <c r="A13" s="1244" t="s">
        <v>1</v>
      </c>
      <c r="B13" s="1245"/>
      <c r="C13" s="1245"/>
      <c r="D13" s="1246"/>
      <c r="E13" s="1246"/>
      <c r="F13" s="1246"/>
      <c r="G13" s="1247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217"/>
      <c r="B14" s="1218"/>
      <c r="C14" s="1218"/>
      <c r="D14" s="1188"/>
      <c r="E14" s="1188"/>
      <c r="F14" s="1188"/>
      <c r="G14" s="1219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217"/>
      <c r="B15" s="1218"/>
      <c r="C15" s="1218"/>
      <c r="D15" s="1188"/>
      <c r="E15" s="1188"/>
      <c r="F15" s="1188"/>
      <c r="G15" s="1219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220"/>
      <c r="B16" s="1188"/>
      <c r="C16" s="1188"/>
      <c r="D16" s="1188"/>
      <c r="E16" s="1188"/>
      <c r="F16" s="1188"/>
      <c r="G16" s="1219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220"/>
      <c r="B17" s="1188"/>
      <c r="C17" s="1188"/>
      <c r="D17" s="1188"/>
      <c r="E17" s="1188"/>
      <c r="F17" s="1188"/>
      <c r="G17" s="1219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248"/>
      <c r="B18" s="1192"/>
      <c r="C18" s="1192"/>
      <c r="D18" s="1192"/>
      <c r="E18" s="1192"/>
      <c r="F18" s="1192"/>
      <c r="G18" s="1249"/>
      <c r="H18"/>
      <c r="I18"/>
      <c r="J18"/>
      <c r="K18"/>
      <c r="L18"/>
      <c r="M18"/>
      <c r="N18"/>
      <c r="O18"/>
      <c r="P18"/>
      <c r="Q18"/>
      <c r="R18"/>
      <c r="S18"/>
    </row>
    <row r="19" spans="1:19" ht="13.5">
      <c r="A19" s="1213" t="s">
        <v>2</v>
      </c>
      <c r="B19" s="1214"/>
      <c r="C19" s="1214"/>
      <c r="D19" s="1215"/>
      <c r="E19" s="1215"/>
      <c r="F19" s="1215"/>
      <c r="G19" s="1216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217"/>
      <c r="B20" s="1218"/>
      <c r="C20" s="1218"/>
      <c r="D20" s="1188"/>
      <c r="E20" s="1188"/>
      <c r="F20" s="1188"/>
      <c r="G20" s="1219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217"/>
      <c r="B21" s="1218"/>
      <c r="C21" s="1218"/>
      <c r="D21" s="1188"/>
      <c r="E21" s="1188"/>
      <c r="F21" s="1188"/>
      <c r="G21" s="1219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217"/>
      <c r="B22" s="1218"/>
      <c r="C22" s="1218"/>
      <c r="D22" s="1188"/>
      <c r="E22" s="1188"/>
      <c r="F22" s="1188"/>
      <c r="G22" s="1219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220"/>
      <c r="B23" s="1188"/>
      <c r="C23" s="1188"/>
      <c r="D23" s="1188"/>
      <c r="E23" s="1188"/>
      <c r="F23" s="1188"/>
      <c r="G23" s="1219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220"/>
      <c r="B24" s="1188"/>
      <c r="C24" s="1188"/>
      <c r="D24" s="1188"/>
      <c r="E24" s="1188"/>
      <c r="F24" s="1188"/>
      <c r="G24" s="1219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248"/>
      <c r="B25" s="1192"/>
      <c r="C25" s="1192"/>
      <c r="D25" s="1192"/>
      <c r="E25" s="1192"/>
      <c r="F25" s="1192"/>
      <c r="G25" s="1249"/>
      <c r="H25"/>
      <c r="I25"/>
      <c r="J25"/>
      <c r="K25"/>
      <c r="L25"/>
      <c r="M25"/>
      <c r="N25"/>
      <c r="O25"/>
      <c r="P25"/>
      <c r="Q25"/>
      <c r="R25"/>
      <c r="S25"/>
    </row>
    <row r="26" spans="1:19" ht="13.5">
      <c r="A26" s="1213" t="s">
        <v>16</v>
      </c>
      <c r="B26" s="1214"/>
      <c r="C26" s="1214"/>
      <c r="D26" s="1215"/>
      <c r="E26" s="1215"/>
      <c r="F26" s="1215"/>
      <c r="G26" s="121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1217"/>
      <c r="B27" s="1218"/>
      <c r="C27" s="1218"/>
      <c r="D27" s="1188"/>
      <c r="E27" s="1188"/>
      <c r="F27" s="1188"/>
      <c r="G27" s="1219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217"/>
      <c r="B28" s="1218"/>
      <c r="C28" s="1218"/>
      <c r="D28" s="1188"/>
      <c r="E28" s="1188"/>
      <c r="F28" s="1188"/>
      <c r="G28" s="121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1217"/>
      <c r="B29" s="1218"/>
      <c r="C29" s="1218"/>
      <c r="D29" s="1188"/>
      <c r="E29" s="1188"/>
      <c r="F29" s="1188"/>
      <c r="G29" s="1219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1220"/>
      <c r="B30" s="1188"/>
      <c r="C30" s="1188"/>
      <c r="D30" s="1188"/>
      <c r="E30" s="1188"/>
      <c r="F30" s="1188"/>
      <c r="G30" s="1219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1220"/>
      <c r="B31" s="1188"/>
      <c r="C31" s="1188"/>
      <c r="D31" s="1188"/>
      <c r="E31" s="1188"/>
      <c r="F31" s="1188"/>
      <c r="G31" s="1219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>
      <c r="A32" s="1221"/>
      <c r="B32" s="1222"/>
      <c r="C32" s="1222"/>
      <c r="D32" s="1222"/>
      <c r="E32" s="1222"/>
      <c r="F32" s="1222"/>
      <c r="G32" s="122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6.75" customHeight="1" thickBot="1">
      <c r="A33" s="42"/>
      <c r="B33" s="42"/>
      <c r="C33" s="42"/>
      <c r="D33" s="42"/>
      <c r="E33" s="42"/>
      <c r="F33" s="42"/>
      <c r="G33" s="4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.75" customHeight="1" thickBot="1">
      <c r="A34" s="1224" t="s">
        <v>248</v>
      </c>
      <c r="B34" s="1225"/>
      <c r="C34" s="1225"/>
      <c r="D34" s="1257"/>
      <c r="E34" s="1257"/>
      <c r="F34" s="1257"/>
      <c r="G34" s="1258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45" t="s">
        <v>20</v>
      </c>
      <c r="B35" s="45" t="s">
        <v>192</v>
      </c>
      <c r="C35" s="45" t="s">
        <v>96</v>
      </c>
      <c r="D35" s="46" t="s">
        <v>492</v>
      </c>
      <c r="E35" s="46" t="s">
        <v>493</v>
      </c>
      <c r="F35" s="46" t="s">
        <v>499</v>
      </c>
      <c r="G35" s="47" t="s">
        <v>293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48"/>
      <c r="B36" s="221"/>
      <c r="C36" s="222"/>
      <c r="D36" s="49"/>
      <c r="E36" s="50"/>
      <c r="F36" s="51"/>
      <c r="G36" s="52"/>
      <c r="H36" s="25"/>
      <c r="I36" s="25"/>
      <c r="J36" s="25"/>
      <c r="K36" s="25"/>
      <c r="L36" s="25"/>
      <c r="M36" s="25"/>
      <c r="N36" s="25"/>
      <c r="O36" s="53"/>
      <c r="P36" s="25"/>
      <c r="Q36" s="25"/>
      <c r="R36" s="25"/>
      <c r="S36" s="25"/>
    </row>
    <row r="37" spans="1:19" ht="12.75">
      <c r="A37" s="25"/>
      <c r="B37" s="221"/>
      <c r="C37" s="222"/>
      <c r="D37" s="53"/>
      <c r="E37" s="50"/>
      <c r="F37" s="51"/>
      <c r="G37" s="52"/>
      <c r="H37" s="25"/>
      <c r="I37" s="25"/>
      <c r="J37" s="25"/>
      <c r="K37" s="25"/>
      <c r="L37" s="25"/>
      <c r="M37" s="25"/>
      <c r="N37" s="53"/>
      <c r="O37" s="223"/>
      <c r="P37" s="25"/>
      <c r="Q37" s="25"/>
      <c r="R37" s="25"/>
      <c r="S37" s="25"/>
    </row>
    <row r="38" spans="1:19" ht="12.75">
      <c r="A38" s="25"/>
      <c r="B38" s="221"/>
      <c r="C38" s="222"/>
      <c r="D38" s="53"/>
      <c r="E38" s="50"/>
      <c r="F38" s="51"/>
      <c r="G38" s="52"/>
      <c r="H38" s="25"/>
      <c r="I38" s="25"/>
      <c r="J38" s="25"/>
      <c r="K38" s="25"/>
      <c r="L38" s="25"/>
      <c r="M38" s="25"/>
      <c r="N38" s="53"/>
      <c r="O38" s="223"/>
      <c r="P38" s="25"/>
      <c r="Q38" s="25"/>
      <c r="R38" s="25"/>
      <c r="S38" s="25"/>
    </row>
    <row r="39" spans="1:19" ht="12.75">
      <c r="A39" s="224"/>
      <c r="B39" s="225"/>
      <c r="C39" s="226"/>
      <c r="D39" s="227"/>
      <c r="E39" s="56"/>
      <c r="F39" s="57"/>
      <c r="G39" s="58"/>
      <c r="H39" s="25"/>
      <c r="I39" s="25"/>
      <c r="J39" s="25"/>
      <c r="K39" s="25"/>
      <c r="L39" s="25"/>
      <c r="N39" s="53"/>
      <c r="O39" s="223"/>
      <c r="P39" s="25"/>
      <c r="Q39" s="25"/>
      <c r="R39" s="25"/>
      <c r="S39" s="25"/>
    </row>
    <row r="40" spans="1:19" ht="12.75">
      <c r="A40" s="48"/>
      <c r="B40" s="221"/>
      <c r="C40" s="222"/>
      <c r="D40" s="49"/>
      <c r="E40" s="50"/>
      <c r="F40" s="51"/>
      <c r="G40" s="52"/>
      <c r="H40" s="25"/>
      <c r="I40" s="25"/>
      <c r="J40" s="25"/>
      <c r="K40" s="25"/>
      <c r="L40" s="25"/>
      <c r="M40" s="25"/>
      <c r="N40" s="53"/>
      <c r="O40" s="53"/>
      <c r="P40" s="25"/>
      <c r="Q40" s="25"/>
      <c r="R40" s="25"/>
      <c r="S40" s="25"/>
    </row>
    <row r="41" spans="1:19" ht="12.75">
      <c r="A41" s="54"/>
      <c r="B41" s="221"/>
      <c r="C41" s="222"/>
      <c r="D41" s="55"/>
      <c r="E41" s="56"/>
      <c r="F41" s="57"/>
      <c r="G41" s="58"/>
      <c r="H41" s="25"/>
      <c r="I41" s="25"/>
      <c r="J41" s="25"/>
      <c r="K41" s="25"/>
      <c r="L41" s="25"/>
      <c r="M41" s="25"/>
      <c r="N41" s="25"/>
      <c r="O41" s="53"/>
      <c r="P41" s="25"/>
      <c r="Q41" s="25"/>
      <c r="R41" s="25"/>
      <c r="S41" s="59"/>
    </row>
    <row r="42" spans="1:19" ht="12.75">
      <c r="A42" s="48"/>
      <c r="B42" s="221"/>
      <c r="C42" s="222"/>
      <c r="D42" s="49"/>
      <c r="E42" s="50"/>
      <c r="F42" s="51"/>
      <c r="G42" s="52"/>
      <c r="H42" s="25"/>
      <c r="I42" s="25"/>
      <c r="J42" s="25"/>
      <c r="K42" s="25"/>
      <c r="L42" s="25"/>
      <c r="M42" s="25"/>
      <c r="N42" s="25"/>
      <c r="O42" s="53"/>
      <c r="P42" s="25"/>
      <c r="Q42" s="25"/>
      <c r="R42" s="25"/>
      <c r="S42" s="25"/>
    </row>
    <row r="43" spans="1:19" ht="12.75">
      <c r="A43" s="48"/>
      <c r="B43" s="221"/>
      <c r="C43" s="222"/>
      <c r="D43" s="49"/>
      <c r="E43" s="50"/>
      <c r="F43" s="51"/>
      <c r="G43" s="52"/>
      <c r="H43" s="25"/>
      <c r="I43" s="25"/>
      <c r="J43" s="25"/>
      <c r="K43" s="25"/>
      <c r="L43" s="25"/>
      <c r="M43" s="25"/>
      <c r="N43" s="53"/>
      <c r="O43" s="53"/>
      <c r="P43" s="25"/>
      <c r="Q43" s="25"/>
      <c r="R43" s="25"/>
      <c r="S43" s="25"/>
    </row>
    <row r="44" spans="1:19" ht="12.75">
      <c r="A44" s="48"/>
      <c r="B44" s="221"/>
      <c r="C44" s="222"/>
      <c r="D44" s="49"/>
      <c r="E44" s="50"/>
      <c r="F44" s="51"/>
      <c r="G44" s="52"/>
      <c r="H44" s="25"/>
      <c r="I44" s="25"/>
      <c r="J44" s="25"/>
      <c r="K44" s="25"/>
      <c r="L44" s="25"/>
      <c r="M44" s="25"/>
      <c r="N44" s="25"/>
      <c r="O44" s="53"/>
      <c r="P44" s="25"/>
      <c r="Q44" s="25"/>
      <c r="R44" s="25"/>
      <c r="S44" s="25"/>
    </row>
    <row r="45" spans="1:19" ht="12.75">
      <c r="A45" s="48"/>
      <c r="B45" s="221"/>
      <c r="C45" s="222"/>
      <c r="D45" s="49"/>
      <c r="E45" s="50"/>
      <c r="F45" s="51"/>
      <c r="G45" s="52"/>
      <c r="H45" s="25"/>
      <c r="I45" s="25"/>
      <c r="J45" s="25"/>
      <c r="K45" s="25"/>
      <c r="L45" s="25"/>
      <c r="M45" s="25"/>
      <c r="N45" s="53"/>
      <c r="O45" s="53"/>
      <c r="P45" s="25"/>
      <c r="Q45" s="25"/>
      <c r="R45" s="25"/>
      <c r="S45" s="25"/>
    </row>
    <row r="46" spans="1:19" ht="12.75">
      <c r="A46" s="54"/>
      <c r="B46" s="221"/>
      <c r="C46" s="222"/>
      <c r="D46" s="55"/>
      <c r="E46" s="56"/>
      <c r="F46" s="57"/>
      <c r="G46" s="58"/>
      <c r="H46" s="25"/>
      <c r="I46" s="25"/>
      <c r="J46" s="25"/>
      <c r="K46" s="25"/>
      <c r="L46" s="25"/>
      <c r="M46" s="25"/>
      <c r="N46" s="25"/>
      <c r="O46" s="53"/>
      <c r="P46" s="25"/>
      <c r="Q46" s="25"/>
      <c r="R46" s="25"/>
      <c r="S46" s="59"/>
    </row>
    <row r="47" spans="1:19" ht="12.75">
      <c r="A47" s="48"/>
      <c r="B47" s="221"/>
      <c r="C47" s="222"/>
      <c r="D47" s="49"/>
      <c r="E47" s="60"/>
      <c r="F47" s="51"/>
      <c r="G47" s="52"/>
      <c r="H47" s="25"/>
      <c r="I47" s="25"/>
      <c r="J47" s="25"/>
      <c r="K47" s="25"/>
      <c r="L47" s="25"/>
      <c r="M47" s="25"/>
      <c r="N47" s="53"/>
      <c r="O47" s="53"/>
      <c r="P47" s="25"/>
      <c r="Q47" s="25"/>
      <c r="R47" s="25"/>
      <c r="S47" s="25"/>
    </row>
    <row r="48" spans="1:19" ht="12.75">
      <c r="A48" s="48"/>
      <c r="B48" s="221"/>
      <c r="C48" s="222"/>
      <c r="D48" s="49"/>
      <c r="E48" s="50"/>
      <c r="F48" s="51"/>
      <c r="G48" s="52"/>
      <c r="H48" s="25"/>
      <c r="I48" s="25"/>
      <c r="J48" s="25"/>
      <c r="K48" s="25"/>
      <c r="L48" s="25"/>
      <c r="M48" s="25"/>
      <c r="N48" s="25"/>
      <c r="O48" s="53"/>
      <c r="P48" s="25"/>
      <c r="Q48" s="25"/>
      <c r="R48" s="25"/>
      <c r="S48" s="25"/>
    </row>
    <row r="49" spans="1:19" ht="12.75">
      <c r="A49" s="54"/>
      <c r="B49" s="221"/>
      <c r="C49" s="222"/>
      <c r="D49" s="55"/>
      <c r="E49" s="56"/>
      <c r="F49" s="57"/>
      <c r="G49" s="58"/>
      <c r="H49" s="25"/>
      <c r="I49" s="25"/>
      <c r="J49" s="25"/>
      <c r="K49" s="25"/>
      <c r="L49" s="25"/>
      <c r="M49" s="25"/>
      <c r="N49" s="25"/>
      <c r="O49" s="53"/>
      <c r="P49" s="25"/>
      <c r="Q49" s="25"/>
      <c r="R49" s="25"/>
      <c r="S49" s="59"/>
    </row>
    <row r="50" spans="1:19" ht="13.5" thickBot="1">
      <c r="A50" s="61"/>
      <c r="B50" s="62"/>
      <c r="C50" s="62"/>
      <c r="D50" s="63"/>
      <c r="E50" s="63"/>
      <c r="F50" s="64"/>
      <c r="G50" s="6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4.5" customHeight="1" thickBot="1">
      <c r="A51" s="38"/>
      <c r="B51" s="38"/>
      <c r="C51" s="38"/>
      <c r="D51" s="38"/>
      <c r="E51" s="38"/>
      <c r="F51" s="38"/>
      <c r="G51" s="38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3.5">
      <c r="A52" s="66"/>
      <c r="B52" s="67"/>
      <c r="C52" s="67"/>
      <c r="D52" s="68" t="s">
        <v>496</v>
      </c>
      <c r="E52" s="69"/>
      <c r="F52" s="69"/>
      <c r="G52" s="70"/>
      <c r="H52" s="71"/>
      <c r="I52" s="71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.75">
      <c r="A53" s="1228"/>
      <c r="B53" s="1229"/>
      <c r="C53" s="1229"/>
      <c r="D53" s="1230"/>
      <c r="E53" s="207"/>
      <c r="F53" s="72" t="s">
        <v>494</v>
      </c>
      <c r="G53" s="72" t="s">
        <v>495</v>
      </c>
      <c r="H53" s="71"/>
      <c r="I53" s="71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3.5">
      <c r="A54" s="1231"/>
      <c r="B54" s="1232"/>
      <c r="C54" s="1232"/>
      <c r="D54" s="1233"/>
      <c r="E54" s="73" t="s">
        <v>6</v>
      </c>
      <c r="F54" s="183">
        <f>SUM('COST PERFORMANCE BY RLM &amp; JOB'!C9)</f>
        <v>628</v>
      </c>
      <c r="G54" s="208">
        <f>SUM('COST PERFORMANCE BY RLM &amp; JOB'!K9)</f>
        <v>145</v>
      </c>
      <c r="H54" s="71"/>
      <c r="I54" s="71"/>
      <c r="J54"/>
      <c r="K54"/>
      <c r="L54"/>
      <c r="M54"/>
      <c r="N54"/>
      <c r="O54"/>
      <c r="P54"/>
      <c r="Q54"/>
      <c r="R54"/>
      <c r="S54"/>
    </row>
    <row r="55" spans="1:19" ht="13.5">
      <c r="A55" s="1231"/>
      <c r="B55" s="1232"/>
      <c r="C55" s="1232"/>
      <c r="D55" s="1233"/>
      <c r="E55" s="73" t="s">
        <v>7</v>
      </c>
      <c r="F55" s="183">
        <f>SUM('COST PERFORMANCE BY RLM &amp; JOB'!D9)</f>
        <v>627.698</v>
      </c>
      <c r="G55" s="208">
        <f>SUM('COST PERFORMANCE BY RLM &amp; JOB'!L9)</f>
        <v>145.13799999999998</v>
      </c>
      <c r="H55" s="71"/>
      <c r="I55" s="71"/>
      <c r="J55"/>
      <c r="K55"/>
      <c r="L55"/>
      <c r="M55"/>
      <c r="N55"/>
      <c r="O55"/>
      <c r="P55"/>
      <c r="Q55"/>
      <c r="R55"/>
      <c r="S55"/>
    </row>
    <row r="56" spans="1:19" ht="13.5">
      <c r="A56" s="1231"/>
      <c r="B56" s="1232"/>
      <c r="C56" s="1232"/>
      <c r="D56" s="1233"/>
      <c r="E56" s="73" t="s">
        <v>8</v>
      </c>
      <c r="F56" s="183">
        <f>SUM('COST PERFORMANCE BY RLM &amp; JOB'!E9)</f>
        <v>693.7455888685475</v>
      </c>
      <c r="G56" s="208">
        <f>SUM('COST PERFORMANCE BY RLM &amp; JOB'!M9)</f>
        <v>96.262</v>
      </c>
      <c r="H56" s="71"/>
      <c r="I56" s="71"/>
      <c r="J56"/>
      <c r="K56"/>
      <c r="L56"/>
      <c r="M56"/>
      <c r="N56"/>
      <c r="O56"/>
      <c r="P56"/>
      <c r="Q56"/>
      <c r="R56"/>
      <c r="S56"/>
    </row>
    <row r="57" spans="1:19" ht="13.5">
      <c r="A57" s="1231"/>
      <c r="B57" s="1232"/>
      <c r="C57" s="1232"/>
      <c r="D57" s="1233"/>
      <c r="E57" s="73" t="s">
        <v>9</v>
      </c>
      <c r="F57" s="183">
        <f>+F55-F56</f>
        <v>-66.04758886854756</v>
      </c>
      <c r="G57" s="209"/>
      <c r="H57" s="71"/>
      <c r="I57" s="71"/>
      <c r="J57"/>
      <c r="K57"/>
      <c r="L57"/>
      <c r="M57"/>
      <c r="N57"/>
      <c r="O57"/>
      <c r="P57"/>
      <c r="Q57"/>
      <c r="R57"/>
      <c r="S57"/>
    </row>
    <row r="58" spans="1:19" ht="13.5">
      <c r="A58" s="1231"/>
      <c r="B58" s="1232"/>
      <c r="C58" s="1232"/>
      <c r="D58" s="1233"/>
      <c r="E58" s="73" t="s">
        <v>10</v>
      </c>
      <c r="F58" s="183">
        <f>+F55-F54</f>
        <v>-0.3020000000000209</v>
      </c>
      <c r="G58" s="209"/>
      <c r="H58" s="71"/>
      <c r="I58" s="71"/>
      <c r="J58"/>
      <c r="K58"/>
      <c r="L58"/>
      <c r="M58"/>
      <c r="N58"/>
      <c r="O58"/>
      <c r="P58"/>
      <c r="Q58"/>
      <c r="R58"/>
      <c r="S58"/>
    </row>
    <row r="59" spans="1:19" ht="12.75">
      <c r="A59" s="1231"/>
      <c r="B59" s="1232"/>
      <c r="C59" s="1232"/>
      <c r="D59" s="1233"/>
      <c r="E59" s="73" t="s">
        <v>11</v>
      </c>
      <c r="F59" s="618">
        <f>+F55/F56</f>
        <v>0.9047956629515054</v>
      </c>
      <c r="G59" s="619">
        <f>+G55/G56</f>
        <v>1.5077392948411623</v>
      </c>
      <c r="H59" s="71"/>
      <c r="I59" s="71"/>
      <c r="J59"/>
      <c r="K59"/>
      <c r="L59"/>
      <c r="M59"/>
      <c r="N59"/>
      <c r="O59"/>
      <c r="P59"/>
      <c r="Q59"/>
      <c r="R59"/>
      <c r="S59"/>
    </row>
    <row r="60" spans="1:19" ht="12.75">
      <c r="A60" s="1231"/>
      <c r="B60" s="1232"/>
      <c r="C60" s="1232"/>
      <c r="D60" s="1233"/>
      <c r="E60" s="73" t="s">
        <v>12</v>
      </c>
      <c r="F60" s="618">
        <f>+F55/F54</f>
        <v>0.9995191082802547</v>
      </c>
      <c r="G60" s="619">
        <f>+G55/G54</f>
        <v>1.0009517241379309</v>
      </c>
      <c r="H60" s="71"/>
      <c r="I60" s="71"/>
      <c r="J60"/>
      <c r="K60"/>
      <c r="L60"/>
      <c r="M60"/>
      <c r="N60"/>
      <c r="O60"/>
      <c r="P60"/>
      <c r="Q60"/>
      <c r="R60"/>
      <c r="S60"/>
    </row>
    <row r="61" spans="1:19" ht="13.5">
      <c r="A61" s="1231"/>
      <c r="B61" s="1232"/>
      <c r="C61" s="1232"/>
      <c r="D61" s="1233"/>
      <c r="E61" s="73" t="s">
        <v>4</v>
      </c>
      <c r="F61" s="183">
        <f>SUM('COST PERFORMANCE BY RLM &amp; JOB'!R9)+'Baseline Reconciliation'!F140</f>
        <v>11057.503999999999</v>
      </c>
      <c r="G61" s="210"/>
      <c r="H61" s="71"/>
      <c r="I61" s="71"/>
      <c r="J61"/>
      <c r="K61"/>
      <c r="L61"/>
      <c r="M61"/>
      <c r="N61"/>
      <c r="O61"/>
      <c r="P61"/>
      <c r="Q61"/>
      <c r="R61"/>
      <c r="S61"/>
    </row>
    <row r="62" spans="1:19" ht="13.5">
      <c r="A62" s="1231"/>
      <c r="B62" s="1232"/>
      <c r="C62" s="1232"/>
      <c r="D62" s="1233"/>
      <c r="E62" s="73" t="s">
        <v>5</v>
      </c>
      <c r="F62" s="184">
        <f>SUM('COST PERFORMANCE BY RLM &amp; JOB'!V9)+'Baseline Reconciliation'!F140</f>
        <v>11140.503999999999</v>
      </c>
      <c r="G62" s="210"/>
      <c r="H62" s="71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231"/>
      <c r="B63" s="1232"/>
      <c r="C63" s="1232"/>
      <c r="D63" s="1233"/>
      <c r="E63" s="211" t="s">
        <v>3</v>
      </c>
      <c r="F63" s="212"/>
      <c r="G63" s="213"/>
      <c r="H63" s="71"/>
      <c r="I63" s="71"/>
      <c r="J63"/>
      <c r="K63"/>
      <c r="L63"/>
      <c r="M63"/>
      <c r="N63"/>
      <c r="O63"/>
      <c r="P63"/>
      <c r="Q63"/>
      <c r="R63"/>
      <c r="S63"/>
    </row>
    <row r="64" spans="1:19" ht="12.75">
      <c r="A64" s="1231"/>
      <c r="B64" s="1232"/>
      <c r="C64" s="1232"/>
      <c r="D64" s="1233"/>
      <c r="E64" s="75" t="s">
        <v>13</v>
      </c>
      <c r="F64" s="1237"/>
      <c r="G64" s="1238"/>
      <c r="H64" s="71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231"/>
      <c r="B65" s="1232"/>
      <c r="C65" s="1232"/>
      <c r="D65" s="1233"/>
      <c r="E65" s="1239"/>
      <c r="F65" s="1206"/>
      <c r="G65" s="1240"/>
      <c r="H65" s="71"/>
      <c r="I65" s="71"/>
      <c r="J65"/>
      <c r="K65"/>
      <c r="L65"/>
      <c r="M65"/>
      <c r="N65"/>
      <c r="O65"/>
      <c r="P65"/>
      <c r="Q65"/>
      <c r="R65"/>
      <c r="S65"/>
    </row>
    <row r="66" spans="1:19" ht="81" customHeight="1">
      <c r="A66" s="1234"/>
      <c r="B66" s="1235"/>
      <c r="C66" s="1235"/>
      <c r="D66" s="1236"/>
      <c r="E66" s="1241"/>
      <c r="F66" s="1242"/>
      <c r="G66" s="1243"/>
      <c r="H66" s="71"/>
      <c r="I66" s="71"/>
      <c r="J66"/>
      <c r="K66"/>
      <c r="L66"/>
      <c r="M66"/>
      <c r="N66"/>
      <c r="O66"/>
      <c r="P66"/>
      <c r="Q66"/>
      <c r="R66"/>
      <c r="S66"/>
    </row>
    <row r="67" spans="1:19" ht="12.75">
      <c r="A67" s="1194" t="s">
        <v>497</v>
      </c>
      <c r="B67" s="1195"/>
      <c r="C67" s="1195"/>
      <c r="D67" s="1196"/>
      <c r="E67" s="1196"/>
      <c r="F67" s="1196"/>
      <c r="G67" s="1197"/>
      <c r="H67" s="71"/>
      <c r="I67" s="25"/>
      <c r="J67"/>
      <c r="K67"/>
      <c r="L67"/>
      <c r="M67"/>
      <c r="N67"/>
      <c r="O67"/>
      <c r="P67"/>
      <c r="Q67"/>
      <c r="R67"/>
      <c r="S67"/>
    </row>
    <row r="68" spans="1:19" ht="12.75">
      <c r="A68" s="1198" t="s">
        <v>22</v>
      </c>
      <c r="B68" s="1199"/>
      <c r="C68" s="1199"/>
      <c r="D68" s="1200"/>
      <c r="E68" s="76" t="s">
        <v>23</v>
      </c>
      <c r="F68" s="77"/>
      <c r="G68" s="78"/>
      <c r="H68" s="25"/>
      <c r="I68" s="25"/>
      <c r="J68"/>
      <c r="K68"/>
      <c r="L68"/>
      <c r="M68"/>
      <c r="N68"/>
      <c r="O68"/>
      <c r="P68"/>
      <c r="Q68"/>
      <c r="R68"/>
      <c r="S68"/>
    </row>
    <row r="69" spans="1:19" ht="12.75">
      <c r="A69" s="1201"/>
      <c r="B69" s="1202"/>
      <c r="C69" s="1202"/>
      <c r="D69" s="1203"/>
      <c r="E69" s="1202"/>
      <c r="F69" s="1203"/>
      <c r="G69" s="1210"/>
      <c r="H69" s="25"/>
      <c r="I69" s="25"/>
      <c r="J69"/>
      <c r="K69"/>
      <c r="L69"/>
      <c r="M69"/>
      <c r="N69"/>
      <c r="O69"/>
      <c r="P69"/>
      <c r="Q69"/>
      <c r="R69"/>
      <c r="S69"/>
    </row>
    <row r="70" spans="1:19" ht="12.75">
      <c r="A70" s="1207"/>
      <c r="B70" s="1206"/>
      <c r="C70" s="1206"/>
      <c r="D70" s="1206"/>
      <c r="E70" s="1206"/>
      <c r="F70" s="1206"/>
      <c r="G70" s="1211"/>
      <c r="H70" s="25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 s="1207"/>
      <c r="B71" s="1206"/>
      <c r="C71" s="1206"/>
      <c r="D71" s="1206"/>
      <c r="E71" s="1206"/>
      <c r="F71" s="1206"/>
      <c r="G71" s="1211"/>
      <c r="H71" s="25"/>
      <c r="I71"/>
      <c r="J71"/>
      <c r="K71"/>
      <c r="L71"/>
      <c r="M71"/>
      <c r="N71"/>
      <c r="O71"/>
      <c r="P71"/>
      <c r="Q71"/>
      <c r="R71"/>
      <c r="S71"/>
    </row>
    <row r="72" spans="1:19" ht="13.5" thickBot="1">
      <c r="A72" s="1208"/>
      <c r="B72" s="1209"/>
      <c r="C72" s="1209"/>
      <c r="D72" s="1209"/>
      <c r="E72" s="1209"/>
      <c r="F72" s="1209"/>
      <c r="G72" s="1212"/>
      <c r="H72" s="71"/>
      <c r="I72"/>
      <c r="J72"/>
      <c r="K72"/>
      <c r="L72"/>
      <c r="M72"/>
      <c r="N72"/>
      <c r="O72"/>
      <c r="P72"/>
      <c r="Q72"/>
      <c r="R72"/>
      <c r="S72"/>
    </row>
    <row r="73" spans="1:19" ht="4.5" customHeight="1" thickBot="1">
      <c r="A73" s="42"/>
      <c r="B73" s="42"/>
      <c r="C73" s="42"/>
      <c r="D73" s="42"/>
      <c r="E73" s="42"/>
      <c r="F73" s="42"/>
      <c r="G73" s="42"/>
      <c r="H73" s="71"/>
      <c r="I73"/>
      <c r="J73"/>
      <c r="K73"/>
      <c r="L73"/>
      <c r="M73"/>
      <c r="N73"/>
      <c r="O73"/>
      <c r="P73"/>
      <c r="Q73"/>
      <c r="R73"/>
      <c r="S73"/>
    </row>
    <row r="74" spans="1:19" ht="13.5">
      <c r="A74" s="79" t="s">
        <v>15</v>
      </c>
      <c r="B74" s="80"/>
      <c r="C74" s="80"/>
      <c r="D74" s="81"/>
      <c r="E74" s="82"/>
      <c r="F74" s="83"/>
      <c r="G74" s="84"/>
      <c r="H74" s="25"/>
      <c r="I74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498</v>
      </c>
      <c r="B75" s="215"/>
      <c r="C75" s="215"/>
      <c r="D75" s="217" t="s">
        <v>14</v>
      </c>
      <c r="E75" s="218" t="s">
        <v>500</v>
      </c>
      <c r="F75" s="219"/>
      <c r="G75" s="220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948"/>
      <c r="B76" s="216"/>
      <c r="C76" s="216"/>
      <c r="D76" s="948"/>
      <c r="E76" s="948"/>
      <c r="F76" s="1186"/>
      <c r="G76" s="1187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2.75">
      <c r="A77" s="1185"/>
      <c r="B77" s="43"/>
      <c r="C77" s="43"/>
      <c r="D77" s="1185"/>
      <c r="E77" s="1185"/>
      <c r="F77" s="1188"/>
      <c r="G77" s="1189"/>
      <c r="H77" s="25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 s="1190"/>
      <c r="B78" s="85"/>
      <c r="C78" s="85"/>
      <c r="D78" s="1190"/>
      <c r="E78" s="1190"/>
      <c r="F78" s="1188"/>
      <c r="G78" s="1189"/>
      <c r="H78" s="25"/>
      <c r="I78"/>
      <c r="J78"/>
      <c r="K78"/>
      <c r="L78"/>
      <c r="M78"/>
      <c r="N78"/>
      <c r="O78"/>
      <c r="P78"/>
      <c r="Q78"/>
      <c r="R78"/>
      <c r="S78"/>
    </row>
    <row r="79" spans="1:19" ht="12.75">
      <c r="A79" s="1191"/>
      <c r="B79" s="44"/>
      <c r="C79" s="44"/>
      <c r="D79" s="1191"/>
      <c r="E79" s="1191"/>
      <c r="F79" s="1192"/>
      <c r="G79" s="1193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 s="25" t="s">
        <v>39</v>
      </c>
      <c r="B87" s="25"/>
      <c r="C87" s="25"/>
      <c r="D87" s="25"/>
      <c r="E87" s="25"/>
      <c r="F87" s="53"/>
      <c r="G87" s="25" t="s">
        <v>46</v>
      </c>
      <c r="H87" s="25"/>
      <c r="I87" s="25" t="s">
        <v>47</v>
      </c>
      <c r="J87" s="53">
        <v>39276</v>
      </c>
      <c r="K87" s="25">
        <v>3</v>
      </c>
      <c r="L87" s="25"/>
      <c r="M87" s="25"/>
      <c r="N87" s="53">
        <v>39276</v>
      </c>
      <c r="O87"/>
      <c r="P87"/>
      <c r="Q87"/>
      <c r="R87"/>
      <c r="S87"/>
    </row>
    <row r="88" spans="1:19" ht="12.75">
      <c r="A88" s="25" t="s">
        <v>41</v>
      </c>
      <c r="B88" s="25"/>
      <c r="C88" s="25"/>
      <c r="D88" s="25"/>
      <c r="E88" s="25"/>
      <c r="F88" s="25"/>
      <c r="G88" s="25" t="s">
        <v>42</v>
      </c>
      <c r="H88" s="25"/>
      <c r="I88" s="25"/>
      <c r="J88" s="53">
        <v>39331</v>
      </c>
      <c r="K88" s="25">
        <v>3</v>
      </c>
      <c r="L88" s="25"/>
      <c r="M88" s="25"/>
      <c r="N88" s="25"/>
      <c r="O88"/>
      <c r="P88"/>
      <c r="Q88"/>
      <c r="R88"/>
      <c r="S88"/>
    </row>
    <row r="89" spans="1:19" ht="12.75">
      <c r="A89" s="25" t="s">
        <v>24</v>
      </c>
      <c r="B89" s="25"/>
      <c r="C89" s="25"/>
      <c r="D89" s="25"/>
      <c r="E89" s="25"/>
      <c r="F89" s="25"/>
      <c r="G89" s="25" t="s">
        <v>44</v>
      </c>
      <c r="H89" s="25"/>
      <c r="I89" s="25"/>
      <c r="J89" s="53">
        <v>39386</v>
      </c>
      <c r="K89" s="25">
        <v>2</v>
      </c>
      <c r="L89" s="25"/>
      <c r="M89" s="25"/>
      <c r="N89" s="53"/>
      <c r="O89"/>
      <c r="P89"/>
      <c r="Q89"/>
      <c r="R89"/>
      <c r="S89"/>
    </row>
    <row r="90" spans="1:19" ht="12.75">
      <c r="A90" s="25" t="s">
        <v>26</v>
      </c>
      <c r="B90" s="25"/>
      <c r="C90" s="25"/>
      <c r="D90" s="25"/>
      <c r="E90" s="25"/>
      <c r="F90" s="53"/>
      <c r="G90" s="25" t="s">
        <v>49</v>
      </c>
      <c r="H90" s="25"/>
      <c r="I90" s="25"/>
      <c r="J90" s="53">
        <v>39407</v>
      </c>
      <c r="K90" s="25">
        <v>3</v>
      </c>
      <c r="L90" s="25"/>
      <c r="M90" s="25"/>
      <c r="N90" s="53">
        <v>39479</v>
      </c>
      <c r="O90"/>
      <c r="P90"/>
      <c r="Q90"/>
      <c r="R90"/>
      <c r="S90"/>
    </row>
    <row r="91" spans="1:19" ht="12.75">
      <c r="A91" s="25" t="s">
        <v>27</v>
      </c>
      <c r="B91" s="25"/>
      <c r="C91" s="25"/>
      <c r="D91" s="25"/>
      <c r="E91" s="25"/>
      <c r="F91" s="25"/>
      <c r="G91" s="25" t="s">
        <v>32</v>
      </c>
      <c r="H91" s="25"/>
      <c r="I91" s="25"/>
      <c r="J91" s="53">
        <v>39484</v>
      </c>
      <c r="K91" s="25">
        <v>3</v>
      </c>
      <c r="L91" s="25"/>
      <c r="M91" s="25"/>
      <c r="N91" s="53">
        <v>39580</v>
      </c>
      <c r="O91"/>
      <c r="P91"/>
      <c r="Q91"/>
      <c r="R91"/>
      <c r="S91"/>
    </row>
    <row r="92" spans="1:19" ht="12.75">
      <c r="A92" s="25" t="s">
        <v>29</v>
      </c>
      <c r="B92" s="25"/>
      <c r="C92" s="25"/>
      <c r="D92" s="25"/>
      <c r="E92" s="25"/>
      <c r="F92" s="25"/>
      <c r="G92" s="25" t="s">
        <v>25</v>
      </c>
      <c r="H92" s="25"/>
      <c r="I92" s="25"/>
      <c r="J92" s="53">
        <v>39577</v>
      </c>
      <c r="K92" s="25">
        <v>2</v>
      </c>
      <c r="L92" s="25"/>
      <c r="M92" s="25"/>
      <c r="N92" s="25"/>
      <c r="O92"/>
      <c r="P92"/>
      <c r="Q92"/>
      <c r="R92"/>
      <c r="S92"/>
    </row>
    <row r="93" spans="1:19" ht="12.75">
      <c r="A93" s="25" t="s">
        <v>43</v>
      </c>
      <c r="B93" s="25"/>
      <c r="C93" s="25"/>
      <c r="D93" s="25"/>
      <c r="E93" s="25"/>
      <c r="F93" s="53"/>
      <c r="G93" s="25" t="s">
        <v>40</v>
      </c>
      <c r="H93" s="25"/>
      <c r="I93" s="25"/>
      <c r="J93" s="53">
        <v>39603</v>
      </c>
      <c r="K93" s="25">
        <v>3</v>
      </c>
      <c r="L93" s="25"/>
      <c r="M93" s="25"/>
      <c r="N93" s="25"/>
      <c r="O93"/>
      <c r="P93"/>
      <c r="Q93"/>
      <c r="R93"/>
      <c r="S93"/>
    </row>
    <row r="94" spans="1:19" ht="12.75">
      <c r="A94" s="25" t="s">
        <v>45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/>
      <c r="P94"/>
      <c r="Q94"/>
      <c r="R94"/>
      <c r="S94"/>
    </row>
    <row r="95" spans="1:19" ht="12.75">
      <c r="A95" s="25" t="s">
        <v>31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/>
      <c r="P95"/>
      <c r="Q95"/>
      <c r="R95"/>
      <c r="S95"/>
    </row>
    <row r="96" spans="1:19" ht="12.75">
      <c r="A96" s="25" t="s">
        <v>48</v>
      </c>
      <c r="B96" s="25"/>
      <c r="C96" s="25"/>
      <c r="D96" s="25"/>
      <c r="E96" s="25"/>
      <c r="F96" s="53"/>
      <c r="G96" s="25"/>
      <c r="H96" s="25"/>
      <c r="I96" s="25"/>
      <c r="J96" s="25"/>
      <c r="K96" s="25"/>
      <c r="L96" s="25"/>
      <c r="M96" s="25"/>
      <c r="N96" s="25"/>
      <c r="O96"/>
      <c r="P96"/>
      <c r="Q96"/>
      <c r="R96"/>
      <c r="S96"/>
    </row>
    <row r="97" spans="1:19" ht="12.75">
      <c r="A97" s="25" t="s">
        <v>33</v>
      </c>
      <c r="B97" s="25"/>
      <c r="C97" s="25"/>
      <c r="D97" s="25"/>
      <c r="E97" s="25"/>
      <c r="F97" s="53"/>
      <c r="G97" s="25"/>
      <c r="H97" s="25"/>
      <c r="I97" s="25"/>
      <c r="J97" s="25"/>
      <c r="K97" s="25"/>
      <c r="L97" s="25"/>
      <c r="M97" s="25"/>
      <c r="N97" s="25"/>
      <c r="O97"/>
      <c r="P97"/>
      <c r="Q97"/>
      <c r="R97"/>
      <c r="S97"/>
    </row>
    <row r="98" spans="1:19" ht="12.75">
      <c r="A98" s="25" t="s">
        <v>35</v>
      </c>
      <c r="B98" s="25"/>
      <c r="C98" s="25"/>
      <c r="D98" s="25"/>
      <c r="E98" s="25"/>
      <c r="F98" s="53"/>
      <c r="G98" s="25" t="s">
        <v>28</v>
      </c>
      <c r="H98" s="53">
        <v>39602</v>
      </c>
      <c r="I98" s="25"/>
      <c r="J98" s="53">
        <v>39616</v>
      </c>
      <c r="K98" s="25">
        <v>2</v>
      </c>
      <c r="L98" s="25"/>
      <c r="M98" s="25"/>
      <c r="N98" s="25"/>
      <c r="O98"/>
      <c r="P98"/>
      <c r="Q98"/>
      <c r="R98"/>
      <c r="S98"/>
    </row>
    <row r="99" spans="1:19" ht="12.75">
      <c r="A99" s="25" t="s">
        <v>37</v>
      </c>
      <c r="B99" s="25"/>
      <c r="C99" s="25"/>
      <c r="D99" s="25"/>
      <c r="E99" s="25"/>
      <c r="F99" s="25"/>
      <c r="G99" s="25" t="s">
        <v>50</v>
      </c>
      <c r="H99" s="53">
        <v>39617</v>
      </c>
      <c r="I99" s="25"/>
      <c r="J99" s="53">
        <v>39618</v>
      </c>
      <c r="K99" s="25">
        <v>3</v>
      </c>
      <c r="L99" s="25"/>
      <c r="M99" s="25"/>
      <c r="N99" s="25"/>
      <c r="O99"/>
      <c r="P99"/>
      <c r="Q99"/>
      <c r="R99"/>
      <c r="S99"/>
    </row>
    <row r="100" spans="1:19" ht="12.75">
      <c r="A100"/>
      <c r="B100"/>
      <c r="C100"/>
      <c r="D100"/>
      <c r="E100"/>
      <c r="F100" s="53"/>
      <c r="G100" s="25" t="s">
        <v>30</v>
      </c>
      <c r="H100" s="53">
        <v>39682</v>
      </c>
      <c r="I100" s="25"/>
      <c r="J100" s="53">
        <v>39702</v>
      </c>
      <c r="K100" s="25">
        <v>2</v>
      </c>
      <c r="L100"/>
      <c r="M100"/>
      <c r="N100"/>
      <c r="O100"/>
      <c r="P100"/>
      <c r="Q100"/>
      <c r="R100"/>
      <c r="S100"/>
    </row>
    <row r="101" spans="1:19" ht="12.75">
      <c r="A101"/>
      <c r="B101"/>
      <c r="C101"/>
      <c r="D101"/>
      <c r="E101"/>
      <c r="F101" s="53"/>
      <c r="G101" s="25" t="s">
        <v>34</v>
      </c>
      <c r="H101" s="53">
        <v>39750</v>
      </c>
      <c r="I101" s="25"/>
      <c r="J101" s="53">
        <v>39750</v>
      </c>
      <c r="K101" s="25">
        <v>2</v>
      </c>
      <c r="L101"/>
      <c r="M101"/>
      <c r="N101"/>
      <c r="O101"/>
      <c r="P101"/>
      <c r="Q101"/>
      <c r="R101"/>
      <c r="S101"/>
    </row>
    <row r="102" spans="1:19" ht="12.75">
      <c r="A102"/>
      <c r="B102"/>
      <c r="C102"/>
      <c r="D102"/>
      <c r="E102"/>
      <c r="F102" s="53"/>
      <c r="G102" s="25" t="s">
        <v>36</v>
      </c>
      <c r="H102" s="53">
        <v>39883</v>
      </c>
      <c r="I102" s="25"/>
      <c r="J102" s="53">
        <v>39883</v>
      </c>
      <c r="K102" s="25">
        <v>2</v>
      </c>
      <c r="L102"/>
      <c r="M102"/>
      <c r="N102"/>
      <c r="O102"/>
      <c r="P102"/>
      <c r="Q102"/>
      <c r="R102"/>
      <c r="S102"/>
    </row>
    <row r="103" spans="1:19" ht="12.75">
      <c r="A103"/>
      <c r="B103"/>
      <c r="C103"/>
      <c r="D103"/>
      <c r="E103"/>
      <c r="F103" s="25"/>
      <c r="G103" s="25" t="s">
        <v>38</v>
      </c>
      <c r="H103" s="53">
        <v>39972</v>
      </c>
      <c r="I103" s="25"/>
      <c r="J103" s="53">
        <v>39972</v>
      </c>
      <c r="K103" s="25">
        <v>2</v>
      </c>
      <c r="L103"/>
      <c r="M103"/>
      <c r="N103"/>
      <c r="O103"/>
      <c r="P103"/>
      <c r="Q103"/>
      <c r="R103"/>
      <c r="S103"/>
    </row>
    <row r="104" spans="1:1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>
      <c r="A105"/>
      <c r="B105"/>
      <c r="C105"/>
      <c r="D105"/>
      <c r="E105"/>
      <c r="F105" s="25"/>
      <c r="G105" s="25"/>
      <c r="H105" s="53"/>
      <c r="I105" s="25"/>
      <c r="J105" s="25"/>
      <c r="K105" s="25"/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 s="53"/>
      <c r="G109" s="25"/>
      <c r="H109" s="25"/>
      <c r="I109" s="25"/>
      <c r="J109" s="25"/>
      <c r="K109" s="25"/>
      <c r="L109"/>
      <c r="M109"/>
      <c r="N109"/>
      <c r="O109"/>
      <c r="P109"/>
      <c r="Q109"/>
      <c r="R109"/>
      <c r="S109"/>
    </row>
  </sheetData>
  <mergeCells count="24">
    <mergeCell ref="A76:A77"/>
    <mergeCell ref="D76:D77"/>
    <mergeCell ref="E76:G77"/>
    <mergeCell ref="A78:A79"/>
    <mergeCell ref="D78:D79"/>
    <mergeCell ref="E78:G79"/>
    <mergeCell ref="A67:G67"/>
    <mergeCell ref="A68:D68"/>
    <mergeCell ref="A69:D72"/>
    <mergeCell ref="E69:G72"/>
    <mergeCell ref="A26:G26"/>
    <mergeCell ref="A27:G32"/>
    <mergeCell ref="A34:G34"/>
    <mergeCell ref="A53:D66"/>
    <mergeCell ref="F64:G64"/>
    <mergeCell ref="E65:G66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25" bottom="0.39" header="0.17" footer="0.17"/>
  <pageSetup fitToHeight="1" fitToWidth="1" horizontalDpi="600" verticalDpi="600" orientation="portrait" scale="67" r:id="rId2"/>
  <headerFooter alignWithMargins="0">
    <oddFooter>&amp;R&amp;F    &amp;A 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</dc:title>
  <dc:subject/>
  <dc:creator>Ron Strykowsky</dc:creator>
  <cp:keywords/>
  <dc:description/>
  <cp:lastModifiedBy>tbrown</cp:lastModifiedBy>
  <cp:lastPrinted>2007-11-14T20:15:27Z</cp:lastPrinted>
  <dcterms:created xsi:type="dcterms:W3CDTF">1999-11-30T18:37:22Z</dcterms:created>
  <dcterms:modified xsi:type="dcterms:W3CDTF">2007-11-21T18:08:27Z</dcterms:modified>
  <cp:category/>
  <cp:version/>
  <cp:contentType/>
  <cp:contentStatus/>
</cp:coreProperties>
</file>