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0" yWindow="780" windowWidth="29340" windowHeight="17220" tabRatio="208" firstSheet="1" activeTab="1"/>
  </bookViews>
  <sheets>
    <sheet name="CB_DATA_" sheetId="1" state="veryHidden" r:id="rId1"/>
    <sheet name="Risk Register" sheetId="2" r:id="rId2"/>
    <sheet name="Retired Risks" sheetId="3" r:id="rId3"/>
    <sheet name="Ranking Lookup" sheetId="4" r:id="rId4"/>
  </sheets>
  <definedNames>
    <definedName name="CBWorkbookPriority" hidden="1">-53766829</definedName>
    <definedName name="CBx_31bcb805e7e84f90bc17e98efe0de2ae" localSheetId="0" hidden="1">"'Risk Register'!$A$1"</definedName>
    <definedName name="CBx_c853af74e6944ee19c42f547a8e85032" localSheetId="0" hidden="1">"'Retired Risks'!$A$1"</definedName>
    <definedName name="CBx_Sheet_Guid" localSheetId="2" hidden="1">"'c853af74-e694-4ee1-9c42-f547a8e85032"</definedName>
    <definedName name="CBx_Sheet_Guid" localSheetId="1" hidden="1">"'31bcb805-e7e8-4f90-bc17-e98efe0de2ae"</definedName>
    <definedName name="CBx_StorageType" localSheetId="2" hidden="1">1</definedName>
    <definedName name="CBx_StorageType" localSheetId="1" hidden="1">1</definedName>
    <definedName name="_xlnm.Print_Area" localSheetId="2">'Retired Risks'!$A:$M</definedName>
    <definedName name="_xlnm.Print_Area" localSheetId="1">'Risk Register'!$A$3:$M$112</definedName>
    <definedName name="_xlnm.Print_Titles" localSheetId="2">'Retired Risks'!$1:$2</definedName>
    <definedName name="_xlnm.Print_Titles" localSheetId="1">'Risk Register'!$1:$2</definedName>
    <definedName name="Register">'Risk Register'!$2:$112</definedName>
  </definedNames>
  <calcPr fullCalcOnLoad="1"/>
</workbook>
</file>

<file path=xl/comments2.xml><?xml version="1.0" encoding="utf-8"?>
<comments xmlns="http://schemas.openxmlformats.org/spreadsheetml/2006/main">
  <authors>
    <author>Chris Gruber</author>
  </authors>
  <commentList>
    <comment ref="S103" authorId="0">
      <text>
        <r>
          <rPr>
            <b/>
            <sz val="9"/>
            <rFont val="Tahoma"/>
            <family val="0"/>
          </rPr>
          <t>Chris Gruber:</t>
        </r>
        <r>
          <rPr>
            <sz val="9"/>
            <rFont val="Tahoma"/>
            <family val="0"/>
          </rPr>
          <t xml:space="preserve">
Impacts evaluated using numbers for consequences and this column shows highest that is then used to set consequences description</t>
        </r>
      </text>
    </comment>
  </commentList>
</comments>
</file>

<file path=xl/sharedStrings.xml><?xml version="1.0" encoding="utf-8"?>
<sst xmlns="http://schemas.openxmlformats.org/spreadsheetml/2006/main" count="1182" uniqueCount="740">
  <si>
    <t>Strykowsky</t>
  </si>
  <si>
    <t>After all conductor procured.</t>
  </si>
  <si>
    <t>After Station 5?</t>
  </si>
  <si>
    <t>Dudek</t>
  </si>
  <si>
    <t>Lift equipment estimated in 1810 &amp; 1815 WAF.</t>
  </si>
  <si>
    <t>After PF proposals received.</t>
  </si>
  <si>
    <t>Have acquired new hardware and trained staff.</t>
  </si>
  <si>
    <t>2 occurrences @ 0.5 month each.</t>
  </si>
  <si>
    <t>Trim coil performance requirements might have to increase to compensate for grater-than-expected assembly errors.</t>
  </si>
  <si>
    <t xml:space="preserve">Sys-11
</t>
  </si>
  <si>
    <t>NB Transition duct design is vintage and revisit could result in criteria changes, i.e. diagnostic requirements, number of ports, NB alignment, further design review, etc.</t>
  </si>
  <si>
    <t xml:space="preserve">Sys-15
</t>
  </si>
  <si>
    <t xml:space="preserve">Loss or prolonged unavailability of certain key personnel from the project could substantially impact the schedule. </t>
  </si>
  <si>
    <t>Insulation on modular coil fails during initial cooldown and testing requiring in situ repair.</t>
  </si>
  <si>
    <t>Estimated impact is &lt;0.5 months on the critical path.  No impact on FPA cost because impacted personnel would be assigned to other activities.</t>
  </si>
  <si>
    <t>8203</t>
  </si>
  <si>
    <t>Tom Brown (PPPL)</t>
  </si>
  <si>
    <t>Nominal cost impact is 1 man-month of engineering design and up to half the fabrication cost of the sled</t>
  </si>
  <si>
    <t>TF vendor produces a non-compliant coil requiring fabrication of an additional coil</t>
  </si>
  <si>
    <t>VU</t>
  </si>
  <si>
    <t>Negligible</t>
  </si>
  <si>
    <t>Increase PPPL Title III by ~1 man-month</t>
  </si>
  <si>
    <t>1352</t>
  </si>
  <si>
    <t>Start of installation</t>
  </si>
  <si>
    <t>Viola</t>
  </si>
  <si>
    <t>1810
1815
7503  8205    1355</t>
  </si>
  <si>
    <t>Legacy power supplies unexpectedly require modifications or additional protection as a result of failure modes analysis.</t>
  </si>
  <si>
    <t>Loop faults delay coil testing.</t>
  </si>
  <si>
    <t>Control System problems delay testing</t>
  </si>
  <si>
    <t>During the development of the ISTP specific ( first plasma ) waveforms will be tested to ensure that they will work.
WBS 5</t>
  </si>
  <si>
    <t>Sichta</t>
  </si>
  <si>
    <r>
      <t>Consequences:</t>
    </r>
    <r>
      <rPr>
        <sz val="11"/>
        <rFont val="Arial"/>
        <family val="2"/>
      </rPr>
      <t xml:space="preserve">
Negligible: ≤$100k, ≤0.5 month
Marginal: $100k-$500k, 0.5-1 month
Significant: $500k-$1M, 1-3 months
Critical: $1M-$5M, 3-6 months
Crisis: &gt;$5M, &gt; 6 months</t>
    </r>
  </si>
  <si>
    <t>Weld trials should mitigate probability of occurance.</t>
  </si>
  <si>
    <t>????</t>
  </si>
  <si>
    <t>Leaky VV heating and cooling hoses. Repair delays assembly.</t>
  </si>
  <si>
    <t>Assess cause of leaks &amp; determine recovery plan well off the critical path.</t>
  </si>
  <si>
    <t>GHN guesstimate</t>
  </si>
  <si>
    <t>Leaky VV heating and cooling hoses: lack of reliability limits or delays operations</t>
  </si>
  <si>
    <t>Assess failure modes and implement corrective measures</t>
  </si>
  <si>
    <t>2, 3, 4, 5, 6</t>
  </si>
  <si>
    <t>Permeability limts outside the cryostat (1.05 for bulk materials, 1.20 for small hardware) may drive costly solutions for equipment in the test cell.</t>
  </si>
  <si>
    <t>Marginal breakdown loop voltage (1V) delays First Plasma.</t>
  </si>
  <si>
    <t>Identify and secure commitment of a pre-ionization system (filament and/or rf),</t>
  </si>
  <si>
    <t>Ensure that coils are connected with correct polarity during final assembly by specifying testing in the assembly procedure.
Job 7503
Test during ISTP and fix if necessary.
Job 8501</t>
  </si>
  <si>
    <t>Friction shims in sizes needed for C-C joint not avaialble when needed.</t>
  </si>
  <si>
    <t>RISK RETIRED - Viola and Perry both have continuing project assignments which keep them involved at a level sufficient to maintain familiarity with each other's assembly management responsibilities in the event a handoff  were needed.</t>
  </si>
  <si>
    <t>Expedite Tooling Design and Assembly Sequence Plan
Jobs 1803 / 8203</t>
  </si>
  <si>
    <t>When Station 3 Tooling FDR is complete</t>
  </si>
  <si>
    <t>RISK RETIRED - Successful FDR realized this risk and cost &amp; schedule impact being incoporated into updated baseline.</t>
  </si>
  <si>
    <t>Legacy vacuum pumps unexpectedly require modifications or additional protection as a result of failure modes analysis.</t>
  </si>
  <si>
    <t>Complete failure modes analysis and/or testing.
WBS 2101</t>
  </si>
  <si>
    <t>Vacuum pumping system</t>
  </si>
  <si>
    <t>Blanchard</t>
  </si>
  <si>
    <t>Ron Strykowsky</t>
  </si>
  <si>
    <t>Develop a succession plan
Business Ops. Dept.</t>
  </si>
  <si>
    <t>Allowances made in current S/U plans - replace pumps =&gt; suspend S/U unitl replaced/repaired.</t>
  </si>
  <si>
    <t>Allowances made in current S/U plans - if islands deemed to be unacceptable, would have to adjust coils.</t>
  </si>
  <si>
    <t>After Station 3</t>
  </si>
  <si>
    <t>Rogowski loop FDR</t>
  </si>
  <si>
    <t>Stratton</t>
  </si>
  <si>
    <t>After structure materials procured.</t>
  </si>
  <si>
    <t>Station 3: vertical weld distortion excessive. Have to take apart, modify design or procedure, re-weld.</t>
  </si>
  <si>
    <t>Schedule Impact (mos)</t>
  </si>
  <si>
    <t>No.</t>
  </si>
  <si>
    <t>Risk Description</t>
  </si>
  <si>
    <r>
      <t xml:space="preserve">Likelihood of Occurrence </t>
    </r>
    <r>
      <rPr>
        <b/>
        <vertAlign val="superscript"/>
        <sz val="12"/>
        <rFont val="Arial"/>
        <family val="2"/>
      </rPr>
      <t>a</t>
    </r>
  </si>
  <si>
    <t>Consequences</t>
  </si>
  <si>
    <t>Risk Class</t>
  </si>
  <si>
    <t>Basis of Estimate</t>
  </si>
  <si>
    <t>1354
7503</t>
  </si>
  <si>
    <t>Additional trim coils may be required to suppress field errors from n&gt;1 modes</t>
  </si>
  <si>
    <t>TECHNICAL RISKS - Station 6 Assembly</t>
  </si>
  <si>
    <t>Chrzanowski</t>
  </si>
  <si>
    <t>Assembly delayed due to metrology equipment breakdowns or anomalies.</t>
  </si>
  <si>
    <t>Priniski / Dudek</t>
  </si>
  <si>
    <t>~Sept., 2008</t>
  </si>
  <si>
    <t>DELETED - SEE ITEM #8.</t>
  </si>
  <si>
    <t>Ground faults delay coil testing.</t>
  </si>
  <si>
    <t>See mitigation plans for individuals listed below.</t>
  </si>
  <si>
    <t>1901</t>
  </si>
  <si>
    <t>Station 6. PF 5L &amp; 6L not available when needed in machine assembly sequence. Have to implement workaround.</t>
  </si>
  <si>
    <t>Station 6. PF 4L, 4U, 5U, 6U not available when needed in machine assembly sequence. Have to implement workaround.</t>
  </si>
  <si>
    <t>Management</t>
  </si>
  <si>
    <t>The load cases defined in the modular coil SRD will be run to determine if the present analyses based on the 2T, high beta load case are worst case.  If worst case operational conditions are found, develop mitigations and/or operational scenarios consistent with the operational limits defined by these analyses.</t>
  </si>
  <si>
    <t>Sept., 2008</t>
  </si>
  <si>
    <t>Stat2-1</t>
  </si>
  <si>
    <t>Stat2-4</t>
  </si>
  <si>
    <t>Stat2-6</t>
  </si>
  <si>
    <t>Stat2-8</t>
  </si>
  <si>
    <t>Risk Ranking Lookup Table</t>
  </si>
  <si>
    <t>L1</t>
  </si>
  <si>
    <t>L2</t>
  </si>
  <si>
    <t>L3</t>
  </si>
  <si>
    <t>L4</t>
  </si>
  <si>
    <t>L5</t>
  </si>
  <si>
    <t>NC1</t>
  </si>
  <si>
    <t>NC2</t>
  </si>
  <si>
    <t>NC3</t>
  </si>
  <si>
    <t>NC4</t>
  </si>
  <si>
    <t>NC5</t>
  </si>
  <si>
    <t>U1</t>
  </si>
  <si>
    <t>U2</t>
  </si>
  <si>
    <t>U3</t>
  </si>
  <si>
    <t>U4</t>
  </si>
  <si>
    <t>U5</t>
  </si>
  <si>
    <t>VL1</t>
  </si>
  <si>
    <t>VL2</t>
  </si>
  <si>
    <t>Complete failure modes analysis and/or testing.
WBS 4401</t>
  </si>
  <si>
    <t>Dahlgren</t>
  </si>
  <si>
    <t>Loss of knowledgeable staff delays operation of legacy power supplies.</t>
  </si>
  <si>
    <t>Train staff in legacy systems.
Eng. Dept.</t>
  </si>
  <si>
    <t>Mitigation Plan
(&amp; job where budgeted)</t>
  </si>
  <si>
    <t>Base supports must be in place prior to the 3-periord machine assembly</t>
  </si>
  <si>
    <t>Sys-1</t>
  </si>
  <si>
    <t>Sys-6</t>
  </si>
  <si>
    <t>Sys-7</t>
  </si>
  <si>
    <t>TECHNICAL RISKS - Station 5 Assembly</t>
  </si>
  <si>
    <t>Cut apart and re-weld two coils back together.  Nominally a 2.5-man crew in 12 weeks.
Fabrication and installation of chair nominally requires 2.5-man crew and ~3 weeks.</t>
  </si>
  <si>
    <t>Moving preliminary design into FY08 to give more lead time.</t>
  </si>
  <si>
    <t>5301
5401
5501
5601</t>
  </si>
  <si>
    <t>TECHNICAL RISK - Generic Assembly Risks</t>
  </si>
  <si>
    <t>TECHNICAL RISKS - Station 2 Assembly</t>
  </si>
  <si>
    <t>TECHNCIAL RISKS - Station 3 Assembly</t>
  </si>
  <si>
    <t>Station 5. Problems installing ports due to interferences. Have to move components or modify ports.</t>
  </si>
  <si>
    <t>Critical Path Schedule Impact (mos)</t>
  </si>
  <si>
    <t>N/A</t>
  </si>
  <si>
    <t>High impact-low probability event that has been excluded as a bounding assumption.</t>
  </si>
  <si>
    <t>Estimated impact is &lt;2 months on the critical path.  Cost impact covers up to 2 months of FPA/final assembly.</t>
  </si>
  <si>
    <t>1810</t>
  </si>
  <si>
    <t>Nominally repaired with a 2-man crew within 2 weeks</t>
  </si>
  <si>
    <t>Zarnstorff</t>
  </si>
  <si>
    <t>Schedule impact if we don't have a ready solution</t>
  </si>
  <si>
    <t>An 18 point study has been completed .  This resulted in a number of software, hardware, and prodedural changes have been made.  The level of accuracy and repeatability is now acceptable.</t>
  </si>
  <si>
    <t>Station 2 - shim bag rupture &amp; requires replacement</t>
  </si>
  <si>
    <t>Presently 200+ days of float in the schedule.  Design of coils simplified to two coil types minimizing risk of late delivery</t>
  </si>
  <si>
    <r>
      <t xml:space="preserve">High impact-low probability event.  </t>
    </r>
    <r>
      <rPr>
        <b/>
        <i/>
        <sz val="12"/>
        <rFont val="Arial"/>
        <family val="0"/>
      </rPr>
      <t>Exclude as a bounding assumption.</t>
    </r>
  </si>
  <si>
    <t>Station 2. Unacceptable distortion in a field period when welding modular coil shims requiring complete disassembly and redesign and reassembly</t>
  </si>
  <si>
    <t xml:space="preserve">Station 5. Rework/replacement of high permeability components </t>
  </si>
  <si>
    <t>Expedite design &amp; procurement of at-risk parts. 
Dudek</t>
  </si>
  <si>
    <t>RISK RETIRED - 10/30 Analysis shows that 316L will be adequate (See Engr Minutes of 10302007)</t>
  </si>
  <si>
    <t>Station 6. Problems making up C-C joint.  Interferences, bolt access problems.</t>
  </si>
  <si>
    <t>1810/ 1815
7503</t>
  </si>
  <si>
    <t>Dodson / Dudek</t>
  </si>
  <si>
    <t>Coil services PDRs</t>
  </si>
  <si>
    <t>Brooks</t>
  </si>
  <si>
    <t>Station 6: Leads not available when needed in machine assembly sequence. Have to implement workaround.</t>
  </si>
  <si>
    <t>Expedite design and procurement.
Jobs 1601</t>
  </si>
  <si>
    <t>Electrical leads FDR</t>
  </si>
  <si>
    <t>Goranson</t>
  </si>
  <si>
    <t>Station 3: cost and schedule grows when Assembly Sequence Plan fully matures</t>
  </si>
  <si>
    <t>Station 5: cost and schedule grows when Assembly Sequence Plan fully matures</t>
  </si>
  <si>
    <t>Power Systems PDR</t>
  </si>
  <si>
    <r>
      <t xml:space="preserve">Responsibility
</t>
    </r>
    <r>
      <rPr>
        <b/>
        <sz val="12"/>
        <color indexed="12"/>
        <rFont val="Arial"/>
        <family val="0"/>
      </rPr>
      <t>(for reporting status monthly)</t>
    </r>
  </si>
  <si>
    <t>Brown</t>
  </si>
  <si>
    <t>Raftopoulos</t>
  </si>
  <si>
    <t>Ramakrishnan</t>
  </si>
  <si>
    <t>Expedite design and procurement.
Jobs 1302/1352</t>
  </si>
  <si>
    <t>Stat5-4</t>
  </si>
  <si>
    <t>Islands detected in e-beam mapping require troubleshooting and repair; delay CD-4.</t>
  </si>
  <si>
    <t>Control sources of field error and maintain inventory.
WBS 8204</t>
  </si>
  <si>
    <t>Completion of e-beam mapping</t>
  </si>
  <si>
    <r>
      <t>Consequences:</t>
    </r>
    <r>
      <rPr>
        <sz val="11"/>
        <color indexed="12"/>
        <rFont val="Arial"/>
        <family val="0"/>
      </rPr>
      <t xml:space="preserve">
Negligible: ≤$100k, ≤0.5 month
Marginal: $100k-$500k, 0.5-1 month
Significant: $500k-$1M, 1-3 months
Critical: $1M-$5M, 3-6 months
Crisis: &gt;$5M, &gt; 6 months</t>
    </r>
  </si>
  <si>
    <t>Alternate Material for Shim if vendor not found</t>
  </si>
  <si>
    <t>Kalish</t>
  </si>
  <si>
    <t>The operational flexibility of the machine may be limited if it turns out that the 2T, high beta load case is not the worst-case operating  condition for the friction shims.</t>
  </si>
  <si>
    <t>Comprehensive PTP's will be conducted prior to implementing the ISTP.
WBS 1-6</t>
  </si>
  <si>
    <t>Gentile</t>
  </si>
  <si>
    <t>Likelihood of Occurrence</t>
  </si>
  <si>
    <t xml:space="preserve">An EA/EM engineer has been budgeted to provide support to Ellis in Dimensional Control Coordination during peak demands and pick up the slack for Ellis should he become unavailable. </t>
  </si>
  <si>
    <t>Cost: 100% impact on cryostat cooling, 20% on fab.</t>
  </si>
  <si>
    <t xml:space="preserve">Sys-18
</t>
  </si>
  <si>
    <t xml:space="preserve">Sys-19
</t>
  </si>
  <si>
    <t>15, 13, 4</t>
  </si>
  <si>
    <t>Escalation of material costs due to increased foreign exchange rates.
(Model after Sys-13 &amp; -14)</t>
  </si>
  <si>
    <t>After structure materials and conductor procured</t>
  </si>
  <si>
    <t xml:space="preserve">Sys-20
</t>
  </si>
  <si>
    <t>Calculate doses, assess hazards and needed controls, peer review results.</t>
  </si>
  <si>
    <t>1 year before start of Station 5.</t>
  </si>
  <si>
    <t>1421
1431</t>
  </si>
  <si>
    <t>VL3</t>
  </si>
  <si>
    <t>VL4</t>
  </si>
  <si>
    <t>VL5</t>
  </si>
  <si>
    <t>VU1</t>
  </si>
  <si>
    <t>VU2</t>
  </si>
  <si>
    <t>VU3</t>
  </si>
  <si>
    <t>VU4</t>
  </si>
  <si>
    <t>VU5</t>
  </si>
  <si>
    <t>consequences</t>
  </si>
  <si>
    <t>Rank Value</t>
  </si>
  <si>
    <t>cost</t>
  </si>
  <si>
    <t>sched</t>
  </si>
  <si>
    <t>max</t>
  </si>
  <si>
    <t>Opportunity</t>
  </si>
  <si>
    <t>Stat5-10</t>
  </si>
  <si>
    <t>Current estimates reflect latest OFES guidance. Will revisit in semi-annual EAC update.</t>
  </si>
  <si>
    <t>When 1st PF is wound.</t>
  </si>
  <si>
    <t>Assessing impact of annealing and machining on permeability</t>
  </si>
  <si>
    <t>Initial impact assessment based on VVSA experience</t>
  </si>
  <si>
    <t>b</t>
  </si>
  <si>
    <t>c</t>
  </si>
  <si>
    <t>d</t>
  </si>
  <si>
    <t>e</t>
  </si>
  <si>
    <t>Design of cables not firmly established, satisfying field error requirements could require more costly solutions and longer lead time.</t>
  </si>
  <si>
    <t>Station 5: Trim coils not available when needed in field period assembly sequence. Have to implement workaround.</t>
  </si>
  <si>
    <t>Station 3. Problems installing coils over vacuum vessel. Trajectory following scheme does not work like the concrete block.  Have to re-invent.</t>
  </si>
  <si>
    <t>Larry Dudek can step in to assume Phil's responsibilities as Engineering Manager for Design and Procurement. Erik Perry can step into Larry's role as Construction Manager. As time goes on (and the field period assembly is completed), Mike Viola can continue (with Erik's help) with final machine assembly.</t>
  </si>
  <si>
    <t>After final machine design and major procurement activities are completed.</t>
  </si>
  <si>
    <t>Mitgation plan being implemented during TF fab.  There was an issue with TF Coil #3, but this has now been resolved.  6 TF coils shipped and/or received.  9TF Coils Received at PPPL and Tested</t>
  </si>
  <si>
    <t>Kalish (TF)
Chrzanowski (PF)</t>
  </si>
  <si>
    <t>See response to RR #5. Current weld trials dealing with options to control distortion.</t>
  </si>
  <si>
    <t>Mitgation plan being implemented during TF fab.  There was an issue with TF Coil #3, but this has now been resolved.  6 TF coils shipped and/or received. 9TF Coils Received at PPPL and Tested</t>
  </si>
  <si>
    <t>Expedite design and procurement.
Jobs 1354</t>
  </si>
  <si>
    <t>Staff have recently been brought on board in anticipation of growing NCSX I&amp;C needs. The planned shutdown of NSTX after FY10 will increase the availability of similar resources for NCSX.</t>
  </si>
  <si>
    <t>April, 2008</t>
  </si>
  <si>
    <t>Current Status 
(As of April 14, 2008)</t>
  </si>
  <si>
    <t>NSTX Shutdown (following FY10)</t>
  </si>
  <si>
    <t>Current estimates have "best" info on SS and Inconel prices. Will revisit in semi-annual EAC update.</t>
  </si>
  <si>
    <t>Welding of the Vacuum Vessel pieces to the spool pieces may require the addition of thin Inconel plates to bridge gaps caused by radial and/or angular  out-of-tolerance consditions of either the VV or spool pieces.</t>
  </si>
  <si>
    <t>Start design of needed hardware early.  Bring the work forward to mitigate the risk</t>
  </si>
  <si>
    <t>Coil protection system costs grow when requirements fully mature.</t>
  </si>
  <si>
    <t>Establish requirements
Job 4401.</t>
  </si>
  <si>
    <t>16 of 18 coils successfully wound.Remaining 2 coils in winding process.</t>
  </si>
  <si>
    <t>Work has not yet started on job 3801. Start of work will be brought forward to January 2009.</t>
  </si>
  <si>
    <t>Station 2. Bolt preload could relax with time.</t>
  </si>
  <si>
    <t>Damage or loss of modular coil during VPI or testing requiring the conductor to be stripped off and re-wound.</t>
  </si>
  <si>
    <t>Change in scope, i.e. addition of cooling to trim coils.</t>
  </si>
  <si>
    <t xml:space="preserve">Quality improving - production mode established.  9 TF Coils delivered 500 days of float from critical path
</t>
  </si>
  <si>
    <t>Budget an approximate amount for thermal analysis support in WBS 82. Perform detailed evaluation of analysis needs to see if more is needed.
Job 8204.</t>
  </si>
  <si>
    <r>
      <t xml:space="preserve">Likelihood:
</t>
    </r>
    <r>
      <rPr>
        <sz val="11"/>
        <color indexed="12"/>
        <rFont val="Arial"/>
        <family val="0"/>
      </rPr>
      <t>VL: P&gt;80%
L: 80%&gt;P&gt;40%
U: 40%&gt;P&gt;10%
VU: P&lt;10%
NC: P&lt;1%</t>
    </r>
  </si>
  <si>
    <t>June, 2008 (before  procurements placed)</t>
  </si>
  <si>
    <t>Cost: 20% impact on design &amp; fab.
Schedule: none</t>
  </si>
  <si>
    <t>Cryostat costs grow once design matures and requirements are better understood.</t>
  </si>
  <si>
    <t>Adopt existing mature design concept if possible. (Downgrade consequences if so.)</t>
  </si>
  <si>
    <t>October,  2008
(CDR)</t>
  </si>
  <si>
    <t>Cost: 50% impact on design &amp; fab.
Schedule: none</t>
  </si>
  <si>
    <t>Cryostat sealing concept has to be revised.</t>
  </si>
  <si>
    <t>Adopt less risky concept if possible. Expedite R&amp;D</t>
  </si>
  <si>
    <t>Cost: 100% impact on seal design costs, 20% on fab.</t>
  </si>
  <si>
    <t>Cryostat cooling performance inadequate to reach cryogenic temperatures.</t>
  </si>
  <si>
    <t>Investigate cooling of structures with liquid not gas</t>
  </si>
  <si>
    <t>Station 6.  Vacuum leaks occur. Takes time to locate and repair.</t>
  </si>
  <si>
    <t>Leak check each field period independently in FPA.
Job 1815</t>
  </si>
  <si>
    <t>After final VV weld</t>
  </si>
  <si>
    <t>Careful metrology in FPA, back office analysis and CAD modeling.
Job 8202 (Eng. Mgr.)</t>
  </si>
  <si>
    <t>The C-C joint may need to be re-designed if it turns out that the 2T, high beta load case is not the worst-case operating  condition for the friction shims.</t>
  </si>
  <si>
    <t>Shield walls found to be inadequate. Limits operation conditions</t>
  </si>
  <si>
    <t>Station 6: Trim coils not available when needed in machine assembly sequence. Have to implement workaround.</t>
  </si>
  <si>
    <t>Unanticipated problems with cryostat penetrations (icing, excessive condensation).  May require warming up the stellarator core to effect repair with consequent impacts to critical path activities.</t>
  </si>
  <si>
    <t>Design integration effort needs to increase to manage space allocations inside the cryostat and in the test cell</t>
  </si>
  <si>
    <t>Staff has been increased recently. Periodically reassess adequacy.</t>
  </si>
  <si>
    <t>Staff increases in progress.</t>
  </si>
  <si>
    <t>1 person-year?</t>
  </si>
  <si>
    <t>1901
8203</t>
  </si>
  <si>
    <t>Impact of having only a few leaks is covered in estimate uncertainty with present mitigation plan</t>
  </si>
  <si>
    <t xml:space="preserve">Mike Cole (ORNL)
Loss of "corporate memory" of stellarator core design intent, delayed turnaround on Title III issues andproblem resolution might impact FPA  schedule. </t>
  </si>
  <si>
    <t>Design trim coil structures with adequate margin in case currents have to be increased by factor 2.</t>
  </si>
  <si>
    <t>Station 5 estimate of $1889k x 25% plus  schedule stretchout for the time station 5 is on the c.p (4.5mo x 25% (stretchout cost quantified and added separately)</t>
  </si>
  <si>
    <t xml:space="preserve">15% increase in time required.
</t>
  </si>
  <si>
    <t>Staff presently assigned to NSTX are available to backup the staff presently responsible for the NCSX power supply work scope</t>
  </si>
  <si>
    <t>Station 6 estimate of $4,317k x 15%. plus  schedule stretchout for the time station 6 is on the c.p (14.5mo x 15%  (stretchout cost quantified and added separately)</t>
  </si>
  <si>
    <t>Maintain high availability via maintenance contracts, spares, and trained staff. 
F&amp;OM Div.</t>
  </si>
  <si>
    <t xml:space="preserve">See separate sheet - assume 3% to 20% higher per year escalation rate
</t>
  </si>
  <si>
    <t>Station 6.  Interferences discovered during assembly; components don’t go together as planned.  Assemblies have to be taken apart, components moved or re-worked, re-assembled.</t>
  </si>
  <si>
    <t>Perform coil-to-coil fitup checks.
Job 1810</t>
  </si>
  <si>
    <t>After first MCHP assembled over VV</t>
  </si>
  <si>
    <t>Current estimates have "best" info on Cu prices. Will revisit in semi-annual EAC update.</t>
  </si>
  <si>
    <t>316LN Inboard Shim material is not available to meet project schedule</t>
  </si>
  <si>
    <t>16 of 18 coils successfully wound. Remaining 2 coils in winding process.</t>
  </si>
  <si>
    <t>Oak Ridge is investigating securing additional engineering support for Mike Cole. Currently reviewing resumes and re-evluationg work load to determine whether additional staff will indeed be needed.</t>
  </si>
  <si>
    <t>Considered unlikely due to other mitigation plan options.</t>
  </si>
  <si>
    <t>DELETED - Combined with Item #40.</t>
  </si>
  <si>
    <t>Power Systems ISTP</t>
  </si>
  <si>
    <t>Photogrammetry replaces laser tracker for some operations and saves time and money. (Opportunity)</t>
  </si>
  <si>
    <t>When 1st coil is wound.</t>
  </si>
  <si>
    <r>
      <t xml:space="preserve">Mitigation Plan
</t>
    </r>
    <r>
      <rPr>
        <b/>
        <sz val="12"/>
        <color indexed="12"/>
        <rFont val="Arial"/>
        <family val="0"/>
      </rPr>
      <t>(&amp; job where budgeted)</t>
    </r>
  </si>
  <si>
    <t>When 10% of coils are wound.</t>
  </si>
  <si>
    <t>Coil structure designs have to be modified after FDR to accommodate chanes in interfaces with coil services or cryostat.</t>
  </si>
  <si>
    <t>Expedite design of coil services and cryostat.</t>
  </si>
  <si>
    <t>Brad Nelson is been budgeted (15%) on the project.  Should Cole become unavailable, Nelson would step in and handle Cole's responsibilities until a suitable longer term solution was implemented. 
ORNL Mgt.,  Job 1901</t>
  </si>
  <si>
    <t>Tom Brown, Art Brooks, Bob Ellis
"Back office" support for FPA and final assembly becomes a chronic bottleneck, stretching out the time required to complete assembly operations</t>
  </si>
  <si>
    <t>total cost of statinless components  assuming 50% of which is material cost x 20% per year escalation rate. (see conr=tingency model tab esclation)</t>
  </si>
  <si>
    <t xml:space="preserve">See separate sheet - assume 5% to 20% higher per year escalation rate
</t>
  </si>
  <si>
    <t>Cut apart and re-weld two coils back together.  Nominally a 2.5-man crew in 12 weeks.</t>
  </si>
  <si>
    <t>Cost Impact ($k)</t>
  </si>
  <si>
    <t>NC</t>
  </si>
  <si>
    <t>Estimated impact is &lt;0.5 months on the critical path.</t>
  </si>
  <si>
    <t>Pre-qulaify shim bags. Use wing chair in compression. Could require taking coil apart in worse case. 
Job 1810</t>
  </si>
  <si>
    <t>Station 2. Unconstrained shim comes loose.</t>
  </si>
  <si>
    <t>Insulation fault in lead area is considered the most likely failure scenario.  Repair in situ is assumed recovery scenario taking 2-3 months. 1 month to warmup and cooldown the stellarator core.  3 techs/1 engr for duration of active repair )1-2 months).</t>
  </si>
  <si>
    <t>Expedite Component Designs and Assembly Sequence Plan
Jobs 1354, 1501, 1601, 8203</t>
  </si>
  <si>
    <t>Expedite Component Designs, Plant Layout, and Assembly Sequence Plan
Jobs 1701, 1702, 1803, 8215</t>
  </si>
  <si>
    <t xml:space="preserve">Coil cooling system fails to cool coil structure down to cryogenic temperature </t>
  </si>
  <si>
    <t>Station 3 estimate of $1,579k x 15% plus  schedule stretchout for the time station 3 is on the c.p (4.5mo x 15% (stretchout cost quantified and added separately)</t>
  </si>
  <si>
    <t xml:space="preserve">25% increase in time required for each F.P
</t>
  </si>
  <si>
    <t>50% reduction in metrology crew labor cost =$2,729k  x 50% . Reduction of metrology dependent tasks on the c.p. =172 days x .5 = 86 dyas = 4 months. (stretchout cost quantified and added separately)</t>
  </si>
  <si>
    <t xml:space="preserve"> (stretchout cost quantified and added separately)</t>
  </si>
  <si>
    <t xml:space="preserve">Increased time for Engineering study of alternate configurations.  </t>
  </si>
  <si>
    <t>RETIRED - existing margin determined to be adequate.</t>
  </si>
  <si>
    <t>Re-evaluating "old design" - expect decision by 4/1</t>
  </si>
  <si>
    <t>COVERED IN Sys-17</t>
  </si>
  <si>
    <t>COVERED IN S/U-2</t>
  </si>
  <si>
    <t>Staff are presently on-board and available to handle the FY08-10 work plan. More will be available following the shutdown of NSTX.</t>
  </si>
  <si>
    <t>Station 5.  Interferences discovered during assembly; components don’t go together as planned.  Assemblies have to be taken apart, components moved or re-worked, re-assembled.</t>
  </si>
  <si>
    <t xml:space="preserve">Station 2 assembly has just started.  Repeated trial fits have served to benchmark processes.
</t>
  </si>
  <si>
    <t xml:space="preserve">Station 2: Unacceptable distortion in a field period when welding modular coil shims requiring rework and or chair installation.
</t>
  </si>
  <si>
    <t>Risk has been reduced by mitigation (design and process changes)</t>
  </si>
  <si>
    <t>13XX
4, et al.</t>
  </si>
  <si>
    <t>CAD modeling with as-built dimensions to find interferences off critical path.
Job 1901</t>
  </si>
  <si>
    <t>Design integration during Title I &amp; II design of components.
Job  8203</t>
  </si>
  <si>
    <t>Bakeout system requires more substantial controls driving up complexity and cost</t>
  </si>
  <si>
    <t>PF vendor produces a non-compliant coil requiring fabrication of an additional coil</t>
  </si>
  <si>
    <t>Rough assessment of cost and schedule impact of slipping the FDR.</t>
  </si>
  <si>
    <t>Intermittant instability has been noted in the metrology equipment and analysis software.</t>
  </si>
  <si>
    <t>Still in design phase - future risk</t>
  </si>
  <si>
    <t>Starting installation in Feb 2008</t>
  </si>
  <si>
    <t>1815</t>
  </si>
  <si>
    <t>Larry Dudek, Erik Perry and Mike Viola are already intimately involved in NCSX design and construction activities and are able to assume varying responsibilities on short notice.</t>
  </si>
  <si>
    <t>Task forces formed to expedite resolution of feasibility issues.  Development activities are underway - xxpedite completion of modular coil interface design.  Complete preliminary design ASAP.</t>
  </si>
  <si>
    <t>M. Cole</t>
  </si>
  <si>
    <t>Critical</t>
  </si>
  <si>
    <t>Moderate</t>
  </si>
  <si>
    <t>Equipment will be handled during FPA using carefully constructed procedures to minimize likelihood. Include provisions to guard against coil damage in FPA procedures.
Job 1810</t>
  </si>
  <si>
    <t>Future risk - N/A</t>
  </si>
  <si>
    <t>1421</t>
  </si>
  <si>
    <t>Modular coil interface design needs to change significantly from the baseline for unforeseen technical reasons</t>
  </si>
  <si>
    <t>Additional support budgeted for Brown, Brooks, and Ellis providing "2 deep" back office support.  Should be available to mitigate peak demands once training in key skills is completed.
Jobs 8203, 8204, 8205.
Identify backup personnel for "two deep" back office support &amp; provide duplication of critical skills needed.
Eng. Mgt. (Heitzenroeder)</t>
  </si>
  <si>
    <t>Permeability of components outside 3m from machine to test cell walls exceed the permeability limit of mu = 1.2.</t>
  </si>
  <si>
    <t>Brooks
Kalish
Chrzanowski</t>
  </si>
  <si>
    <t>~ May 1, 2008</t>
  </si>
  <si>
    <t>total cost of copper components  assuming 50% of which is material cost x 20% per year escalation rate. (see conr=tingency model tab esclation)</t>
  </si>
  <si>
    <t>Nominally repaired with a 4-man crew in 1 week with 3 weeks for warmup/cooldown (if required)</t>
  </si>
  <si>
    <t>Rough assessment of cost and schedule impact of reinforcing or redesigning tooling.</t>
  </si>
  <si>
    <t>Station 6: cost and schedule grows when Assembly Sequence Plan fully matures</t>
  </si>
  <si>
    <t>Brooks will work with Physics to determine issues and whether Project can accept mu &gt; 1.2 cases.</t>
  </si>
  <si>
    <t>E-beam mapping diagnostic is not installed and ready for use during start-up. Risk is possibly complex and challenging  interface of hardware borrowed from Auburn University.</t>
  </si>
  <si>
    <t>Completion of installation</t>
  </si>
  <si>
    <t>Rough assessment of cost and schedule impact of delayed procurement.</t>
  </si>
  <si>
    <t>Heitzenroeder/Dudek</t>
  </si>
  <si>
    <t>Nominal cost impact is 2 man-months of engineering design and $50-150K for local reinforcement of building structures</t>
  </si>
  <si>
    <t>GPP projects not completed in time to support project needs</t>
  </si>
  <si>
    <t>Coils are hooked up with incorrect polarity</t>
  </si>
  <si>
    <t xml:space="preserve">Up to 2 week impact on FPA and critical path.  </t>
  </si>
  <si>
    <t>Cost impact = 50% cost increment cost for 1 year spool-up time for another senior project controls person</t>
  </si>
  <si>
    <t>Loaded estimated annual cost = $230k x 50% = $115k</t>
  </si>
  <si>
    <t>Cost and schedule impact calculation basis</t>
  </si>
  <si>
    <t xml:space="preserve">15% increase in time required for each F.P
</t>
  </si>
  <si>
    <r>
      <t xml:space="preserve">Station 6. </t>
    </r>
    <r>
      <rPr>
        <strike/>
        <sz val="12"/>
        <rFont val="Arial"/>
        <family val="2"/>
      </rPr>
      <t>TC floor is not adequately rigid for present metrology plan</t>
    </r>
  </si>
  <si>
    <r>
      <t xml:space="preserve">Copper sheet and spongy surface removed from TC floor.  Fiducials will be placed.  Concrete blocks will be placed to see if floor is adequately stiff.  Assess adequacy of TC floor.
</t>
    </r>
    <r>
      <rPr>
        <b/>
        <strike/>
        <sz val="12"/>
        <rFont val="Arial"/>
        <family val="2"/>
      </rPr>
      <t>Job 7503</t>
    </r>
  </si>
  <si>
    <t>Risk retired by design and process changes.</t>
  </si>
  <si>
    <t>Escalation of Stainless Sheet and Inconel higher than base escalation rates or due to foreign exchange rates.</t>
  </si>
  <si>
    <t>Escalation of Copper higher than base escalation rates  or due to foreign exchange rates.</t>
  </si>
  <si>
    <t>COVERED IN Sys-13 &amp; Sys-14</t>
  </si>
  <si>
    <t>TECHNICAL RISKS - Research Operations (post-CD4) =&gt; NOT PART OF MIE PROJECT</t>
  </si>
  <si>
    <r>
      <t>Risk resulted during welding trials. However, additional costs and schedule impacts have been incorporated into most recent updated ETC</t>
    </r>
    <r>
      <rPr>
        <b/>
        <i/>
        <strike/>
        <sz val="12"/>
        <color indexed="10"/>
        <rFont val="Arial"/>
        <family val="2"/>
      </rPr>
      <t xml:space="preserve">
</t>
    </r>
    <r>
      <rPr>
        <b/>
        <i/>
        <sz val="12"/>
        <color indexed="10"/>
        <rFont val="Arial"/>
        <family val="2"/>
      </rPr>
      <t>Retired</t>
    </r>
  </si>
  <si>
    <t>RISK RETIRED.  ADDITIONAL DESIGNER ASSIGNED.</t>
  </si>
  <si>
    <t>1501
1353</t>
  </si>
  <si>
    <t>Design choices made to streamline system and keep down the requirement for complex controls.  SRD will finalize requirements and retire risk</t>
  </si>
  <si>
    <t>February,  2010
(PDR)</t>
  </si>
  <si>
    <t>Cost: 20% of design costs thru PDR, 10% on fab.</t>
  </si>
  <si>
    <t>Robust design with excess capacity.
Job 6201</t>
  </si>
  <si>
    <t>SUPERCEDED by Stat-15</t>
  </si>
  <si>
    <t xml:space="preserve">Six offerers attended pre-proposal confernce on 3/17/08 =&gt; Expect trwo or more vendors to bid.  RETIRED.
</t>
  </si>
  <si>
    <t>RETIRED - included in Job 8204 estimate.</t>
  </si>
  <si>
    <t>Engineering hours to redo models and hold design review.</t>
  </si>
  <si>
    <t>Perform extensive welding R&amp;D and careful monitoring during welding.  Develop suitable weld procedures and train welders to minimize likelihood of unacceptable distortion.
Job 1810</t>
  </si>
  <si>
    <t>Station 2. As a result of the development trials for weld distortion, the welding time increases significantly above present allowance</t>
  </si>
  <si>
    <t>Station 2. Welding the inboard shims could result in gaps opening up at the plasma-side end of the shims to an unacceptable degree. 
(Becasue it might introduce unacceptable cyclic loads on the weld.  Gaps that open up when the outboard bolted joint assemblies are torqued also have this potential.)</t>
  </si>
  <si>
    <t xml:space="preserve">Welded shim design has changed to include a tightly fitted limiter and flex shim to react shear loads; these ensure against relative motion of flanges during operation and minimize cylic loading of welds. Perform extensive welding R&amp;D and careful monitoring during welding.  Develop suitable weld procedures and train welders to minimize likelihood of unacceptable distortion.
Job 1810
</t>
  </si>
  <si>
    <t>Rough assessment of cost and schedule impact of slipping the FDR. Obsolete.
Cost &amp; schedule impact on assembly work?</t>
  </si>
  <si>
    <t>CAD modeling with as-built dimensions to find interferences off critical path.
Do simulations carefully
Job 1901 &amp; 8203</t>
  </si>
  <si>
    <t xml:space="preserve">0.5 months on C.P. </t>
  </si>
  <si>
    <t>R&amp;D has been performed.  Check in advance with trial dry fit.
1810</t>
  </si>
  <si>
    <t>Labor rates may be significantly lower than projected
Opportunity</t>
  </si>
  <si>
    <t>End of FY-09</t>
  </si>
  <si>
    <t>Expedite failure modes analysis.</t>
  </si>
  <si>
    <t xml:space="preserve">1302/1352
1354
</t>
  </si>
  <si>
    <t>Analyze existing conditions to determine if an issue exists. At worst case, may have to utilize more expensive low magnetic materials and/or utilize combination of rebiased trim and PF ring coils to mitigate field errors.</t>
  </si>
  <si>
    <t xml:space="preserve">"Two deep" back office support is now in place.  Mark Smith has worked in all areas of back office support and will provide back-up for either Tom Brown, Art Brooks, or Bob Ellis as needed to handle over-loads, cover during vacations, etc.  A new analyst, Han Zhang,  has recently been hired and  is providing support to Art Brooks.  A new  design engineer, Shri Avisarala, has been hired and is expected to start soon and will be working with Tom Brown  to provide additional back-up in design integration.    
Design support  has also been significantly increased: Gerald Paluzzi is  supporting Bob Ellis his on non-NCSX tasks to help balance his workload ;  Tod Cruickshank is working with Fred Dahlgren and Tom Brown  on NCSX structures, and Richard Upcavage is working with Tom Brown on facilities and cryostat integration.  .   </t>
  </si>
  <si>
    <t>Owner</t>
  </si>
  <si>
    <t>Risk Ranking</t>
  </si>
  <si>
    <t>Williams</t>
  </si>
  <si>
    <t>Nominal welding time may double.  Estimate based on $300K/mo for FPA activities.
Risk as stated is retired.</t>
  </si>
  <si>
    <t xml:space="preserve">Station 2. Shim sets not adequate or fail - need to fabricate more shims and measure and test </t>
  </si>
  <si>
    <t>Change to G10 design and fabricate more shims than needed
Job 1810</t>
  </si>
  <si>
    <t>Station 2.  Sizing shims will be challenging and will occur during tight schedule constraints.  Any false starts will require immediate attention and resolution to solve problems quickly.</t>
  </si>
  <si>
    <t>Continue trial assembly with hardware to explore potential problems.  Adopt G10 sandwich design.
Job 1810</t>
  </si>
  <si>
    <t>Equipment will be handled during FPA using carefully constructed procedures to minimize likelihood. Include provisions to guard against coil damage in FPA procedures. 
Job 1810</t>
  </si>
  <si>
    <t xml:space="preserve">Fabricate and install bracing.  Nominally a 2.5-man crew in 2 weeks. Up to 4 week impact on FPA and critical path. </t>
  </si>
  <si>
    <t>Estimated cost of obtaining low magnetic materials.</t>
  </si>
  <si>
    <t xml:space="preserve">Retired/Superceded Risks - March 21, 2008 </t>
  </si>
  <si>
    <t>SUPERCEDED by Sys-11</t>
  </si>
  <si>
    <t xml:space="preserve">Retired/Superceded Risks - February 28, 2008 </t>
  </si>
  <si>
    <t xml:space="preserve">Stat6-1
Erik </t>
  </si>
  <si>
    <t>Retired/Superceded Risks - Before February 2008</t>
  </si>
  <si>
    <t xml:space="preserve">Current Status 
</t>
  </si>
  <si>
    <t>Triple redundancy - 3 installed but only 1 required.
Job 3101</t>
  </si>
  <si>
    <t>Station 6. Retainer and pucks do not stay on flange during assembly and moving of half field periods. Potential safety risk if individuals are under the machine.</t>
  </si>
  <si>
    <t>2 weeks on CP</t>
  </si>
  <si>
    <t>Measure a sampling of coils to assess need for racking.
Add hard points on the coils- Jim C.
WBS 13</t>
  </si>
  <si>
    <t>Procure more equipment &amp;  qualify more staff</t>
  </si>
  <si>
    <t>Rough assessment of cost and schedule impact of disassembling/re-assembling coils.
5 techs. X 3 months</t>
  </si>
  <si>
    <t>Retired by design</t>
  </si>
  <si>
    <t>1. Mgmt-1</t>
  </si>
  <si>
    <t>1. Mgmt-1a</t>
  </si>
  <si>
    <t>1. Mgmt-1b</t>
  </si>
  <si>
    <t>1. Mgmt-1c</t>
  </si>
  <si>
    <t>1. Mgmt-1d</t>
  </si>
  <si>
    <t>1. Mgmt-1e</t>
  </si>
  <si>
    <t>1. Mgmt-1f</t>
  </si>
  <si>
    <t>1. Mgmt-1g</t>
  </si>
  <si>
    <t>1. Mgmt-1h</t>
  </si>
  <si>
    <t>1. Mgmt-2</t>
  </si>
  <si>
    <t>1. Mgmt-3</t>
  </si>
  <si>
    <t>1. Mgmt-4</t>
  </si>
  <si>
    <t>1. Mgmt-5</t>
  </si>
  <si>
    <t>1. Mgmt-0</t>
  </si>
  <si>
    <t>2. Assy-0</t>
  </si>
  <si>
    <t>2. Assy-2</t>
  </si>
  <si>
    <t>2. Assy-3</t>
  </si>
  <si>
    <t>2. Assy-4</t>
  </si>
  <si>
    <t>2. Assy-5</t>
  </si>
  <si>
    <t>2. Assy-6</t>
  </si>
  <si>
    <t>2. Assy-7</t>
  </si>
  <si>
    <t>2. Assy-1</t>
  </si>
  <si>
    <t>3. Stat2-2</t>
  </si>
  <si>
    <t>3. Stat2-3</t>
  </si>
  <si>
    <t>3. Stat2-7</t>
  </si>
  <si>
    <t>3. Stat2-9</t>
  </si>
  <si>
    <t>3. Stat2-10</t>
  </si>
  <si>
    <t>3. Stat2-11</t>
  </si>
  <si>
    <t>3. Stat2-13</t>
  </si>
  <si>
    <t>3. Stat2-14</t>
  </si>
  <si>
    <t>3. Stat2-15</t>
  </si>
  <si>
    <t>3. Stat2-0</t>
  </si>
  <si>
    <t>3. Stat2-5</t>
  </si>
  <si>
    <t>4. Stat3-0</t>
  </si>
  <si>
    <t>4. Stat3-2</t>
  </si>
  <si>
    <t>4. Stat3-3</t>
  </si>
  <si>
    <t>4. Stat3-4</t>
  </si>
  <si>
    <t>4. Stat3-5</t>
  </si>
  <si>
    <t>4. Stat3-6</t>
  </si>
  <si>
    <t>4. Stat3-7</t>
  </si>
  <si>
    <t>4. Stat3-1</t>
  </si>
  <si>
    <t>5. Stat5-1</t>
  </si>
  <si>
    <t>5. Stat5-2</t>
  </si>
  <si>
    <t>5. Stat5-3</t>
  </si>
  <si>
    <t>5. Stat5-5</t>
  </si>
  <si>
    <t>5. Stat5-6</t>
  </si>
  <si>
    <t>5. Stat5-7</t>
  </si>
  <si>
    <t>5. Stat5-8</t>
  </si>
  <si>
    <t>5. Stat5-9</t>
  </si>
  <si>
    <t>5. Stat5-0</t>
  </si>
  <si>
    <t>6. Stat6-2</t>
  </si>
  <si>
    <t>6. Stat6-3</t>
  </si>
  <si>
    <t>6. Stat6-4</t>
  </si>
  <si>
    <t>6. Stat6-5</t>
  </si>
  <si>
    <t>7. S/U-3</t>
  </si>
  <si>
    <t>7. S/U-4</t>
  </si>
  <si>
    <t>7. S/U-5</t>
  </si>
  <si>
    <t>7. S/U-6</t>
  </si>
  <si>
    <t>7. S/U-7</t>
  </si>
  <si>
    <t>7. S/U-8</t>
  </si>
  <si>
    <t>7. S/U-9</t>
  </si>
  <si>
    <t>7. S/U-10</t>
  </si>
  <si>
    <t>7. S/U-11</t>
  </si>
  <si>
    <t>7. S/U-12</t>
  </si>
  <si>
    <t>7. S/U-13</t>
  </si>
  <si>
    <t>7. S/U-14</t>
  </si>
  <si>
    <t>7. S/U-15</t>
  </si>
  <si>
    <t>7. S/U-0</t>
  </si>
  <si>
    <t>8. Sys-2</t>
  </si>
  <si>
    <t>8. Sys-3</t>
  </si>
  <si>
    <t>8. Sys-4</t>
  </si>
  <si>
    <t>8. Sys-5</t>
  </si>
  <si>
    <t>8. Sys-8</t>
  </si>
  <si>
    <t>8. Sys-9</t>
  </si>
  <si>
    <t xml:space="preserve">8. Sys-10
</t>
  </si>
  <si>
    <t xml:space="preserve">8. Sys-12
</t>
  </si>
  <si>
    <t xml:space="preserve">8. Sys-13
</t>
  </si>
  <si>
    <t xml:space="preserve">8. Sys-14
</t>
  </si>
  <si>
    <t xml:space="preserve">8. Sys-16
</t>
  </si>
  <si>
    <t xml:space="preserve">8. Sys-17
</t>
  </si>
  <si>
    <t>8. Sys-21</t>
  </si>
  <si>
    <t xml:space="preserve">8. Sys-22
</t>
  </si>
  <si>
    <t xml:space="preserve">8. Sys-23
</t>
  </si>
  <si>
    <t xml:space="preserve">8. Sys-24
</t>
  </si>
  <si>
    <t xml:space="preserve">8. Sys-25
</t>
  </si>
  <si>
    <t xml:space="preserve">8. Sys-26
</t>
  </si>
  <si>
    <t xml:space="preserve">8. Sys-27 </t>
  </si>
  <si>
    <t>8. Sys-28</t>
  </si>
  <si>
    <t>8. Sys-0</t>
  </si>
  <si>
    <t>9. Ops-0</t>
  </si>
  <si>
    <t>9. Ops-2</t>
  </si>
  <si>
    <t>9. Ops-3</t>
  </si>
  <si>
    <t>9. Ops-1</t>
  </si>
  <si>
    <t>8. Sys-24</t>
  </si>
  <si>
    <t>Last Names only for sorting purposes</t>
  </si>
  <si>
    <t>Rank Descriptor</t>
  </si>
  <si>
    <t>The crane and the HVAC systems are the main GPP projects that would need to be completed.  The GPP projects have strong Lab and DOE oversight.  Ample float is provided in the schedule so project delays due to GPP delays are not considered credible (P&lt;1%).
Eng. &amp; Infrastructure Dept.</t>
  </si>
  <si>
    <t>Will instrument some (~12?) bolts.  Doing bolt tests with G10 shims. Retighten bolts/check periodically to verify that preload is okay.
Job 1901</t>
  </si>
  <si>
    <t>After Station 5</t>
  </si>
  <si>
    <t>RETIRED.</t>
  </si>
  <si>
    <t>Retired by having performed fitup checks of all coils and necessary re-work</t>
  </si>
  <si>
    <t>Station 2. Modular coil damaged during assembly requiring significant rework to coil.
(Complete coil re-fabrication excluded)</t>
  </si>
  <si>
    <t>All GPP projects supporting the NCSX inhabiting the C-Site test cell are presently scheduled for completion prior to the end of FY09.</t>
  </si>
  <si>
    <t>CR may delay funding to project.</t>
  </si>
  <si>
    <t>Expected increase in FY-09 may be delayed by CR.</t>
  </si>
  <si>
    <t>33% reduction in metrology tasks?</t>
  </si>
  <si>
    <t xml:space="preserve">General purpose tooling/ lifting equipment (e.g. cranes) not available to support the schedule.
</t>
  </si>
  <si>
    <t>Budget lift equipment in FPA .
Jobs 1810, 1815</t>
  </si>
  <si>
    <t>Station 2. Nose opens up while tightening outboard bolts</t>
  </si>
  <si>
    <t>Change bolt tightening sequence
Job 1810</t>
  </si>
  <si>
    <t>Station 2. Nose opens up while tightening outboard bolts.  Change bolt tightening sequence is not adequate</t>
  </si>
  <si>
    <t>Reexamine alignment criteria and potential impact
Job 1810</t>
  </si>
  <si>
    <t>Issue sources sought advertisement.
Job 1352</t>
  </si>
  <si>
    <t>2 weeks on CP &amp; some retrofit of clamsp.  Have to do some re-design of clamps.  Maybe 4 wweks of Fred &amp; designer + hardware</t>
  </si>
  <si>
    <t>Push design integration of TF, PF, coil structures, coil services, &amp; cryostat to resolve interfaes ASAP.  Delay FDRs until integration adequately mature
Job 8203</t>
  </si>
  <si>
    <t>Up to 4 week impact on FPA and critical path.</t>
  </si>
  <si>
    <t>Add Inconel plates to extend the vessel flange if radial out- of-tolerance and add flange plates ti soiil pieces and tehn bridge to vessel flange extension if angular out-of-tolerance.</t>
  </si>
  <si>
    <t xml:space="preserve">Chrzanowski (MC)
Viola (FPA)
M. Viola &amp; E. Perry - implement mitigation plan during  field period and final assembly. </t>
  </si>
  <si>
    <t>Insulation on modular coil fails during initial cooldown and testing requiring stellarator core disassembly</t>
  </si>
  <si>
    <t>Ensure that required electrical breaks are not compromised.
Check carefully during assembly.
Job 1810, 1815, 7503</t>
  </si>
  <si>
    <t>Up to 2 week impact on FPA and critical path.</t>
  </si>
  <si>
    <t xml:space="preserve">Up to 4 week impact on FPA and critical path.  </t>
  </si>
  <si>
    <t>S/U-15</t>
  </si>
  <si>
    <t>Would impact CP day for day, but PF coils have ample float</t>
  </si>
  <si>
    <t>Would impact CP day for day, but risk mitigted by design and float.</t>
  </si>
  <si>
    <t>1 month on C.P.
4 techs x 1 mont</t>
  </si>
  <si>
    <t>Station 6. Problems making up vacuum vessel field joint.  Have to re-machine spool piece.</t>
  </si>
  <si>
    <t>After first VV joint successfully made up.</t>
  </si>
  <si>
    <t>Risk is mitigated in the estimate</t>
  </si>
  <si>
    <t>Station 3. MCHP Sags or changes shape in vertical position.</t>
  </si>
  <si>
    <t>Perform CAD modeling in advance. Compensate by centering offset.
Job 1810</t>
  </si>
  <si>
    <t>RETIRED - redundant with Sys-17.</t>
  </si>
  <si>
    <r>
      <t xml:space="preserve">Cryostat costs grow once design matures and requirements are better understood.
</t>
    </r>
    <r>
      <rPr>
        <b/>
        <strike/>
        <sz val="12"/>
        <rFont val="Arial"/>
        <family val="2"/>
      </rPr>
      <t>Delete. Redundant with Sys-17.  However, Sys-17 needs to be reviewed and updated by S.R.</t>
    </r>
  </si>
  <si>
    <t>5. Stat5-10</t>
  </si>
  <si>
    <t>9. Ops-4</t>
  </si>
  <si>
    <t>6. Stat6-6</t>
  </si>
  <si>
    <t>6. Stat6-7</t>
  </si>
  <si>
    <t>6. Stat6-8</t>
  </si>
  <si>
    <t>6. Stat6-9</t>
  </si>
  <si>
    <t>6. Stat6-10</t>
  </si>
  <si>
    <t>6. Stat6-11</t>
  </si>
  <si>
    <t>6. Stat6-12</t>
  </si>
  <si>
    <t>6. Stat6-13</t>
  </si>
  <si>
    <t>6. Stat6-14</t>
  </si>
  <si>
    <t>6. Stat6-15</t>
  </si>
  <si>
    <t>6. Stat6-16</t>
  </si>
  <si>
    <t xml:space="preserve">6. Stat6-17
</t>
  </si>
  <si>
    <t>6. Stat6-18</t>
  </si>
  <si>
    <t>6. Stat6-0</t>
  </si>
  <si>
    <t>7. S/U-1</t>
  </si>
  <si>
    <t>7. S/U-2</t>
  </si>
  <si>
    <t>Fitup of pucks limiters allows a gap after welding which creates a cyclic loading, reduces operating limits or lifetime.</t>
  </si>
  <si>
    <t>Based on time to cooldown, break vacuum, install equipment and restore temperature and vacuum.</t>
  </si>
  <si>
    <t>Estimated impact is &lt;0.5 months on the critical path.  No impact on WBS 4 cost because impacted personnel would be assigned to other activities.</t>
  </si>
  <si>
    <t>Current estimatesreflect latest labor rates. Will revisit in semi-annual EAC update.</t>
  </si>
  <si>
    <t>1810
1815
7503</t>
  </si>
  <si>
    <t>RISK RETIRED</t>
  </si>
  <si>
    <t>High</t>
  </si>
  <si>
    <t>No suitable PF coil vendor submits bid.  PF coils need to be built in-house.</t>
  </si>
  <si>
    <t>Conductor for extra coil will be procured in advance and available to wind a new coil if required.
Job 1352
 Float in schedule appears adequate to avoid critical path impact.</t>
  </si>
  <si>
    <t>1802
7401</t>
  </si>
  <si>
    <t>Station 2. Risk of loss of weld equipment or trained personnel.</t>
  </si>
  <si>
    <t>Switched to G10 design</t>
  </si>
  <si>
    <t>Up to 3 week impact on FPA and critical path.</t>
  </si>
  <si>
    <t>Retired</t>
  </si>
  <si>
    <t>Cost, not schedule
4 techs. X 2 weeks x 10 occurrences</t>
  </si>
  <si>
    <t>Trim coil - port interferencese are biggest concer. 
Leads are a concern too??
4 techs. X 2 weeks X 1 occurrence</t>
  </si>
  <si>
    <t>Exercise tooling off the critical path. Compensated by design, metrology, exercise tooling &amp; follow demonstrated procedures
Assy stesp allow for this. Demonstrated in Station 2
Job 1810</t>
  </si>
  <si>
    <t>Station 5. TF Coils cannot be aligned</t>
  </si>
  <si>
    <t>Sichta
Baumgartner
von Halle</t>
  </si>
  <si>
    <t>Winkler</t>
  </si>
  <si>
    <t>von Halle</t>
  </si>
  <si>
    <t>Brooks
Fan</t>
  </si>
  <si>
    <t>Station 5. Field period damaged during loading, transport, or unloading from TFTR TC to NCSX TC</t>
  </si>
  <si>
    <t>5 techs x .5 month</t>
  </si>
  <si>
    <t>Station 3.  VV surface component (coolant tube, flux loop, or TC) damaged during FPA requiring significant rework.  (Note:
There is only 0.2" of clearance currently projected.)</t>
  </si>
  <si>
    <t>Station 6. Pourable insulation installation problemss; can’t get what we need, don’t know if it fills all the voids, leaks out all over the place; have to invent methods to ensure complete fill and seal.</t>
  </si>
  <si>
    <t>Perform R&amp;D. Design special tooling for installation and verification.
Job 7503 &amp; 1901</t>
  </si>
  <si>
    <t>Failure of major piece of winding equipment (e.g., motor, gear box, etc.) resulting in extended downtime in a winding station</t>
  </si>
  <si>
    <t>~$10K for equipment plus repair costs</t>
  </si>
  <si>
    <t>1810
7503</t>
  </si>
  <si>
    <t>After leak check of first FP.</t>
  </si>
  <si>
    <t xml:space="preserve">RETIRED - Backup TMPs are available.
</t>
  </si>
  <si>
    <t>Some interfaces still not well defined - however, structure does have significant margin.</t>
  </si>
  <si>
    <r>
      <t>Affected Jobs</t>
    </r>
    <r>
      <rPr>
        <sz val="12"/>
        <rFont val="Arial"/>
        <family val="0"/>
      </rPr>
      <t xml:space="preserve"> </t>
    </r>
    <r>
      <rPr>
        <b/>
        <sz val="12"/>
        <rFont val="Arial"/>
        <family val="0"/>
      </rPr>
      <t>(absorb the impacts)</t>
    </r>
  </si>
  <si>
    <t xml:space="preserve">Redefinition of some operating scenarios.
</t>
  </si>
  <si>
    <t>Load cases being run - expect results by mid-May</t>
  </si>
  <si>
    <t>Load cases being run - expect recults by mid-May</t>
  </si>
  <si>
    <t>Calculate doses, assess hazards and needed controls, peer review results. If necessary, re-grout open gaps.</t>
  </si>
  <si>
    <t>Impact of grouting gaps.</t>
  </si>
  <si>
    <t>Extreme care will be taken when transporting a field period.  Additional reviews including external reviewers will be performed. Develop appropriate procedures for transporting field periods.  Arrange for a peer review of the procedures prior to transport. Will replace rollup door in CS test cell.
Job 1815</t>
  </si>
  <si>
    <t>Station 2. Modular coil damage requiring coil re-fabrication.</t>
  </si>
  <si>
    <t>Extreme care will be taken when transporting and handling coils.  Develop and follow appropriate procedures.
Job 1810</t>
  </si>
  <si>
    <t>Retired. Successfully mitigated</t>
  </si>
  <si>
    <t>Identify main at-risk objects and estimate impact on field error inventory. Confirm or change requirement.
8101, 8204</t>
  </si>
  <si>
    <t>June, 2008</t>
  </si>
  <si>
    <t>Neilson
Brooks</t>
  </si>
  <si>
    <t>Station 6. Original base structure vendor(s) unable to deliver on schedule; not available when needed in machine assembly sequence. Have to implement workaround.</t>
  </si>
  <si>
    <t>Alternate vendors exist &amp; sufficient float exists to engage an alternate vendor. We procure components and assemble on site.
Job 1702</t>
  </si>
  <si>
    <t>Station 5. Difficulty of welders working inside VV in contorted positions may delay port welding or require additional measures to mitigate ergonomic &amp; confined space hazards</t>
  </si>
  <si>
    <t>JHA will be developed, a removable platform will be designed; and additional time for ergonomic allowances.
Job 1815</t>
  </si>
  <si>
    <t>Station 2.  Interferences discovered during assembly; components don’t go together as planned.  Assemblies have to be taken apart, components moved or re-worked, re-assembled.</t>
  </si>
  <si>
    <t>Station 3.  Interferences discovered during assembly; components don’t go together as planned.  Assemblies have to be taken apart, components moved or re-worked, re-assembled.</t>
  </si>
  <si>
    <t>L
Do we agree?</t>
  </si>
  <si>
    <t>Is this retired now?</t>
  </si>
  <si>
    <t>Bob Ellis has been budgeted along with a designer to provide support to Tom Brown in Design Integration during peak demands and pick up the slack for Brown if he became unavailable.</t>
  </si>
  <si>
    <t>T. Brown</t>
  </si>
  <si>
    <t>7503
1352
1361
8501</t>
  </si>
  <si>
    <t>Insulation on TF/PF coil fails during initial cooldown and testing requiring in situ repair</t>
  </si>
  <si>
    <t>Conductor for extra coil already procured.  Ample float in schedule to avoid critical path impact.  No additional action required
Job 1361</t>
  </si>
  <si>
    <t>Use three remaining winding stations to continue MC fabrication while fourth station is being repaired.
Job 1451</t>
  </si>
  <si>
    <t>Future risk, has not occurred yet - N/A.
Only 2 coils left. Redundant winding tooling mages this risk negligible.</t>
  </si>
  <si>
    <t>Continue to use same rigorous process used for first 14 coils during which there were no fabrication mishaps requiring re-winding a coil.
Job 1451</t>
  </si>
  <si>
    <t>Welds will be leak checked during FPA when leaks can be addressed without significantly impacting the critical path.
Job 1810</t>
  </si>
  <si>
    <t xml:space="preserve">C1 tested at full current at cryogenic temperature.  All modular coils will be tested at RT at elevated (50% higher) voltage for faults to ground. 
Job 1421
In addition, routine field tests will be performed on each assembly station to ensure that the electrical integrity is OK.
Job 1810 </t>
  </si>
  <si>
    <t>Station 6. Assembly sled for final assembly is not adequately stiff or does not provide repeatable motion</t>
  </si>
  <si>
    <t>Functionality of sled will be determined with first FP.  Ample time to make design modifications between arrival of the first and third FPs.
Job 7503</t>
  </si>
  <si>
    <t>Addressed in base estimate</t>
  </si>
  <si>
    <t xml:space="preserve">Loss of  staff with experience in specialized software delays operation of Central I&amp;C system.
</t>
  </si>
  <si>
    <t>Acquire equipment, develop experience, assess potential. New H/W in place &amp; personnel being trained.
1810 / 1815</t>
  </si>
  <si>
    <t>Stat2-12</t>
  </si>
  <si>
    <t>Cost impact estimated to be up to $300k (1/3 of fabrication costs) for potentially higher labor rates at PPPL.  No impact on critical path expected.</t>
  </si>
  <si>
    <t>P. Heitzenroeder - assign EA/EM engineer as backup to Bob Ellis.
B. Ellis - provide training to TBD EA/EM engineer.</t>
  </si>
  <si>
    <t>Coil structure designs may have to be modified after FDR to accommodate fault modes.</t>
  </si>
  <si>
    <t>Cost: 20% impact on design .
Schedule: none</t>
  </si>
  <si>
    <t>Shield walls found to be inadequate. Remediation impacts assembly operations</t>
  </si>
  <si>
    <t>SUPERCEDED BY OPS-2</t>
  </si>
  <si>
    <t xml:space="preserve">Issues reported by W-7X: Loss of bolt tension with time. 
</t>
  </si>
  <si>
    <t>Verify/monitor elongation w/ ultrasonic tester. May decide to instrument a limited number of bolts.
Hot cracking of welds should not be an issue for NCSX. On W7-X, they cryocool their welds which promotes hot cracking.</t>
  </si>
  <si>
    <t>Assumes 2/hrs per flange x ~36</t>
  </si>
  <si>
    <t>12xx,
1601
7304</t>
  </si>
  <si>
    <t>Nominally repaired with a 2-man crew within 2 weeks. Cost: 3-4 occurrence.  No schedule impact</t>
  </si>
  <si>
    <t>5 techs x 1 month</t>
  </si>
  <si>
    <t>Develop succession plan.
Job 8102</t>
  </si>
  <si>
    <t>1810
1815
7304</t>
  </si>
  <si>
    <t>Kevin Freudenberg (ORNL)
Loss of critical engineering analysis skills and familiarity with the analytical models an design intent for the stellarator core, particularly the modular coils.</t>
  </si>
  <si>
    <t>E-beam mapping may require opening vs. a retractable design.</t>
  </si>
  <si>
    <t>Consider retractible design as the baseline.</t>
  </si>
  <si>
    <t>Station 6. High temperature Rogowski Loop damaged during installation resulting in loss of toroidal current measurement capability</t>
  </si>
  <si>
    <t>A Pro E model/sterolithography  of the three period assemblies and mechanisum for positioning the FPA will be fabricated to evaluate the assembly of the coils. Also CAD modeling
Job 1901 / 8203</t>
  </si>
  <si>
    <t>By start of Station 3</t>
  </si>
  <si>
    <t>By start of Station 6</t>
  </si>
  <si>
    <t>Perry</t>
  </si>
  <si>
    <t>By start of Station 5</t>
  </si>
  <si>
    <t>Cole</t>
  </si>
  <si>
    <t>After first FP.</t>
  </si>
  <si>
    <t>None</t>
  </si>
  <si>
    <t>After last coil complete.</t>
  </si>
  <si>
    <t>Retired?</t>
  </si>
  <si>
    <t>At least 1 year before start of Station 6</t>
  </si>
  <si>
    <t>VL</t>
  </si>
  <si>
    <t>8204</t>
  </si>
  <si>
    <t>Art Brooks (PPPL)</t>
  </si>
  <si>
    <t>P. Heitzenroeder - assign EA/EM engineer as backup to Art Brooks.
A. Brooks - provide training to TBD EA/EM engineer.</t>
  </si>
  <si>
    <t>8205</t>
  </si>
  <si>
    <t>Bob Ellis (PPPL)</t>
  </si>
  <si>
    <t>1st of each kind will be tested at cryogenic temperature at elevated (50% higher than routine field tests) voltage for faults to ground.
  All coils will be tested at RT at elevated (50% higher than routine field tests) voltage for faults to ground .
Job 1361
Job 1352</t>
  </si>
  <si>
    <t>Insulation on TF/PF coil fails during initial cooldown and testing requiring dismantling stellarator core</t>
  </si>
  <si>
    <t>Expedite design and procurement.  
Could put FP#1 inplace if we had to. Could absorb 4 months delay
Jobs 1302/1352</t>
  </si>
  <si>
    <t>Include adjustment provisions in coil structure designs. This is being done
Job 1501</t>
  </si>
  <si>
    <t>Reexamine alignment criteria and potential impact.
Job 1810</t>
  </si>
  <si>
    <t>Station 5: Multiple vacuum leaks during initial pumpdown</t>
  </si>
  <si>
    <t>CAD modeling with as-built dimensions to find interferences off critical path. A Pro E model/sterolithography  of the three period assemblies and mechanisum for positioning the FPA will be fabricated to evaluate the assembly of the coils. 
Job 1901 / 8203</t>
  </si>
  <si>
    <t>Likelihood:
VL: P&gt;80%
L: 80%&gt;P&gt;40%
U: 40%&gt;P&gt;10%
VU: P&lt;10%
NC: P&lt;1%</t>
  </si>
  <si>
    <t>1601-161</t>
  </si>
  <si>
    <t>Add one more designer for short term.</t>
  </si>
  <si>
    <t>Station 6. Modular coils are shorted across toroidal break between field periods causing problematic field errors</t>
  </si>
  <si>
    <t>Viola (FPA)
Perry (MA)</t>
  </si>
  <si>
    <t>Pucks will be held in place by Nomex felt and is being demonstrated to show feasiblity.  Stud assembly sequence will be developed in model studies
Job 1901</t>
  </si>
  <si>
    <t>3 joints @ 1 month C.P. each</t>
  </si>
  <si>
    <t>Increase proportional to increase in number of circuits.</t>
  </si>
  <si>
    <t>1601-162</t>
  </si>
  <si>
    <t>MANAGEMENT &amp; ORGANIZATION RISKS</t>
  </si>
  <si>
    <t>Allowances made in current S/U plans</t>
  </si>
  <si>
    <t>Experience on NSTX S/U</t>
  </si>
  <si>
    <t>Loss of a key component or system delays testing - e.g., pump failure</t>
  </si>
  <si>
    <t>Loss of a key component or system delays testing - e.g., turn to turn failure</t>
  </si>
  <si>
    <t>Retirements / resignations replaced with younger lower-salaried staff</t>
  </si>
  <si>
    <t>Mike Viola (PPPL)
Erik Perry (PPPL)</t>
  </si>
  <si>
    <t>Viola and Perry will be cross-trained such that each could do the other's job.</t>
  </si>
  <si>
    <t>M. Viola &amp; E. Perry</t>
  </si>
  <si>
    <t>Welding time estimates consistent with time requirements for first R&amp;D article which appeared to have very low distortion.  Consider process improvements to minimize welding time w/o introducing additional distortion.  Risk goes away at conclusion of ongoing weld development effort.</t>
  </si>
  <si>
    <t>This risk is retired.</t>
  </si>
  <si>
    <t>Completion of FP#1, Station 5</t>
  </si>
  <si>
    <t>After first MCHP, implement mitigation plan if indicated by MCHP results.
Job 1810</t>
  </si>
  <si>
    <t xml:space="preserve">Careful cryostat design, including consultation with experts and R&amp;D.
Job 1701
</t>
  </si>
  <si>
    <t xml:space="preserve">Paul Goranson (ORNL)
Loss of critical design engineering skills and "corporate memory" of vacuum vessel and coil services design intent, delayed turnaround on problem resolution might impact assembly schedule. </t>
  </si>
  <si>
    <t>Estimated impact is &lt;0.5 months on the critical path.  No impact on WBS 5 cost because impacted personnel would be assigned to other activities.</t>
  </si>
  <si>
    <t>Likelihoods / impacts OK?</t>
  </si>
  <si>
    <t xml:space="preserve">Likelihoods / impacts needed. </t>
  </si>
  <si>
    <t>Machine Techs will be trained to search out / identify and correct ground faults.
Implement ground fault detection system before other systems are installed in test cell.
WBS 4401</t>
  </si>
  <si>
    <t xml:space="preserve">By completion of PDR in April 2009 </t>
  </si>
  <si>
    <t>Future Risk</t>
  </si>
  <si>
    <t>Perform vertical welding R&amp;D and careful monitoring during welding.  Develop suitable weld procedures and train welders to minimize likelihood of unacceptable distortion. Refine welding capabilites on Station 2.
Job 1810</t>
  </si>
  <si>
    <t>After first MCHP</t>
  </si>
  <si>
    <t>After first A-A weld</t>
  </si>
  <si>
    <t>After first MC-to-VV assembly</t>
  </si>
  <si>
    <t>Station 3. Assembly tooling allows too much deflection and has to be redesigned.</t>
  </si>
  <si>
    <t xml:space="preserve">An EA/EM engineer has been budgeted to provide support to Brooks in Systems Analysis and Technical Assurance during peak demands and pick up the slack for Brooks should he became unavailable. </t>
  </si>
  <si>
    <t>TECHNICAL RISKS - Startup</t>
  </si>
  <si>
    <t>TECHNICAL RISKS - Components &amp; Systems</t>
  </si>
  <si>
    <t>After 1st PF Coil</t>
  </si>
  <si>
    <r>
      <t>Affected Jobs</t>
    </r>
    <r>
      <rPr>
        <sz val="12"/>
        <color indexed="12"/>
        <rFont val="Arial"/>
        <family val="2"/>
      </rPr>
      <t xml:space="preserve"> </t>
    </r>
    <r>
      <rPr>
        <b/>
        <sz val="10"/>
        <color indexed="12"/>
        <rFont val="Arial"/>
        <family val="0"/>
      </rPr>
      <t>(absorb the impacts)</t>
    </r>
  </si>
  <si>
    <t>Station 5. TF coils become warped and have to be racked to restore proper geometry.</t>
  </si>
  <si>
    <t>Station 5. PF &amp; TF coil supports may have to change after FDRs to accommodate interfacing systems.</t>
  </si>
  <si>
    <t>Analysis being performed to firm up requirements.  Determine if additional trim coils need to be in MIE or if the configuration must accommodate a specific future set of coils.</t>
  </si>
  <si>
    <t>M. Zarnstorff &amp; M. Kalish</t>
  </si>
  <si>
    <t>U</t>
  </si>
  <si>
    <t>Marginal</t>
  </si>
  <si>
    <t>Low</t>
  </si>
  <si>
    <t>Costs could more than double the present estimate</t>
  </si>
  <si>
    <t>1361</t>
  </si>
  <si>
    <t>Harris</t>
  </si>
  <si>
    <t>Phil Heitzenroeder (PPPL)</t>
  </si>
  <si>
    <t>Coil Services PDRs</t>
  </si>
  <si>
    <t>Would impact CP.
PF coils have ample float</t>
  </si>
  <si>
    <t>Qualify sources for alumina shims; investigate use of G10 shims in some locations.  Make measurements after Station 3 to determine needed thicknesses.</t>
  </si>
  <si>
    <t>6 weeks on CP</t>
  </si>
  <si>
    <t>Station 6. PF coils out of round or not flat. Supports have to be modified.</t>
  </si>
  <si>
    <t>Schedule was made more aggressive with early start to assure ageement with design.</t>
  </si>
  <si>
    <t>Covered in estimate uncertainty with present mitigation plan</t>
  </si>
  <si>
    <t>Deadline to Retire Risk or Absorb Impact</t>
  </si>
  <si>
    <t>After measuring 2 coils.</t>
  </si>
  <si>
    <t>Additional thermal analysis may be required to establish limits on temperature differences for cooldown.</t>
  </si>
  <si>
    <t>Cryostat PDR</t>
  </si>
  <si>
    <t>Cryostat CDR</t>
  </si>
  <si>
    <t>Updated.</t>
  </si>
  <si>
    <t xml:space="preserve">Design of the MC interface is on the critical path. Potential impacts include [1] additional design and development (4 engineers for 1-2 months) plus $100K M&amp;S and [2] a change in the cost of field period and final assembly to a change in the design (+/- </t>
  </si>
  <si>
    <t>Completion of Coil #18</t>
  </si>
  <si>
    <t>Completion of Last Coil</t>
  </si>
  <si>
    <t>L</t>
  </si>
  <si>
    <t>Significant</t>
  </si>
  <si>
    <t>1451</t>
  </si>
  <si>
    <t>Coil structures FDR</t>
  </si>
  <si>
    <t>Cryostat FDR</t>
  </si>
  <si>
    <t>1815
7503</t>
  </si>
  <si>
    <t>After Station 2</t>
  </si>
  <si>
    <t>Heitzenroeder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</si>
</sst>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 numFmtId="177" formatCode="\+0.00_);\(0.00\)"/>
    <numFmt numFmtId="178" formatCode="\+0.0_);\(0.0\)"/>
    <numFmt numFmtId="179" formatCode="0.0"/>
    <numFmt numFmtId="180" formatCode="\+0.00_);\(0.0\)"/>
  </numFmts>
  <fonts count="49">
    <font>
      <sz val="10"/>
      <name val="Arial"/>
      <family val="0"/>
    </font>
    <font>
      <u val="single"/>
      <sz val="10"/>
      <color indexed="36"/>
      <name val="Arial"/>
      <family val="0"/>
    </font>
    <font>
      <u val="single"/>
      <sz val="10"/>
      <color indexed="12"/>
      <name val="Arial"/>
      <family val="0"/>
    </font>
    <font>
      <sz val="8"/>
      <name val="Arial"/>
      <family val="0"/>
    </font>
    <font>
      <b/>
      <sz val="12"/>
      <name val="Arial"/>
      <family val="0"/>
    </font>
    <font>
      <b/>
      <vertAlign val="superscript"/>
      <sz val="12"/>
      <name val="Arial"/>
      <family val="2"/>
    </font>
    <font>
      <sz val="12"/>
      <name val="Arial"/>
      <family val="0"/>
    </font>
    <font>
      <i/>
      <sz val="12"/>
      <name val="Arial"/>
      <family val="0"/>
    </font>
    <font>
      <strike/>
      <sz val="12"/>
      <name val="Arial"/>
      <family val="2"/>
    </font>
    <font>
      <sz val="12"/>
      <color indexed="12"/>
      <name val="Arial"/>
      <family val="2"/>
    </font>
    <font>
      <i/>
      <strike/>
      <sz val="12"/>
      <name val="Arial"/>
      <family val="2"/>
    </font>
    <font>
      <b/>
      <i/>
      <sz val="12"/>
      <name val="Arial"/>
      <family val="0"/>
    </font>
    <font>
      <b/>
      <sz val="12"/>
      <color indexed="12"/>
      <name val="Arial"/>
      <family val="0"/>
    </font>
    <font>
      <b/>
      <sz val="11"/>
      <color indexed="12"/>
      <name val="Arial"/>
      <family val="0"/>
    </font>
    <font>
      <sz val="11"/>
      <color indexed="12"/>
      <name val="Arial"/>
      <family val="0"/>
    </font>
    <font>
      <strike/>
      <sz val="12"/>
      <color indexed="12"/>
      <name val="Arial"/>
      <family val="0"/>
    </font>
    <font>
      <b/>
      <sz val="10"/>
      <color indexed="12"/>
      <name val="Arial"/>
      <family val="0"/>
    </font>
    <font>
      <b/>
      <sz val="11"/>
      <name val="Arial"/>
      <family val="2"/>
    </font>
    <font>
      <sz val="11"/>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name val="Tahoma"/>
      <family val="0"/>
    </font>
    <font>
      <sz val="9"/>
      <name val="Tahoma"/>
      <family val="0"/>
    </font>
    <font>
      <b/>
      <i/>
      <sz val="12"/>
      <color indexed="10"/>
      <name val="Arial"/>
      <family val="2"/>
    </font>
    <font>
      <b/>
      <strike/>
      <sz val="12"/>
      <name val="Arial"/>
      <family val="2"/>
    </font>
    <font>
      <b/>
      <i/>
      <strike/>
      <sz val="12"/>
      <color indexed="10"/>
      <name val="Arial"/>
      <family val="2"/>
    </font>
    <font>
      <strike/>
      <sz val="10"/>
      <name val="Arial"/>
      <family val="2"/>
    </font>
    <font>
      <i/>
      <sz val="10"/>
      <name val="Arial"/>
      <family val="0"/>
    </font>
    <font>
      <i/>
      <sz val="14"/>
      <name val="Arial"/>
      <family val="2"/>
    </font>
    <font>
      <b/>
      <sz val="16"/>
      <name val="Arial"/>
      <family val="0"/>
    </font>
    <font>
      <i/>
      <sz val="16"/>
      <name val="Arial"/>
      <family val="0"/>
    </font>
    <font>
      <sz val="14"/>
      <name val="Arial"/>
      <family val="0"/>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25" fillId="14" borderId="0" applyNumberFormat="0" applyBorder="0" applyAlignment="0" applyProtection="0"/>
    <xf numFmtId="0" fontId="29" fillId="2" borderId="1" applyNumberFormat="0" applyAlignment="0" applyProtection="0"/>
    <xf numFmtId="0" fontId="3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24"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7" fillId="3" borderId="1" applyNumberFormat="0" applyAlignment="0" applyProtection="0"/>
    <xf numFmtId="0" fontId="30" fillId="0" borderId="6" applyNumberFormat="0" applyFill="0" applyAlignment="0" applyProtection="0"/>
    <xf numFmtId="0" fontId="26" fillId="8" borderId="0" applyNumberFormat="0" applyBorder="0" applyAlignment="0" applyProtection="0"/>
    <xf numFmtId="0" fontId="0" fillId="4" borderId="7" applyNumberFormat="0" applyFont="0" applyAlignment="0" applyProtection="0"/>
    <xf numFmtId="0" fontId="28" fillId="2"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246">
    <xf numFmtId="0" fontId="0" fillId="0" borderId="0" xfId="0" applyAlignment="1">
      <alignment/>
    </xf>
    <xf numFmtId="0" fontId="4" fillId="0" borderId="10" xfId="0" applyFont="1" applyFill="1" applyBorder="1" applyAlignment="1">
      <alignment wrapText="1"/>
    </xf>
    <xf numFmtId="0" fontId="4" fillId="0" borderId="11" xfId="0" applyFont="1" applyFill="1" applyBorder="1" applyAlignment="1">
      <alignment horizontal="center"/>
    </xf>
    <xf numFmtId="0" fontId="4" fillId="0" borderId="11"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6" fillId="0" borderId="15" xfId="0" applyFont="1" applyFill="1" applyBorder="1" applyAlignment="1">
      <alignment horizontal="center" vertical="top"/>
    </xf>
    <xf numFmtId="0" fontId="6" fillId="0" borderId="15" xfId="0" applyFont="1" applyFill="1" applyBorder="1" applyAlignment="1">
      <alignment vertical="top" wrapText="1"/>
    </xf>
    <xf numFmtId="0" fontId="6" fillId="0" borderId="15" xfId="0"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171" fontId="6" fillId="0" borderId="15" xfId="0" applyNumberFormat="1" applyFont="1" applyFill="1" applyBorder="1" applyAlignment="1">
      <alignment vertical="top"/>
    </xf>
    <xf numFmtId="172" fontId="6" fillId="0" borderId="15" xfId="0" applyNumberFormat="1" applyFont="1" applyFill="1" applyBorder="1" applyAlignment="1">
      <alignment vertical="top"/>
    </xf>
    <xf numFmtId="0" fontId="6" fillId="0" borderId="15" xfId="0" applyFont="1" applyFill="1" applyBorder="1" applyAlignment="1" quotePrefix="1">
      <alignment horizontal="center" vertical="top"/>
    </xf>
    <xf numFmtId="49" fontId="6" fillId="0" borderId="15" xfId="0" applyNumberFormat="1" applyFont="1" applyFill="1" applyBorder="1" applyAlignment="1">
      <alignment horizontal="center" vertical="top" wrapText="1"/>
    </xf>
    <xf numFmtId="0" fontId="7" fillId="0" borderId="15" xfId="0" applyFont="1" applyFill="1" applyBorder="1" applyAlignment="1">
      <alignment vertical="top" wrapText="1"/>
    </xf>
    <xf numFmtId="0" fontId="6" fillId="0" borderId="16" xfId="0" applyFont="1" applyFill="1" applyBorder="1" applyAlignment="1">
      <alignment horizontal="center" vertical="top" wrapText="1"/>
    </xf>
    <xf numFmtId="0" fontId="6" fillId="0" borderId="15" xfId="0" applyFont="1" applyFill="1" applyBorder="1" applyAlignment="1">
      <alignment horizontal="left" vertical="top" wrapText="1"/>
    </xf>
    <xf numFmtId="0" fontId="8" fillId="0" borderId="15" xfId="0" applyFont="1" applyFill="1" applyBorder="1" applyAlignment="1">
      <alignment horizontal="center" vertical="top" wrapText="1"/>
    </xf>
    <xf numFmtId="0" fontId="8" fillId="0" borderId="15" xfId="0" applyFont="1" applyFill="1" applyBorder="1" applyAlignment="1">
      <alignment vertical="top" wrapText="1"/>
    </xf>
    <xf numFmtId="171" fontId="8" fillId="0" borderId="15" xfId="0" applyNumberFormat="1" applyFont="1" applyFill="1" applyBorder="1" applyAlignment="1">
      <alignment vertical="top"/>
    </xf>
    <xf numFmtId="172" fontId="8" fillId="0" borderId="15" xfId="0" applyNumberFormat="1" applyFont="1" applyFill="1" applyBorder="1" applyAlignment="1">
      <alignment vertical="top"/>
    </xf>
    <xf numFmtId="0" fontId="6" fillId="0" borderId="0" xfId="0" applyFont="1" applyFill="1" applyAlignment="1">
      <alignmen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horizontal="center" vertical="top"/>
    </xf>
    <xf numFmtId="0" fontId="8" fillId="0" borderId="15" xfId="0" applyFont="1" applyFill="1" applyBorder="1" applyAlignment="1" quotePrefix="1">
      <alignment horizontal="center" vertical="top"/>
    </xf>
    <xf numFmtId="0" fontId="8" fillId="0" borderId="15" xfId="0" applyFont="1" applyFill="1" applyBorder="1" applyAlignment="1" quotePrefix="1">
      <alignment horizontal="center" vertical="top" wrapText="1"/>
    </xf>
    <xf numFmtId="0" fontId="8" fillId="0" borderId="15" xfId="0" applyNumberFormat="1" applyFont="1" applyFill="1" applyBorder="1" applyAlignment="1">
      <alignment horizontal="center" vertical="top" wrapText="1"/>
    </xf>
    <xf numFmtId="0" fontId="4" fillId="0" borderId="17" xfId="0" applyFont="1" applyFill="1" applyBorder="1" applyAlignment="1">
      <alignment horizontal="center" wrapText="1"/>
    </xf>
    <xf numFmtId="0" fontId="4" fillId="0" borderId="0" xfId="0" applyFont="1" applyFill="1" applyBorder="1" applyAlignment="1">
      <alignment wrapText="1"/>
    </xf>
    <xf numFmtId="0" fontId="4" fillId="0" borderId="13" xfId="0" applyFont="1" applyFill="1" applyBorder="1" applyAlignment="1">
      <alignment/>
    </xf>
    <xf numFmtId="0" fontId="6" fillId="0" borderId="0" xfId="0" applyFont="1" applyFill="1" applyAlignment="1">
      <alignment vertical="top"/>
    </xf>
    <xf numFmtId="0" fontId="7" fillId="0" borderId="0" xfId="0" applyFont="1" applyFill="1" applyAlignment="1">
      <alignment vertical="top"/>
    </xf>
    <xf numFmtId="0" fontId="8" fillId="0" borderId="0" xfId="0" applyFont="1" applyFill="1" applyAlignment="1">
      <alignment vertical="top"/>
    </xf>
    <xf numFmtId="0" fontId="10" fillId="0" borderId="0" xfId="0" applyFont="1" applyFill="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Fill="1" applyAlignment="1">
      <alignment/>
    </xf>
    <xf numFmtId="0" fontId="4" fillId="0" borderId="15"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18" xfId="0" applyFont="1" applyFill="1" applyBorder="1" applyAlignment="1">
      <alignment/>
    </xf>
    <xf numFmtId="0" fontId="12" fillId="0" borderId="17" xfId="0" applyFont="1" applyFill="1" applyBorder="1" applyAlignment="1">
      <alignment horizontal="center" wrapText="1"/>
    </xf>
    <xf numFmtId="0" fontId="4" fillId="0" borderId="15" xfId="0" applyFont="1" applyFill="1" applyBorder="1" applyAlignment="1">
      <alignment horizontal="center" wrapText="1"/>
    </xf>
    <xf numFmtId="0" fontId="13" fillId="0" borderId="10" xfId="0" applyFont="1" applyFill="1" applyBorder="1" applyAlignment="1">
      <alignment horizontal="left" wrapText="1"/>
    </xf>
    <xf numFmtId="0" fontId="4" fillId="0" borderId="19" xfId="0" applyFont="1" applyFill="1" applyBorder="1" applyAlignment="1">
      <alignment wrapText="1"/>
    </xf>
    <xf numFmtId="0" fontId="15" fillId="0" borderId="15" xfId="0" applyFont="1" applyFill="1" applyBorder="1" applyAlignment="1">
      <alignment vertical="top" wrapText="1"/>
    </xf>
    <xf numFmtId="49" fontId="8" fillId="0" borderId="15" xfId="0" applyNumberFormat="1" applyFont="1" applyFill="1" applyBorder="1" applyAlignment="1">
      <alignment horizontal="center" vertical="top" wrapText="1"/>
    </xf>
    <xf numFmtId="0" fontId="6" fillId="0" borderId="15" xfId="0" applyFont="1" applyFill="1" applyBorder="1" applyAlignment="1">
      <alignment vertical="top"/>
    </xf>
    <xf numFmtId="0" fontId="10" fillId="0" borderId="15" xfId="0" applyFont="1" applyFill="1" applyBorder="1" applyAlignment="1">
      <alignment vertical="top"/>
    </xf>
    <xf numFmtId="0" fontId="7" fillId="0" borderId="0" xfId="0" applyFont="1" applyFill="1" applyBorder="1" applyAlignment="1">
      <alignment vertical="top"/>
    </xf>
    <xf numFmtId="0" fontId="8" fillId="0" borderId="15" xfId="0" applyFont="1" applyFill="1" applyBorder="1" applyAlignment="1">
      <alignment vertical="top"/>
    </xf>
    <xf numFmtId="0" fontId="6" fillId="0" borderId="11" xfId="0" applyFont="1" applyFill="1" applyBorder="1" applyAlignment="1">
      <alignment vertical="top"/>
    </xf>
    <xf numFmtId="0" fontId="4" fillId="0" borderId="0" xfId="0" applyFont="1" applyFill="1" applyBorder="1" applyAlignment="1">
      <alignment/>
    </xf>
    <xf numFmtId="0" fontId="4" fillId="0" borderId="17"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4" fillId="17" borderId="15" xfId="0" applyFont="1" applyFill="1" applyBorder="1" applyAlignment="1">
      <alignment horizontal="center" vertical="top" wrapText="1"/>
    </xf>
    <xf numFmtId="0" fontId="4" fillId="14" borderId="15" xfId="0" applyFont="1" applyFill="1" applyBorder="1" applyAlignment="1">
      <alignment horizontal="center" vertical="top"/>
    </xf>
    <xf numFmtId="0" fontId="4" fillId="13" borderId="15" xfId="0" applyFont="1" applyFill="1" applyBorder="1" applyAlignment="1">
      <alignment horizontal="center" vertical="top" wrapText="1"/>
    </xf>
    <xf numFmtId="0" fontId="4" fillId="18" borderId="15" xfId="0" applyFont="1" applyFill="1" applyBorder="1" applyAlignment="1">
      <alignment horizontal="center" vertical="top" wrapText="1"/>
    </xf>
    <xf numFmtId="0" fontId="4" fillId="8" borderId="15" xfId="0" applyFont="1" applyFill="1" applyBorder="1" applyAlignment="1">
      <alignment horizontal="center" vertical="top"/>
    </xf>
    <xf numFmtId="0" fontId="4" fillId="10" borderId="15" xfId="0" applyFont="1" applyFill="1" applyBorder="1" applyAlignment="1">
      <alignment horizontal="center" vertical="top"/>
    </xf>
    <xf numFmtId="0" fontId="4" fillId="19" borderId="15" xfId="0" applyFont="1" applyFill="1" applyBorder="1" applyAlignment="1">
      <alignment horizontal="center" vertical="top"/>
    </xf>
    <xf numFmtId="0" fontId="4" fillId="8" borderId="15" xfId="0" applyFont="1" applyFill="1" applyBorder="1" applyAlignment="1">
      <alignment horizontal="center" vertical="top" wrapText="1"/>
    </xf>
    <xf numFmtId="0" fontId="4" fillId="0" borderId="0" xfId="0" applyFont="1" applyFill="1" applyAlignment="1">
      <alignment horizontal="center"/>
    </xf>
    <xf numFmtId="0" fontId="4" fillId="19" borderId="15" xfId="0" applyFont="1" applyFill="1" applyBorder="1" applyAlignment="1">
      <alignment horizontal="center" vertical="top" wrapText="1"/>
    </xf>
    <xf numFmtId="0" fontId="4" fillId="20" borderId="15" xfId="0" applyFont="1" applyFill="1" applyBorder="1" applyAlignment="1">
      <alignment horizontal="center" vertical="top"/>
    </xf>
    <xf numFmtId="0" fontId="4" fillId="14" borderId="16" xfId="0" applyFont="1" applyFill="1" applyBorder="1" applyAlignment="1">
      <alignment horizontal="center" vertical="top"/>
    </xf>
    <xf numFmtId="0" fontId="6" fillId="21" borderId="15" xfId="0" applyFont="1" applyFill="1" applyBorder="1" applyAlignment="1">
      <alignment horizontal="left" vertical="top" wrapText="1"/>
    </xf>
    <xf numFmtId="0" fontId="6" fillId="21" borderId="15" xfId="0" applyFont="1" applyFill="1" applyBorder="1" applyAlignment="1">
      <alignment vertical="top" wrapText="1"/>
    </xf>
    <xf numFmtId="0" fontId="6" fillId="21" borderId="16" xfId="0" applyFont="1" applyFill="1" applyBorder="1" applyAlignment="1">
      <alignment vertical="top" wrapText="1"/>
    </xf>
    <xf numFmtId="0" fontId="4" fillId="8" borderId="20" xfId="0" applyFont="1" applyFill="1" applyBorder="1" applyAlignment="1">
      <alignment horizontal="center" vertical="top" wrapText="1"/>
    </xf>
    <xf numFmtId="0" fontId="6" fillId="0" borderId="0" xfId="0" applyFont="1" applyFill="1" applyBorder="1" applyAlignment="1">
      <alignment horizontal="center"/>
    </xf>
    <xf numFmtId="0" fontId="6" fillId="0" borderId="0" xfId="0" applyFont="1" applyFill="1" applyBorder="1" applyAlignment="1">
      <alignment/>
    </xf>
    <xf numFmtId="0" fontId="4" fillId="0" borderId="0" xfId="0" applyFont="1" applyFill="1" applyBorder="1" applyAlignment="1">
      <alignment horizontal="center"/>
    </xf>
    <xf numFmtId="0" fontId="7" fillId="0" borderId="0" xfId="0" applyFont="1" applyFill="1" applyBorder="1" applyAlignment="1">
      <alignment vertical="top" wrapText="1"/>
    </xf>
    <xf numFmtId="0" fontId="7" fillId="0" borderId="0" xfId="0" applyFont="1" applyFill="1" applyAlignment="1">
      <alignment vertical="top" wrapText="1"/>
    </xf>
    <xf numFmtId="0" fontId="4" fillId="0" borderId="0" xfId="0" applyFont="1" applyFill="1" applyBorder="1" applyAlignment="1">
      <alignment horizontal="left" vertical="top" wrapText="1"/>
    </xf>
    <xf numFmtId="172" fontId="4" fillId="0" borderId="0" xfId="0" applyNumberFormat="1" applyFont="1" applyFill="1" applyBorder="1" applyAlignment="1">
      <alignment vertical="top" wrapText="1"/>
    </xf>
    <xf numFmtId="5" fontId="4" fillId="0" borderId="11" xfId="0" applyNumberFormat="1" applyFont="1" applyFill="1" applyBorder="1" applyAlignment="1">
      <alignment horizontal="center" wrapText="1"/>
    </xf>
    <xf numFmtId="5" fontId="6" fillId="0" borderId="16" xfId="0" applyNumberFormat="1" applyFont="1" applyFill="1" applyBorder="1" applyAlignment="1">
      <alignment vertical="top"/>
    </xf>
    <xf numFmtId="5" fontId="6" fillId="0" borderId="15" xfId="0" applyNumberFormat="1" applyFont="1" applyFill="1" applyBorder="1" applyAlignment="1">
      <alignment vertical="top"/>
    </xf>
    <xf numFmtId="5" fontId="6" fillId="0" borderId="15" xfId="0" applyNumberFormat="1" applyFont="1" applyFill="1" applyBorder="1" applyAlignment="1" quotePrefix="1">
      <alignment horizontal="right" vertical="top" wrapText="1"/>
    </xf>
    <xf numFmtId="5" fontId="6" fillId="0" borderId="0" xfId="0" applyNumberFormat="1" applyFont="1" applyFill="1" applyBorder="1" applyAlignment="1">
      <alignment/>
    </xf>
    <xf numFmtId="5" fontId="6" fillId="0" borderId="0" xfId="0" applyNumberFormat="1" applyFont="1" applyFill="1" applyAlignment="1">
      <alignment/>
    </xf>
    <xf numFmtId="178" fontId="6" fillId="0" borderId="16" xfId="0" applyNumberFormat="1" applyFont="1" applyFill="1" applyBorder="1" applyAlignment="1">
      <alignment vertical="top"/>
    </xf>
    <xf numFmtId="178" fontId="6" fillId="0" borderId="15" xfId="0" applyNumberFormat="1" applyFont="1" applyFill="1" applyBorder="1" applyAlignment="1">
      <alignment vertical="top"/>
    </xf>
    <xf numFmtId="0" fontId="6" fillId="21" borderId="16" xfId="0" applyFont="1" applyFill="1" applyBorder="1" applyAlignment="1">
      <alignment horizontal="center" vertical="top" wrapText="1"/>
    </xf>
    <xf numFmtId="5" fontId="6" fillId="0" borderId="15" xfId="0" applyNumberFormat="1" applyFont="1" applyFill="1" applyBorder="1" applyAlignment="1">
      <alignment horizontal="left" vertical="top" wrapText="1"/>
    </xf>
    <xf numFmtId="178" fontId="6" fillId="0" borderId="15" xfId="0" applyNumberFormat="1" applyFont="1" applyFill="1" applyBorder="1" applyAlignment="1">
      <alignment horizontal="left" vertical="top" wrapText="1"/>
    </xf>
    <xf numFmtId="5" fontId="6" fillId="0" borderId="15" xfId="0" applyNumberFormat="1" applyFont="1" applyFill="1" applyBorder="1" applyAlignment="1">
      <alignment vertical="top" wrapText="1"/>
    </xf>
    <xf numFmtId="5" fontId="6" fillId="6" borderId="15" xfId="0" applyNumberFormat="1" applyFont="1" applyFill="1" applyBorder="1" applyAlignment="1">
      <alignment vertical="top" wrapText="1"/>
    </xf>
    <xf numFmtId="0" fontId="4" fillId="0" borderId="15" xfId="0" applyFont="1" applyFill="1" applyBorder="1" applyAlignment="1">
      <alignment vertical="top" wrapText="1"/>
    </xf>
    <xf numFmtId="0" fontId="4" fillId="0" borderId="15" xfId="0" applyFont="1" applyFill="1" applyBorder="1" applyAlignment="1">
      <alignment horizontal="center" vertical="top" wrapText="1"/>
    </xf>
    <xf numFmtId="0" fontId="6" fillId="0" borderId="15" xfId="0" applyFont="1" applyFill="1" applyBorder="1" applyAlignment="1">
      <alignment horizontal="left" vertical="top" wrapText="1"/>
    </xf>
    <xf numFmtId="0" fontId="4" fillId="3" borderId="15" xfId="0" applyFont="1" applyFill="1" applyBorder="1" applyAlignment="1">
      <alignment horizontal="center" vertical="top"/>
    </xf>
    <xf numFmtId="0" fontId="39" fillId="0" borderId="15" xfId="0" applyFont="1" applyFill="1" applyBorder="1" applyAlignment="1">
      <alignment vertical="top" wrapText="1"/>
    </xf>
    <xf numFmtId="0" fontId="4" fillId="0" borderId="0" xfId="0" applyFont="1" applyFill="1" applyAlignment="1">
      <alignment horizontal="left"/>
    </xf>
    <xf numFmtId="0" fontId="8" fillId="0" borderId="16" xfId="0" applyFont="1" applyFill="1" applyBorder="1" applyAlignment="1" quotePrefix="1">
      <alignment horizontal="center" vertical="top"/>
    </xf>
    <xf numFmtId="0" fontId="8" fillId="0" borderId="16" xfId="0" applyFont="1" applyFill="1" applyBorder="1" applyAlignment="1">
      <alignment vertical="top" wrapText="1"/>
    </xf>
    <xf numFmtId="49" fontId="8" fillId="0" borderId="16" xfId="0" applyNumberFormat="1" applyFont="1" applyFill="1" applyBorder="1" applyAlignment="1">
      <alignment horizontal="center" vertical="top" wrapText="1"/>
    </xf>
    <xf numFmtId="0" fontId="8" fillId="0" borderId="16" xfId="0" applyNumberFormat="1" applyFont="1" applyFill="1" applyBorder="1" applyAlignment="1">
      <alignment horizontal="center" vertical="top" wrapText="1"/>
    </xf>
    <xf numFmtId="171" fontId="8" fillId="0" borderId="16" xfId="0" applyNumberFormat="1" applyFont="1" applyFill="1" applyBorder="1" applyAlignment="1">
      <alignment vertical="top"/>
    </xf>
    <xf numFmtId="172" fontId="8" fillId="0" borderId="16" xfId="0" applyNumberFormat="1" applyFont="1" applyFill="1" applyBorder="1" applyAlignment="1">
      <alignment vertical="top"/>
    </xf>
    <xf numFmtId="0" fontId="40" fillId="0" borderId="15" xfId="0" applyFont="1" applyFill="1" applyBorder="1" applyAlignment="1">
      <alignment horizontal="left" vertical="top" wrapText="1"/>
    </xf>
    <xf numFmtId="0" fontId="40" fillId="0" borderId="15" xfId="0" applyFont="1" applyFill="1" applyBorder="1" applyAlignment="1">
      <alignment horizontal="center" vertical="top" wrapText="1"/>
    </xf>
    <xf numFmtId="5" fontId="8" fillId="0" borderId="15" xfId="0" applyNumberFormat="1" applyFont="1" applyFill="1" applyBorder="1" applyAlignment="1">
      <alignment vertical="top" wrapText="1"/>
    </xf>
    <xf numFmtId="178" fontId="8" fillId="0" borderId="15" xfId="0" applyNumberFormat="1" applyFont="1" applyFill="1" applyBorder="1" applyAlignment="1">
      <alignment vertical="top"/>
    </xf>
    <xf numFmtId="0" fontId="8" fillId="0" borderId="20" xfId="0" applyFont="1" applyFill="1" applyBorder="1" applyAlignment="1" quotePrefix="1">
      <alignment horizontal="center" vertical="top"/>
    </xf>
    <xf numFmtId="0" fontId="40" fillId="0" borderId="20" xfId="0" applyFont="1" applyFill="1" applyBorder="1" applyAlignment="1">
      <alignment vertical="top" wrapText="1"/>
    </xf>
    <xf numFmtId="0" fontId="8" fillId="0" borderId="20" xfId="0" applyFont="1" applyFill="1" applyBorder="1" applyAlignment="1">
      <alignment vertical="top" wrapText="1"/>
    </xf>
    <xf numFmtId="0" fontId="40" fillId="0" borderId="20" xfId="0" applyFont="1" applyFill="1" applyBorder="1" applyAlignment="1">
      <alignment horizontal="center" vertical="top" wrapText="1"/>
    </xf>
    <xf numFmtId="0" fontId="8" fillId="0" borderId="20" xfId="0" applyFont="1" applyFill="1" applyBorder="1" applyAlignment="1">
      <alignment horizontal="center" vertical="top" wrapText="1"/>
    </xf>
    <xf numFmtId="5" fontId="8" fillId="0" borderId="20" xfId="0" applyNumberFormat="1" applyFont="1" applyFill="1" applyBorder="1" applyAlignment="1">
      <alignment vertical="top"/>
    </xf>
    <xf numFmtId="178" fontId="8" fillId="0" borderId="20" xfId="0" applyNumberFormat="1" applyFont="1" applyFill="1" applyBorder="1" applyAlignment="1">
      <alignment vertical="top"/>
    </xf>
    <xf numFmtId="0" fontId="39" fillId="0" borderId="20" xfId="0" applyFont="1" applyFill="1" applyBorder="1" applyAlignment="1">
      <alignment vertical="top" wrapText="1"/>
    </xf>
    <xf numFmtId="0" fontId="8" fillId="0" borderId="16" xfId="0" applyFont="1" applyFill="1" applyBorder="1" applyAlignment="1">
      <alignment horizontal="center" vertical="top" wrapText="1"/>
    </xf>
    <xf numFmtId="0" fontId="8" fillId="21" borderId="16" xfId="0" applyFont="1" applyFill="1" applyBorder="1" applyAlignment="1">
      <alignment vertical="top" wrapText="1"/>
    </xf>
    <xf numFmtId="0" fontId="39" fillId="0" borderId="15" xfId="0" applyFont="1" applyFill="1" applyBorder="1" applyAlignment="1">
      <alignment horizontal="left" vertical="top" wrapText="1"/>
    </xf>
    <xf numFmtId="0" fontId="39" fillId="0" borderId="16" xfId="0" applyFont="1" applyFill="1" applyBorder="1" applyAlignment="1">
      <alignment vertical="top" wrapText="1"/>
    </xf>
    <xf numFmtId="180" fontId="6" fillId="0" borderId="15" xfId="0" applyNumberFormat="1" applyFont="1" applyFill="1" applyBorder="1" applyAlignment="1">
      <alignment vertical="top"/>
    </xf>
    <xf numFmtId="180" fontId="6" fillId="0" borderId="15" xfId="0" applyNumberFormat="1" applyFont="1" applyFill="1" applyBorder="1" applyAlignment="1" quotePrefix="1">
      <alignment horizontal="right" vertical="top" wrapText="1"/>
    </xf>
    <xf numFmtId="180" fontId="6" fillId="6" borderId="15" xfId="0" applyNumberFormat="1" applyFont="1" applyFill="1" applyBorder="1" applyAlignment="1">
      <alignment vertical="top"/>
    </xf>
    <xf numFmtId="180" fontId="6" fillId="6" borderId="15" xfId="0" applyNumberFormat="1" applyFont="1" applyFill="1" applyBorder="1" applyAlignment="1">
      <alignment vertical="top" wrapText="1"/>
    </xf>
    <xf numFmtId="180" fontId="6" fillId="0" borderId="15" xfId="0" applyNumberFormat="1" applyFont="1" applyFill="1" applyBorder="1" applyAlignment="1">
      <alignment vertical="top" wrapText="1"/>
    </xf>
    <xf numFmtId="180" fontId="6" fillId="0" borderId="0" xfId="0" applyNumberFormat="1" applyFont="1" applyFill="1" applyBorder="1" applyAlignment="1">
      <alignment/>
    </xf>
    <xf numFmtId="180" fontId="6" fillId="0" borderId="0" xfId="0" applyNumberFormat="1" applyFont="1" applyFill="1" applyAlignment="1">
      <alignment/>
    </xf>
    <xf numFmtId="5" fontId="8" fillId="0" borderId="15" xfId="0" applyNumberFormat="1" applyFont="1" applyFill="1" applyBorder="1" applyAlignment="1">
      <alignment vertical="top"/>
    </xf>
    <xf numFmtId="0" fontId="42" fillId="0" borderId="15" xfId="0" applyFont="1" applyFill="1" applyBorder="1" applyAlignment="1">
      <alignment/>
    </xf>
    <xf numFmtId="180" fontId="42" fillId="0" borderId="15" xfId="0" applyNumberFormat="1" applyFont="1" applyFill="1" applyBorder="1" applyAlignment="1">
      <alignment/>
    </xf>
    <xf numFmtId="180" fontId="8" fillId="0" borderId="20" xfId="0" applyNumberFormat="1" applyFont="1" applyFill="1" applyBorder="1" applyAlignment="1">
      <alignment vertical="top"/>
    </xf>
    <xf numFmtId="0" fontId="8" fillId="0" borderId="18" xfId="0" applyFont="1" applyFill="1" applyBorder="1" applyAlignment="1">
      <alignment vertical="top" wrapText="1"/>
    </xf>
    <xf numFmtId="180" fontId="8" fillId="0" borderId="15" xfId="0" applyNumberFormat="1" applyFont="1" applyFill="1" applyBorder="1" applyAlignment="1">
      <alignment vertical="top"/>
    </xf>
    <xf numFmtId="180" fontId="8" fillId="0" borderId="15" xfId="0" applyNumberFormat="1" applyFont="1" applyFill="1" applyBorder="1" applyAlignment="1">
      <alignment vertical="top" wrapText="1"/>
    </xf>
    <xf numFmtId="0" fontId="39" fillId="0" borderId="12" xfId="0" applyFont="1" applyFill="1" applyBorder="1" applyAlignment="1">
      <alignment horizontal="left" vertical="top" wrapText="1"/>
    </xf>
    <xf numFmtId="0" fontId="7" fillId="0" borderId="0" xfId="0" applyFont="1" applyFill="1" applyBorder="1" applyAlignment="1">
      <alignment wrapText="1"/>
    </xf>
    <xf numFmtId="0" fontId="7" fillId="0" borderId="0" xfId="0" applyFont="1" applyFill="1" applyAlignment="1">
      <alignment wrapText="1"/>
    </xf>
    <xf numFmtId="5" fontId="6" fillId="0" borderId="15" xfId="0" applyNumberFormat="1" applyFont="1" applyFill="1" applyBorder="1" applyAlignment="1">
      <alignment horizontal="right" vertical="top"/>
    </xf>
    <xf numFmtId="5" fontId="6" fillId="8" borderId="15" xfId="0" applyNumberFormat="1" applyFont="1" applyFill="1" applyBorder="1" applyAlignment="1">
      <alignment vertical="top"/>
    </xf>
    <xf numFmtId="178" fontId="6" fillId="8" borderId="15" xfId="0" applyNumberFormat="1" applyFont="1" applyFill="1" applyBorder="1" applyAlignment="1">
      <alignment vertical="top"/>
    </xf>
    <xf numFmtId="0" fontId="9" fillId="0" borderId="15" xfId="0" applyFont="1" applyFill="1" applyBorder="1" applyAlignment="1">
      <alignment vertical="top" wrapText="1"/>
    </xf>
    <xf numFmtId="180" fontId="6" fillId="0" borderId="15" xfId="0" applyNumberFormat="1" applyFont="1" applyFill="1" applyBorder="1" applyAlignment="1">
      <alignment horizontal="center" vertical="top"/>
    </xf>
    <xf numFmtId="0" fontId="6" fillId="0" borderId="21" xfId="0" applyFont="1" applyFill="1" applyBorder="1" applyAlignment="1">
      <alignment vertical="top" wrapText="1"/>
    </xf>
    <xf numFmtId="0" fontId="6" fillId="0" borderId="21" xfId="0" applyFont="1" applyFill="1" applyBorder="1" applyAlignment="1">
      <alignment horizontal="center" vertical="top" wrapText="1"/>
    </xf>
    <xf numFmtId="0" fontId="19" fillId="8" borderId="15" xfId="0" applyFont="1" applyFill="1" applyBorder="1" applyAlignment="1">
      <alignment/>
    </xf>
    <xf numFmtId="0" fontId="19" fillId="13" borderId="15" xfId="0" applyFont="1" applyFill="1" applyBorder="1" applyAlignment="1">
      <alignment horizontal="center" wrapText="1"/>
    </xf>
    <xf numFmtId="0" fontId="19" fillId="8" borderId="15" xfId="0" applyFont="1" applyFill="1" applyBorder="1" applyAlignment="1">
      <alignment horizontal="center" wrapText="1"/>
    </xf>
    <xf numFmtId="0" fontId="19" fillId="14" borderId="15" xfId="0" applyFont="1" applyFill="1" applyBorder="1" applyAlignment="1">
      <alignment horizontal="center" wrapText="1"/>
    </xf>
    <xf numFmtId="0" fontId="19" fillId="18" borderId="15" xfId="0" applyFont="1" applyFill="1" applyBorder="1" applyAlignment="1">
      <alignment horizontal="center" wrapText="1"/>
    </xf>
    <xf numFmtId="5" fontId="6" fillId="6" borderId="15" xfId="0" applyNumberFormat="1" applyFont="1" applyFill="1" applyBorder="1" applyAlignment="1">
      <alignment vertical="top"/>
    </xf>
    <xf numFmtId="0" fontId="19" fillId="10" borderId="15" xfId="0" applyFont="1" applyFill="1" applyBorder="1" applyAlignment="1">
      <alignment horizontal="left"/>
    </xf>
    <xf numFmtId="0" fontId="19" fillId="3" borderId="15" xfId="0" applyFont="1" applyFill="1" applyBorder="1" applyAlignment="1">
      <alignment horizontal="left"/>
    </xf>
    <xf numFmtId="0" fontId="19" fillId="10" borderId="15" xfId="0" applyFont="1" applyFill="1" applyBorder="1" applyAlignment="1">
      <alignment horizontal="left" wrapText="1"/>
    </xf>
    <xf numFmtId="0" fontId="19" fillId="3" borderId="15" xfId="0" applyFont="1" applyFill="1" applyBorder="1" applyAlignment="1">
      <alignment horizontal="left" wrapText="1"/>
    </xf>
    <xf numFmtId="0" fontId="19" fillId="10" borderId="15" xfId="0" applyFont="1" applyFill="1" applyBorder="1" applyAlignment="1">
      <alignment horizontal="center" wrapText="1"/>
    </xf>
    <xf numFmtId="0" fontId="19" fillId="3" borderId="15" xfId="0" applyFont="1" applyFill="1" applyBorder="1" applyAlignment="1">
      <alignment horizontal="center" wrapText="1"/>
    </xf>
    <xf numFmtId="0" fontId="19" fillId="3" borderId="15" xfId="0" applyFont="1" applyFill="1" applyBorder="1" applyAlignment="1">
      <alignment wrapText="1"/>
    </xf>
    <xf numFmtId="5" fontId="19" fillId="3" borderId="15" xfId="0" applyNumberFormat="1" applyFont="1" applyFill="1" applyBorder="1" applyAlignment="1">
      <alignment horizontal="center" wrapText="1"/>
    </xf>
    <xf numFmtId="180" fontId="19" fillId="10" borderId="15" xfId="0" applyNumberFormat="1" applyFont="1" applyFill="1" applyBorder="1" applyAlignment="1">
      <alignment horizontal="center" wrapText="1"/>
    </xf>
    <xf numFmtId="180" fontId="19" fillId="3" borderId="15" xfId="0" applyNumberFormat="1" applyFont="1" applyFill="1" applyBorder="1" applyAlignment="1">
      <alignment horizontal="center" wrapText="1"/>
    </xf>
    <xf numFmtId="0" fontId="4" fillId="0" borderId="15" xfId="0" applyFont="1" applyFill="1" applyBorder="1" applyAlignment="1">
      <alignment/>
    </xf>
    <xf numFmtId="0" fontId="4" fillId="0" borderId="15" xfId="0" applyFont="1" applyFill="1" applyBorder="1" applyAlignment="1">
      <alignment wrapText="1"/>
    </xf>
    <xf numFmtId="5" fontId="4" fillId="0" borderId="15" xfId="0" applyNumberFormat="1" applyFont="1" applyFill="1" applyBorder="1" applyAlignment="1">
      <alignment horizontal="center" wrapText="1"/>
    </xf>
    <xf numFmtId="180" fontId="4" fillId="0" borderId="15" xfId="0" applyNumberFormat="1" applyFont="1" applyFill="1" applyBorder="1" applyAlignment="1">
      <alignment horizontal="center" wrapText="1"/>
    </xf>
    <xf numFmtId="0" fontId="17" fillId="0" borderId="12" xfId="0" applyFont="1" applyFill="1" applyBorder="1" applyAlignment="1">
      <alignment horizontal="center" wrapText="1"/>
    </xf>
    <xf numFmtId="180" fontId="4" fillId="0" borderId="22" xfId="0" applyNumberFormat="1" applyFont="1" applyFill="1" applyBorder="1" applyAlignment="1">
      <alignment horizontal="center" wrapText="1"/>
    </xf>
    <xf numFmtId="0" fontId="11" fillId="0" borderId="15" xfId="0" applyFont="1" applyFill="1" applyBorder="1" applyAlignment="1">
      <alignment horizontal="center" wrapText="1"/>
    </xf>
    <xf numFmtId="0" fontId="4" fillId="0" borderId="15" xfId="0" applyFont="1" applyFill="1" applyBorder="1" applyAlignment="1">
      <alignment/>
    </xf>
    <xf numFmtId="0" fontId="19" fillId="0" borderId="15" xfId="0" applyFont="1" applyFill="1" applyBorder="1" applyAlignment="1">
      <alignment wrapText="1"/>
    </xf>
    <xf numFmtId="0" fontId="7" fillId="0" borderId="15" xfId="0" applyFont="1" applyFill="1" applyBorder="1" applyAlignment="1">
      <alignment vertical="top"/>
    </xf>
    <xf numFmtId="0" fontId="19" fillId="17" borderId="15" xfId="0" applyFont="1" applyFill="1" applyBorder="1" applyAlignment="1">
      <alignment horizontal="left"/>
    </xf>
    <xf numFmtId="0" fontId="19" fillId="17" borderId="15" xfId="0" applyFont="1" applyFill="1" applyBorder="1" applyAlignment="1">
      <alignment/>
    </xf>
    <xf numFmtId="0" fontId="19" fillId="17" borderId="15" xfId="0" applyFont="1" applyFill="1" applyBorder="1" applyAlignment="1">
      <alignment horizontal="center" wrapText="1"/>
    </xf>
    <xf numFmtId="0" fontId="19" fillId="17" borderId="15" xfId="0" applyFont="1" applyFill="1" applyBorder="1" applyAlignment="1">
      <alignment wrapText="1"/>
    </xf>
    <xf numFmtId="5" fontId="19" fillId="17" borderId="15" xfId="0" applyNumberFormat="1" applyFont="1" applyFill="1" applyBorder="1" applyAlignment="1">
      <alignment horizontal="center" wrapText="1"/>
    </xf>
    <xf numFmtId="180" fontId="19" fillId="17" borderId="15" xfId="0" applyNumberFormat="1" applyFont="1" applyFill="1" applyBorder="1" applyAlignment="1">
      <alignment horizontal="center" wrapText="1"/>
    </xf>
    <xf numFmtId="0" fontId="44" fillId="0" borderId="15" xfId="0" applyFont="1" applyFill="1" applyBorder="1" applyAlignment="1">
      <alignment wrapText="1"/>
    </xf>
    <xf numFmtId="0" fontId="19" fillId="0" borderId="15" xfId="0" applyFont="1" applyFill="1" applyBorder="1" applyAlignment="1">
      <alignment/>
    </xf>
    <xf numFmtId="0" fontId="19" fillId="14" borderId="15" xfId="0" applyFont="1" applyFill="1" applyBorder="1" applyAlignment="1">
      <alignment horizontal="left"/>
    </xf>
    <xf numFmtId="0" fontId="19" fillId="14" borderId="15" xfId="0" applyFont="1" applyFill="1" applyBorder="1" applyAlignment="1">
      <alignment horizontal="left" wrapText="1"/>
    </xf>
    <xf numFmtId="0" fontId="19" fillId="14" borderId="15" xfId="0" applyFont="1" applyFill="1" applyBorder="1" applyAlignment="1">
      <alignment wrapText="1"/>
    </xf>
    <xf numFmtId="5" fontId="19" fillId="14" borderId="15" xfId="0" applyNumberFormat="1" applyFont="1" applyFill="1" applyBorder="1" applyAlignment="1">
      <alignment horizontal="center" wrapText="1"/>
    </xf>
    <xf numFmtId="180" fontId="19" fillId="14" borderId="15" xfId="0" applyNumberFormat="1" applyFont="1" applyFill="1" applyBorder="1" applyAlignment="1">
      <alignment horizontal="center" wrapText="1"/>
    </xf>
    <xf numFmtId="0" fontId="19" fillId="13" borderId="15" xfId="0" applyFont="1" applyFill="1" applyBorder="1" applyAlignment="1">
      <alignment horizontal="left"/>
    </xf>
    <xf numFmtId="0" fontId="19" fillId="13" borderId="15" xfId="0" applyFont="1" applyFill="1" applyBorder="1" applyAlignment="1">
      <alignment horizontal="left" wrapText="1"/>
    </xf>
    <xf numFmtId="0" fontId="19" fillId="13" borderId="15" xfId="0" applyFont="1" applyFill="1" applyBorder="1" applyAlignment="1">
      <alignment wrapText="1"/>
    </xf>
    <xf numFmtId="5" fontId="19" fillId="13" borderId="15" xfId="0" applyNumberFormat="1" applyFont="1" applyFill="1" applyBorder="1" applyAlignment="1">
      <alignment horizontal="center" wrapText="1"/>
    </xf>
    <xf numFmtId="180" fontId="19" fillId="13" borderId="15" xfId="0" applyNumberFormat="1" applyFont="1" applyFill="1" applyBorder="1" applyAlignment="1">
      <alignment horizontal="center" wrapText="1"/>
    </xf>
    <xf numFmtId="0" fontId="19" fillId="18" borderId="15" xfId="0" applyFont="1" applyFill="1" applyBorder="1" applyAlignment="1">
      <alignment horizontal="left"/>
    </xf>
    <xf numFmtId="0" fontId="19" fillId="18" borderId="15" xfId="0" applyFont="1" applyFill="1" applyBorder="1" applyAlignment="1">
      <alignment/>
    </xf>
    <xf numFmtId="0" fontId="19" fillId="18" borderId="15" xfId="0" applyFont="1" applyFill="1" applyBorder="1" applyAlignment="1">
      <alignment wrapText="1"/>
    </xf>
    <xf numFmtId="5" fontId="19" fillId="18" borderId="15" xfId="0" applyNumberFormat="1" applyFont="1" applyFill="1" applyBorder="1" applyAlignment="1">
      <alignment horizontal="center" wrapText="1"/>
    </xf>
    <xf numFmtId="180" fontId="19" fillId="18" borderId="15" xfId="0" applyNumberFormat="1" applyFont="1" applyFill="1" applyBorder="1" applyAlignment="1">
      <alignment horizontal="center" wrapText="1"/>
    </xf>
    <xf numFmtId="0" fontId="19" fillId="8" borderId="15" xfId="0" applyFont="1" applyFill="1" applyBorder="1" applyAlignment="1">
      <alignment horizontal="left"/>
    </xf>
    <xf numFmtId="0" fontId="19" fillId="8" borderId="15" xfId="0" applyFont="1" applyFill="1" applyBorder="1" applyAlignment="1">
      <alignment wrapText="1"/>
    </xf>
    <xf numFmtId="5" fontId="19" fillId="8" borderId="15" xfId="0" applyNumberFormat="1" applyFont="1" applyFill="1" applyBorder="1" applyAlignment="1">
      <alignment horizontal="center" wrapText="1"/>
    </xf>
    <xf numFmtId="180" fontId="19" fillId="8" borderId="15" xfId="0" applyNumberFormat="1" applyFont="1" applyFill="1" applyBorder="1" applyAlignment="1">
      <alignment horizontal="center" wrapText="1"/>
    </xf>
    <xf numFmtId="0" fontId="19" fillId="10" borderId="15" xfId="0" applyFont="1" applyFill="1" applyBorder="1" applyAlignment="1">
      <alignment wrapText="1"/>
    </xf>
    <xf numFmtId="5" fontId="19" fillId="10" borderId="15" xfId="0" applyNumberFormat="1" applyFont="1" applyFill="1" applyBorder="1" applyAlignment="1">
      <alignment horizontal="center" wrapText="1"/>
    </xf>
    <xf numFmtId="0" fontId="6" fillId="0" borderId="15" xfId="41" applyFont="1" applyFill="1" applyBorder="1" applyAlignment="1">
      <alignment horizontal="center" vertical="top" wrapText="1"/>
    </xf>
    <xf numFmtId="0" fontId="9" fillId="0" borderId="15" xfId="0" applyFont="1" applyFill="1" applyBorder="1" applyAlignment="1">
      <alignment horizontal="left" vertical="top" wrapText="1"/>
    </xf>
    <xf numFmtId="0" fontId="6" fillId="0" borderId="15" xfId="0" applyFont="1" applyFill="1" applyBorder="1" applyAlignment="1" quotePrefix="1">
      <alignment horizontal="center" vertical="top" wrapText="1"/>
    </xf>
    <xf numFmtId="0" fontId="43" fillId="0" borderId="15" xfId="0" applyFont="1" applyFill="1" applyBorder="1" applyAlignment="1">
      <alignment horizontal="left" vertical="top" wrapText="1"/>
    </xf>
    <xf numFmtId="0" fontId="7" fillId="0" borderId="15" xfId="0" applyFont="1" applyFill="1" applyBorder="1" applyAlignment="1">
      <alignment horizontal="right" vertical="top"/>
    </xf>
    <xf numFmtId="15" fontId="6" fillId="0" borderId="15" xfId="0" applyNumberFormat="1" applyFont="1" applyFill="1" applyBorder="1" applyAlignment="1">
      <alignment horizontal="left" vertical="top" wrapText="1"/>
    </xf>
    <xf numFmtId="171" fontId="6" fillId="6" borderId="15" xfId="0" applyNumberFormat="1" applyFont="1" applyFill="1" applyBorder="1" applyAlignment="1">
      <alignment vertical="top"/>
    </xf>
    <xf numFmtId="0" fontId="8" fillId="0" borderId="15" xfId="0" applyFont="1" applyFill="1" applyBorder="1" applyAlignment="1">
      <alignment horizontal="center" vertical="top" wrapText="1"/>
    </xf>
    <xf numFmtId="0" fontId="8" fillId="0" borderId="15" xfId="0" applyFont="1" applyFill="1" applyBorder="1" applyAlignment="1">
      <alignment vertical="top" wrapText="1"/>
    </xf>
    <xf numFmtId="0" fontId="45" fillId="19" borderId="15" xfId="0" applyFont="1" applyFill="1" applyBorder="1" applyAlignment="1">
      <alignment horizontal="center" vertical="top"/>
    </xf>
    <xf numFmtId="0" fontId="45" fillId="19" borderId="15" xfId="0" applyFont="1" applyFill="1" applyBorder="1" applyAlignment="1">
      <alignment horizontal="left"/>
    </xf>
    <xf numFmtId="0" fontId="45" fillId="19" borderId="15" xfId="0" applyFont="1" applyFill="1" applyBorder="1" applyAlignment="1">
      <alignment horizontal="left" wrapText="1"/>
    </xf>
    <xf numFmtId="0" fontId="45" fillId="19" borderId="15" xfId="0" applyFont="1" applyFill="1" applyBorder="1" applyAlignment="1">
      <alignment horizontal="center" wrapText="1"/>
    </xf>
    <xf numFmtId="0" fontId="45" fillId="19" borderId="15" xfId="0" applyFont="1" applyFill="1" applyBorder="1" applyAlignment="1">
      <alignment wrapText="1"/>
    </xf>
    <xf numFmtId="5" fontId="45" fillId="19" borderId="15" xfId="0" applyNumberFormat="1" applyFont="1" applyFill="1" applyBorder="1" applyAlignment="1">
      <alignment horizontal="center" wrapText="1"/>
    </xf>
    <xf numFmtId="180" fontId="45" fillId="19" borderId="15" xfId="0" applyNumberFormat="1" applyFont="1" applyFill="1" applyBorder="1" applyAlignment="1">
      <alignment horizontal="center" wrapText="1"/>
    </xf>
    <xf numFmtId="0" fontId="46" fillId="0" borderId="15" xfId="0" applyFont="1" applyFill="1" applyBorder="1" applyAlignment="1">
      <alignment wrapText="1"/>
    </xf>
    <xf numFmtId="0" fontId="45" fillId="0" borderId="15" xfId="0" applyFont="1" applyFill="1" applyBorder="1" applyAlignment="1">
      <alignment/>
    </xf>
    <xf numFmtId="0" fontId="46" fillId="0" borderId="15" xfId="0" applyFont="1" applyFill="1" applyBorder="1" applyAlignment="1">
      <alignment vertical="top"/>
    </xf>
    <xf numFmtId="0" fontId="19" fillId="20" borderId="15" xfId="0" applyFont="1" applyFill="1" applyBorder="1" applyAlignment="1">
      <alignment horizontal="center" vertical="top"/>
    </xf>
    <xf numFmtId="0" fontId="19" fillId="20" borderId="15" xfId="0" applyFont="1" applyFill="1" applyBorder="1" applyAlignment="1">
      <alignment horizontal="left"/>
    </xf>
    <xf numFmtId="0" fontId="19" fillId="20" borderId="15" xfId="0" applyFont="1" applyFill="1" applyBorder="1" applyAlignment="1">
      <alignment/>
    </xf>
    <xf numFmtId="0" fontId="19" fillId="20" borderId="15" xfId="0" applyFont="1" applyFill="1" applyBorder="1" applyAlignment="1">
      <alignment horizontal="center" wrapText="1"/>
    </xf>
    <xf numFmtId="0" fontId="19" fillId="20" borderId="15" xfId="0" applyFont="1" applyFill="1" applyBorder="1" applyAlignment="1">
      <alignment wrapText="1"/>
    </xf>
    <xf numFmtId="5" fontId="19" fillId="20" borderId="15" xfId="0" applyNumberFormat="1" applyFont="1" applyFill="1" applyBorder="1" applyAlignment="1">
      <alignment horizontal="center" wrapText="1"/>
    </xf>
    <xf numFmtId="180" fontId="19" fillId="20" borderId="15" xfId="0" applyNumberFormat="1" applyFont="1" applyFill="1" applyBorder="1" applyAlignment="1">
      <alignment horizontal="center" wrapText="1"/>
    </xf>
    <xf numFmtId="0" fontId="44" fillId="0" borderId="15" xfId="0" applyFont="1" applyFill="1" applyBorder="1" applyAlignment="1">
      <alignment wrapText="1"/>
    </xf>
    <xf numFmtId="0" fontId="44" fillId="0" borderId="15" xfId="0" applyFont="1" applyFill="1" applyBorder="1" applyAlignment="1">
      <alignment horizontal="right" vertical="top" wrapText="1"/>
    </xf>
    <xf numFmtId="0" fontId="47" fillId="0" borderId="15" xfId="0" applyFont="1" applyFill="1" applyBorder="1" applyAlignment="1">
      <alignment horizontal="center" vertical="top"/>
    </xf>
    <xf numFmtId="0" fontId="19" fillId="0" borderId="15" xfId="0" applyFont="1" applyFill="1" applyBorder="1" applyAlignment="1">
      <alignment/>
    </xf>
    <xf numFmtId="0" fontId="19" fillId="0" borderId="15" xfId="0" applyFont="1" applyFill="1" applyBorder="1" applyAlignment="1">
      <alignment horizontal="right"/>
    </xf>
    <xf numFmtId="0" fontId="19" fillId="17" borderId="15" xfId="0" applyFont="1" applyFill="1" applyBorder="1" applyAlignment="1">
      <alignment horizontal="center" vertical="top" wrapText="1"/>
    </xf>
    <xf numFmtId="0" fontId="19" fillId="13" borderId="15" xfId="0" applyFont="1" applyFill="1" applyBorder="1" applyAlignment="1">
      <alignment horizontal="center" vertical="top" wrapText="1"/>
    </xf>
    <xf numFmtId="0" fontId="19" fillId="18" borderId="15" xfId="0" applyFont="1" applyFill="1" applyBorder="1" applyAlignment="1">
      <alignment horizontal="center"/>
    </xf>
    <xf numFmtId="0" fontId="19" fillId="8" borderId="15" xfId="0" applyFont="1" applyFill="1" applyBorder="1" applyAlignment="1">
      <alignment horizontal="center" vertical="top"/>
    </xf>
    <xf numFmtId="0" fontId="19" fillId="10" borderId="15" xfId="0" applyFont="1" applyFill="1" applyBorder="1" applyAlignment="1">
      <alignment horizontal="center" vertical="top"/>
    </xf>
    <xf numFmtId="0" fontId="19" fillId="3" borderId="15" xfId="0" applyFont="1" applyFill="1" applyBorder="1" applyAlignment="1">
      <alignment horizontal="center" vertical="top"/>
    </xf>
    <xf numFmtId="0" fontId="17" fillId="0" borderId="11" xfId="0" applyFont="1" applyFill="1" applyBorder="1" applyAlignment="1">
      <alignment horizontal="center" wrapText="1"/>
    </xf>
    <xf numFmtId="0" fontId="18" fillId="0" borderId="22" xfId="0" applyFont="1" applyFill="1" applyBorder="1" applyAlignment="1">
      <alignment horizontal="center" wrapText="1"/>
    </xf>
    <xf numFmtId="0" fontId="4" fillId="0" borderId="15" xfId="0" applyFont="1" applyFill="1" applyBorder="1" applyAlignment="1">
      <alignment horizontal="center"/>
    </xf>
    <xf numFmtId="0" fontId="13" fillId="0" borderId="11" xfId="0" applyFont="1" applyFill="1" applyBorder="1" applyAlignment="1">
      <alignment horizontal="left" wrapText="1"/>
    </xf>
    <xf numFmtId="0" fontId="14" fillId="0" borderId="22" xfId="0" applyFont="1" applyFill="1" applyBorder="1" applyAlignment="1">
      <alignment horizontal="left" wrapText="1"/>
    </xf>
    <xf numFmtId="0" fontId="4" fillId="20" borderId="21" xfId="0" applyFont="1" applyFill="1" applyBorder="1" applyAlignment="1">
      <alignment horizontal="center" vertical="top"/>
    </xf>
    <xf numFmtId="0" fontId="6" fillId="0" borderId="21"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38100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38100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8.8515625" style="0"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156"/>
  <sheetViews>
    <sheetView tabSelected="1" zoomScale="125" zoomScaleNormal="125" zoomScaleSheetLayoutView="50" zoomScalePageLayoutView="0" workbookViewId="0" topLeftCell="A1">
      <pane ySplit="5920" topLeftCell="BM1" activePane="bottomLeft" state="split"/>
      <selection pane="topLeft" activeCell="A3" sqref="A3:IV111"/>
      <selection pane="bottomLeft" activeCell="A3" sqref="A3:IV112"/>
    </sheetView>
  </sheetViews>
  <sheetFormatPr defaultColWidth="9.140625" defaultRowHeight="12.75"/>
  <cols>
    <col min="1" max="1" width="16.8515625" style="38" customWidth="1"/>
    <col min="2" max="2" width="14.00390625" style="38" customWidth="1"/>
    <col min="3" max="3" width="43.7109375" style="39" customWidth="1"/>
    <col min="4" max="4" width="32.140625" style="39" customWidth="1"/>
    <col min="5" max="5" width="18.28125" style="39" customWidth="1"/>
    <col min="6" max="6" width="19.8515625" style="39" customWidth="1"/>
    <col min="7" max="7" width="32.421875" style="39" customWidth="1"/>
    <col min="8" max="8" width="17.140625" style="67" customWidth="1"/>
    <col min="9" max="9" width="22.140625" style="38" customWidth="1"/>
    <col min="10" max="10" width="13.28125" style="38" customWidth="1"/>
    <col min="11" max="11" width="23.140625" style="40" customWidth="1"/>
    <col min="12" max="12" width="12.8515625" style="87" customWidth="1"/>
    <col min="13" max="13" width="13.7109375" style="129" customWidth="1"/>
    <col min="14" max="14" width="30.140625" style="139" customWidth="1"/>
    <col min="15" max="16" width="14.140625" style="40" customWidth="1"/>
    <col min="17" max="19" width="9.140625" style="40" customWidth="1"/>
    <col min="20" max="20" width="15.140625" style="40" customWidth="1"/>
    <col min="21" max="21" width="12.421875" style="40" customWidth="1"/>
    <col min="22" max="16384" width="9.140625" style="40" customWidth="1"/>
  </cols>
  <sheetData>
    <row r="1" spans="1:14" s="29" customFormat="1" ht="145.5" customHeight="1">
      <c r="A1" s="1"/>
      <c r="B1" s="2"/>
      <c r="C1" s="3"/>
      <c r="D1" s="3"/>
      <c r="E1" s="3"/>
      <c r="F1" s="4" t="s">
        <v>496</v>
      </c>
      <c r="G1" s="3"/>
      <c r="H1" s="167" t="s">
        <v>665</v>
      </c>
      <c r="I1" s="239" t="s">
        <v>31</v>
      </c>
      <c r="J1" s="240"/>
      <c r="K1" s="3"/>
      <c r="L1" s="82"/>
      <c r="M1" s="168"/>
      <c r="N1" s="138"/>
    </row>
    <row r="2" spans="1:21" s="170" customFormat="1" ht="81" customHeight="1">
      <c r="A2" s="163" t="s">
        <v>63</v>
      </c>
      <c r="B2" s="45" t="s">
        <v>586</v>
      </c>
      <c r="C2" s="45" t="s">
        <v>64</v>
      </c>
      <c r="D2" s="45" t="s">
        <v>111</v>
      </c>
      <c r="E2" s="45" t="s">
        <v>723</v>
      </c>
      <c r="F2" s="45" t="s">
        <v>378</v>
      </c>
      <c r="G2" s="45" t="s">
        <v>214</v>
      </c>
      <c r="H2" s="45" t="s">
        <v>167</v>
      </c>
      <c r="I2" s="45" t="s">
        <v>66</v>
      </c>
      <c r="J2" s="45" t="s">
        <v>379</v>
      </c>
      <c r="K2" s="164" t="s">
        <v>68</v>
      </c>
      <c r="L2" s="165" t="s">
        <v>283</v>
      </c>
      <c r="M2" s="166" t="s">
        <v>124</v>
      </c>
      <c r="N2" s="169" t="s">
        <v>344</v>
      </c>
      <c r="Q2" s="241" t="s">
        <v>187</v>
      </c>
      <c r="R2" s="241"/>
      <c r="S2" s="241"/>
      <c r="T2" s="171" t="s">
        <v>497</v>
      </c>
      <c r="U2" s="171" t="s">
        <v>188</v>
      </c>
    </row>
    <row r="3" spans="1:21" s="8" customFormat="1" ht="90">
      <c r="A3" s="64" t="s">
        <v>465</v>
      </c>
      <c r="B3" s="9">
        <v>8501</v>
      </c>
      <c r="C3" s="8" t="s">
        <v>158</v>
      </c>
      <c r="D3" s="17" t="s">
        <v>159</v>
      </c>
      <c r="E3" s="8" t="s">
        <v>160</v>
      </c>
      <c r="F3" s="8" t="s">
        <v>144</v>
      </c>
      <c r="G3" s="17" t="s">
        <v>56</v>
      </c>
      <c r="H3" s="9" t="s">
        <v>125</v>
      </c>
      <c r="I3" s="9" t="s">
        <v>125</v>
      </c>
      <c r="J3" s="9" t="s">
        <v>125</v>
      </c>
      <c r="K3" s="99" t="s">
        <v>126</v>
      </c>
      <c r="L3" s="94"/>
      <c r="M3" s="126"/>
      <c r="N3" s="15"/>
      <c r="Q3" s="172">
        <f>LOOKUP(L3,{0,100,500,1000,5000},{1,2,3,4,5})</f>
        <v>1</v>
      </c>
      <c r="R3" s="172">
        <f>LOOKUP(M3,{0,0.5,1,3,6},{1,2,3,4,5})</f>
        <v>1</v>
      </c>
      <c r="S3" s="172">
        <f>MAX(Q3:R3)</f>
        <v>1</v>
      </c>
      <c r="T3" s="172" t="str">
        <f>CONCATENATE(H3,S3)</f>
        <v>N/A1</v>
      </c>
      <c r="U3" s="172">
        <f>LOOKUP(H3,'Ranking Lookup'!$A$30:$B$34)*(Q3+R3)</f>
        <v>8</v>
      </c>
    </row>
    <row r="4" spans="1:21" s="50" customFormat="1" ht="195">
      <c r="A4" s="65" t="s">
        <v>482</v>
      </c>
      <c r="B4" s="9" t="s">
        <v>178</v>
      </c>
      <c r="C4" s="8" t="s">
        <v>244</v>
      </c>
      <c r="D4" s="8" t="s">
        <v>83</v>
      </c>
      <c r="E4" s="8" t="s">
        <v>84</v>
      </c>
      <c r="F4" s="8" t="s">
        <v>574</v>
      </c>
      <c r="G4" s="17" t="s">
        <v>588</v>
      </c>
      <c r="H4" s="14" t="s">
        <v>19</v>
      </c>
      <c r="I4" s="14" t="str">
        <f>LOOKUP(S4,{1,2,3,4,5},{"Negligible","Marginal","Significant","Critical","Crisis"})</f>
        <v>Negligible</v>
      </c>
      <c r="J4" s="9" t="str">
        <f>LOOKUP(T4,'Ranking Lookup'!$A$3:$B$27)</f>
        <v>Low</v>
      </c>
      <c r="K4" s="17" t="s">
        <v>587</v>
      </c>
      <c r="L4" s="84">
        <v>50</v>
      </c>
      <c r="M4" s="123">
        <v>0</v>
      </c>
      <c r="N4" s="15"/>
      <c r="Q4" s="172">
        <f>LOOKUP(L4,{0,100,500,1000,5000},{1,2,3,4,5})</f>
        <v>1</v>
      </c>
      <c r="R4" s="172">
        <f>LOOKUP(M4,{0,0.5,1,3,6},{1,2,3,4,5})</f>
        <v>1</v>
      </c>
      <c r="S4" s="172">
        <f>MAX(Q4:R4)</f>
        <v>1</v>
      </c>
      <c r="T4" s="172" t="str">
        <f>CONCATENATE(H4,S4)</f>
        <v>VU1</v>
      </c>
      <c r="U4" s="172">
        <f>LOOKUP(H4,'Ranking Lookup'!$A$30:$B$34)*(Q4+R4)</f>
        <v>4</v>
      </c>
    </row>
    <row r="5" spans="1:21" s="50" customFormat="1" ht="195">
      <c r="A5" s="98" t="s">
        <v>494</v>
      </c>
      <c r="B5" s="7">
        <v>8204</v>
      </c>
      <c r="C5" s="8" t="s">
        <v>164</v>
      </c>
      <c r="D5" s="8" t="s">
        <v>83</v>
      </c>
      <c r="E5" s="8" t="s">
        <v>84</v>
      </c>
      <c r="F5" s="8" t="s">
        <v>574</v>
      </c>
      <c r="G5" s="17" t="s">
        <v>589</v>
      </c>
      <c r="H5" s="9" t="s">
        <v>709</v>
      </c>
      <c r="I5" s="9" t="str">
        <f>LOOKUP(S5,{1,2,3,4,5},{"Negligible","Marginal","Significant","Critical","Crisis"})</f>
        <v>Negligible</v>
      </c>
      <c r="J5" s="9" t="str">
        <f>LOOKUP(T5,'Ranking Lookup'!$A$3:$B$27)</f>
        <v>Low</v>
      </c>
      <c r="K5" s="17" t="s">
        <v>587</v>
      </c>
      <c r="L5" s="140">
        <v>50</v>
      </c>
      <c r="M5" s="144">
        <v>0</v>
      </c>
      <c r="N5" s="15"/>
      <c r="Q5" s="172">
        <f>LOOKUP(L5,{0,100,500,1000,5000},{1,2,3,4,5})</f>
        <v>1</v>
      </c>
      <c r="R5" s="172">
        <f>LOOKUP(M5,{0,0.5,1,3,6},{1,2,3,4,5})</f>
        <v>1</v>
      </c>
      <c r="S5" s="172">
        <f>MAX(Q5:R5)</f>
        <v>1</v>
      </c>
      <c r="T5" s="172" t="str">
        <f>CONCATENATE(H5,S5)</f>
        <v>U1</v>
      </c>
      <c r="U5" s="172">
        <f>LOOKUP(H5,'Ranking Lookup'!$A$30:$B$34)*(Q5+R5)</f>
        <v>6</v>
      </c>
    </row>
    <row r="6" spans="1:21" s="172" customFormat="1" ht="135">
      <c r="A6" s="59" t="s">
        <v>422</v>
      </c>
      <c r="B6" s="9" t="s">
        <v>375</v>
      </c>
      <c r="C6" s="8" t="s">
        <v>326</v>
      </c>
      <c r="D6" s="8" t="s">
        <v>376</v>
      </c>
      <c r="E6" s="207" t="s">
        <v>328</v>
      </c>
      <c r="F6" s="8" t="s">
        <v>327</v>
      </c>
      <c r="G6" s="8" t="s">
        <v>333</v>
      </c>
      <c r="H6" s="9" t="s">
        <v>709</v>
      </c>
      <c r="I6" s="9" t="str">
        <f>LOOKUP(S6,{1,2,3,4,5},{"Negligible","Marginal","Significant","Critical","Crisis"})</f>
        <v>Marginal</v>
      </c>
      <c r="J6" s="9" t="str">
        <f>LOOKUP(T6,'Ranking Lookup'!$A$3:$B$27)</f>
        <v>Low</v>
      </c>
      <c r="K6" s="8" t="s">
        <v>388</v>
      </c>
      <c r="L6" s="84">
        <v>200</v>
      </c>
      <c r="M6" s="123">
        <v>0</v>
      </c>
      <c r="N6" s="15"/>
      <c r="Q6" s="172">
        <f>LOOKUP(L6,{0,100,500,1000,5000},{1,2,3,4,5})</f>
        <v>2</v>
      </c>
      <c r="R6" s="172">
        <f>LOOKUP(M6,{0,0.5,1,3,6},{1,2,3,4,5})</f>
        <v>1</v>
      </c>
      <c r="S6" s="172">
        <f>MAX(Q6:R6)</f>
        <v>2</v>
      </c>
      <c r="T6" s="172" t="str">
        <f>CONCATENATE(H6,S6)</f>
        <v>U2</v>
      </c>
      <c r="U6" s="172">
        <f>LOOKUP(H6,'Ranking Lookup'!$A$30:$B$34)*(Q6+R6)</f>
        <v>9</v>
      </c>
    </row>
    <row r="7" spans="1:21" s="8" customFormat="1" ht="120">
      <c r="A7" s="59" t="s">
        <v>423</v>
      </c>
      <c r="B7" s="9">
        <v>1810</v>
      </c>
      <c r="C7" s="8" t="s">
        <v>149</v>
      </c>
      <c r="D7" s="17" t="s">
        <v>46</v>
      </c>
      <c r="E7" s="8" t="s">
        <v>47</v>
      </c>
      <c r="F7" s="8" t="s">
        <v>153</v>
      </c>
      <c r="G7" s="17" t="s">
        <v>694</v>
      </c>
      <c r="H7" s="9" t="s">
        <v>652</v>
      </c>
      <c r="I7" s="9" t="str">
        <f>LOOKUP(S7,{1,2,3,4,5},{"Negligible","Marginal","Significant","Critical","Crisis"})</f>
        <v>Marginal</v>
      </c>
      <c r="J7" s="9" t="str">
        <f>LOOKUP(T7,'Ranking Lookup'!$A$3:$B$27)</f>
        <v>Moderate</v>
      </c>
      <c r="K7" s="8" t="s">
        <v>345</v>
      </c>
      <c r="L7" s="84">
        <v>240</v>
      </c>
      <c r="M7" s="123">
        <f>4.5*0.15</f>
        <v>0.6749999999999999</v>
      </c>
      <c r="N7" s="15" t="s">
        <v>292</v>
      </c>
      <c r="Q7" s="172">
        <f>LOOKUP(L7,{0,100,500,1000,5000},{1,2,3,4,5})</f>
        <v>2</v>
      </c>
      <c r="R7" s="172">
        <f>LOOKUP(M7,{0,0.5,1,3,6},{1,2,3,4,5})</f>
        <v>2</v>
      </c>
      <c r="S7" s="172">
        <f>MAX(Q7:R7)</f>
        <v>2</v>
      </c>
      <c r="T7" s="172" t="str">
        <f>CONCATENATE(H7,S7)</f>
        <v>VL2</v>
      </c>
      <c r="U7" s="172">
        <f>LOOKUP(H7,'Ranking Lookup'!$A$30:$B$34)*(Q7+R7)</f>
        <v>20</v>
      </c>
    </row>
    <row r="8" spans="1:21" s="8" customFormat="1" ht="120">
      <c r="A8" s="59" t="s">
        <v>417</v>
      </c>
      <c r="B8" s="9">
        <v>1815</v>
      </c>
      <c r="C8" s="8" t="s">
        <v>150</v>
      </c>
      <c r="D8" s="17" t="s">
        <v>289</v>
      </c>
      <c r="E8" s="8" t="s">
        <v>143</v>
      </c>
      <c r="F8" s="8" t="s">
        <v>153</v>
      </c>
      <c r="G8" s="17" t="s">
        <v>694</v>
      </c>
      <c r="H8" s="9" t="s">
        <v>652</v>
      </c>
      <c r="I8" s="9" t="str">
        <f>LOOKUP(S8,{1,2,3,4,5},{"Negligible","Marginal","Significant","Critical","Crisis"})</f>
        <v>Significant</v>
      </c>
      <c r="J8" s="9" t="str">
        <f>LOOKUP(T8,'Ranking Lookup'!$A$3:$B$27)</f>
        <v>High</v>
      </c>
      <c r="K8" s="8" t="s">
        <v>293</v>
      </c>
      <c r="L8" s="84">
        <v>500</v>
      </c>
      <c r="M8" s="123">
        <f>4.5*0.25</f>
        <v>1.125</v>
      </c>
      <c r="N8" s="15" t="s">
        <v>256</v>
      </c>
      <c r="Q8" s="172">
        <f>LOOKUP(L8,{0,100,500,1000,5000},{1,2,3,4,5})</f>
        <v>3</v>
      </c>
      <c r="R8" s="172">
        <f>LOOKUP(M8,{0,0.5,1,3,6},{1,2,3,4,5})</f>
        <v>3</v>
      </c>
      <c r="S8" s="172">
        <f>MAX(Q8:R8)</f>
        <v>3</v>
      </c>
      <c r="T8" s="172" t="str">
        <f>CONCATENATE(H8,S8)</f>
        <v>VL3</v>
      </c>
      <c r="U8" s="172">
        <f>LOOKUP(H8,'Ranking Lookup'!$A$30:$B$34)*(Q8+R8)</f>
        <v>30</v>
      </c>
    </row>
    <row r="9" spans="1:21" s="8" customFormat="1" ht="120">
      <c r="A9" s="59" t="s">
        <v>418</v>
      </c>
      <c r="B9" s="9">
        <v>7503</v>
      </c>
      <c r="C9" s="8" t="s">
        <v>332</v>
      </c>
      <c r="D9" s="17" t="s">
        <v>290</v>
      </c>
      <c r="E9" s="8" t="s">
        <v>726</v>
      </c>
      <c r="F9" s="8" t="s">
        <v>153</v>
      </c>
      <c r="G9" s="17" t="s">
        <v>694</v>
      </c>
      <c r="H9" s="9" t="s">
        <v>652</v>
      </c>
      <c r="I9" s="9" t="str">
        <f>LOOKUP(S9,{1,2,3,4,5},{"Negligible","Marginal","Significant","Critical","Crisis"})</f>
        <v>Significant</v>
      </c>
      <c r="J9" s="9" t="str">
        <f>LOOKUP(T9,'Ranking Lookup'!$A$3:$B$27)</f>
        <v>High</v>
      </c>
      <c r="K9" s="8" t="s">
        <v>257</v>
      </c>
      <c r="L9" s="84">
        <v>650</v>
      </c>
      <c r="M9" s="123">
        <f>14.5*0.15</f>
        <v>2.175</v>
      </c>
      <c r="N9" s="15" t="s">
        <v>259</v>
      </c>
      <c r="Q9" s="172">
        <f>LOOKUP(L9,{0,100,500,1000,5000},{1,2,3,4,5})</f>
        <v>3</v>
      </c>
      <c r="R9" s="172">
        <f>LOOKUP(M9,{0,0.5,1,3,6},{1,2,3,4,5})</f>
        <v>3</v>
      </c>
      <c r="S9" s="172">
        <f>MAX(Q9:R9)</f>
        <v>3</v>
      </c>
      <c r="T9" s="172" t="str">
        <f>CONCATENATE(H9,S9)</f>
        <v>VL3</v>
      </c>
      <c r="U9" s="172">
        <f>LOOKUP(H9,'Ranking Lookup'!$A$30:$B$34)*(Q9+R9)</f>
        <v>30</v>
      </c>
    </row>
    <row r="10" spans="1:21" s="8" customFormat="1" ht="120">
      <c r="A10" s="62" t="s">
        <v>447</v>
      </c>
      <c r="B10" s="9">
        <v>1815</v>
      </c>
      <c r="C10" s="8" t="s">
        <v>302</v>
      </c>
      <c r="D10" s="17" t="s">
        <v>308</v>
      </c>
      <c r="E10" s="8" t="s">
        <v>716</v>
      </c>
      <c r="F10" s="8" t="s">
        <v>153</v>
      </c>
      <c r="G10" s="8" t="s">
        <v>694</v>
      </c>
      <c r="H10" s="9" t="s">
        <v>19</v>
      </c>
      <c r="I10" s="9" t="str">
        <f>LOOKUP(S10,{1,2,3,4,5},{"Negligible","Marginal","Significant","Critical","Crisis"})</f>
        <v>Negligible</v>
      </c>
      <c r="J10" s="9" t="str">
        <f>LOOKUP(T10,'Ranking Lookup'!$A$3:$B$27)</f>
        <v>Low</v>
      </c>
      <c r="K10" s="8" t="s">
        <v>568</v>
      </c>
      <c r="L10" s="84">
        <v>30</v>
      </c>
      <c r="M10" s="123">
        <v>0</v>
      </c>
      <c r="N10" s="15"/>
      <c r="Q10" s="172">
        <f>LOOKUP(L10,{0,100,500,1000,5000},{1,2,3,4,5})</f>
        <v>1</v>
      </c>
      <c r="R10" s="172">
        <f>LOOKUP(M10,{0,0.5,1,3,6},{1,2,3,4,5})</f>
        <v>1</v>
      </c>
      <c r="S10" s="172">
        <f>MAX(Q10:R10)</f>
        <v>1</v>
      </c>
      <c r="T10" s="172" t="str">
        <f>CONCATENATE(H10,S10)</f>
        <v>VU1</v>
      </c>
      <c r="U10" s="172">
        <f>LOOKUP(H10,'Ranking Lookup'!$A$30:$B$34)*(Q10+R10)</f>
        <v>4</v>
      </c>
    </row>
    <row r="11" spans="1:21" s="8" customFormat="1" ht="90">
      <c r="A11" s="63" t="s">
        <v>453</v>
      </c>
      <c r="B11" s="9">
        <v>7503</v>
      </c>
      <c r="C11" s="8" t="s">
        <v>80</v>
      </c>
      <c r="D11" s="17" t="s">
        <v>660</v>
      </c>
      <c r="E11" s="8" t="s">
        <v>273</v>
      </c>
      <c r="F11" s="8" t="s">
        <v>72</v>
      </c>
      <c r="G11" s="8" t="s">
        <v>694</v>
      </c>
      <c r="H11" s="9" t="s">
        <v>284</v>
      </c>
      <c r="I11" s="9" t="str">
        <f>LOOKUP(S11,{1,2,3,4,5},{"Negligible","Marginal","Significant","Critical","Crisis"})</f>
        <v>Negligible</v>
      </c>
      <c r="J11" s="9" t="str">
        <f>LOOKUP(T11,'Ranking Lookup'!$A$3:$B$27)</f>
        <v>Low</v>
      </c>
      <c r="K11" s="8" t="s">
        <v>717</v>
      </c>
      <c r="L11" s="84">
        <v>0</v>
      </c>
      <c r="M11" s="123">
        <v>0.25</v>
      </c>
      <c r="N11" s="15"/>
      <c r="Q11" s="172">
        <f>LOOKUP(L11,{0,100,500,1000,5000},{1,2,3,4,5})</f>
        <v>1</v>
      </c>
      <c r="R11" s="172">
        <f>LOOKUP(M11,{0,0.5,1,3,6},{1,2,3,4,5})</f>
        <v>1</v>
      </c>
      <c r="S11" s="172">
        <f>MAX(Q11:R11)</f>
        <v>1</v>
      </c>
      <c r="T11" s="172" t="str">
        <f>CONCATENATE(H11,S11)</f>
        <v>NC1</v>
      </c>
      <c r="U11" s="172">
        <f>LOOKUP(H11,'Ranking Lookup'!$A$30:$B$34)*(Q11+R11)</f>
        <v>2</v>
      </c>
    </row>
    <row r="12" spans="1:21" s="8" customFormat="1" ht="60">
      <c r="A12" s="63" t="s">
        <v>455</v>
      </c>
      <c r="B12" s="9">
        <v>7503</v>
      </c>
      <c r="C12" s="8" t="s">
        <v>81</v>
      </c>
      <c r="D12" s="17" t="s">
        <v>156</v>
      </c>
      <c r="E12" s="8" t="s">
        <v>195</v>
      </c>
      <c r="F12" s="8" t="s">
        <v>72</v>
      </c>
      <c r="G12" s="8" t="s">
        <v>694</v>
      </c>
      <c r="H12" s="9" t="s">
        <v>284</v>
      </c>
      <c r="I12" s="9" t="str">
        <f>LOOKUP(S12,{1,2,3,4,5},{"Negligible","Marginal","Significant","Critical","Crisis"})</f>
        <v>Negligible</v>
      </c>
      <c r="J12" s="9" t="str">
        <f>LOOKUP(T12,'Ranking Lookup'!$A$3:$B$27)</f>
        <v>Low</v>
      </c>
      <c r="K12" s="8" t="s">
        <v>525</v>
      </c>
      <c r="L12" s="84">
        <v>0</v>
      </c>
      <c r="M12" s="123">
        <v>0.25</v>
      </c>
      <c r="N12" s="15"/>
      <c r="Q12" s="172">
        <f>LOOKUP(L12,{0,100,500,1000,5000},{1,2,3,4,5})</f>
        <v>1</v>
      </c>
      <c r="R12" s="172">
        <f>LOOKUP(M12,{0,0.5,1,3,6},{1,2,3,4,5})</f>
        <v>1</v>
      </c>
      <c r="S12" s="172">
        <f>MAX(Q12:R12)</f>
        <v>1</v>
      </c>
      <c r="T12" s="172" t="str">
        <f>CONCATENATE(H12,S12)</f>
        <v>NC1</v>
      </c>
      <c r="U12" s="172">
        <f>LOOKUP(H12,'Ranking Lookup'!$A$30:$B$34)*(Q12+R12)</f>
        <v>2</v>
      </c>
    </row>
    <row r="13" spans="1:21" s="50" customFormat="1" ht="120">
      <c r="A13" s="65" t="s">
        <v>470</v>
      </c>
      <c r="B13" s="13" t="s">
        <v>22</v>
      </c>
      <c r="C13" s="8" t="s">
        <v>310</v>
      </c>
      <c r="D13" s="8" t="s">
        <v>561</v>
      </c>
      <c r="E13" s="8" t="s">
        <v>731</v>
      </c>
      <c r="F13" s="8" t="s">
        <v>72</v>
      </c>
      <c r="G13" s="8" t="s">
        <v>694</v>
      </c>
      <c r="H13" s="14" t="s">
        <v>19</v>
      </c>
      <c r="I13" s="14" t="str">
        <f>LOOKUP(S13,{1,2,3,4,5},{"Negligible","Marginal","Significant","Critical","Crisis"})</f>
        <v>Negligible</v>
      </c>
      <c r="J13" s="10" t="str">
        <f>LOOKUP(T13,'Ranking Lookup'!$A$3:$B$27)</f>
        <v>Low</v>
      </c>
      <c r="K13" s="8" t="s">
        <v>21</v>
      </c>
      <c r="L13" s="84">
        <v>35</v>
      </c>
      <c r="M13" s="123">
        <v>0</v>
      </c>
      <c r="N13" s="15"/>
      <c r="Q13" s="172">
        <f>LOOKUP(L13,{0,100,500,1000,5000},{1,2,3,4,5})</f>
        <v>1</v>
      </c>
      <c r="R13" s="172">
        <f>LOOKUP(M13,{0,0.5,1,3,6},{1,2,3,4,5})</f>
        <v>1</v>
      </c>
      <c r="S13" s="172">
        <f>MAX(Q13:R13)</f>
        <v>1</v>
      </c>
      <c r="T13" s="172" t="str">
        <f>CONCATENATE(H13,S13)</f>
        <v>VU1</v>
      </c>
      <c r="U13" s="172">
        <f>LOOKUP(H13,'Ranking Lookup'!$A$30:$B$34)*(Q13+R13)</f>
        <v>4</v>
      </c>
    </row>
    <row r="14" spans="1:21" s="50" customFormat="1" ht="90">
      <c r="A14" s="65" t="s">
        <v>472</v>
      </c>
      <c r="B14" s="13" t="s">
        <v>734</v>
      </c>
      <c r="C14" s="8" t="s">
        <v>580</v>
      </c>
      <c r="D14" s="8" t="s">
        <v>612</v>
      </c>
      <c r="E14" s="8" t="s">
        <v>650</v>
      </c>
      <c r="F14" s="8" t="s">
        <v>72</v>
      </c>
      <c r="G14" s="8" t="s">
        <v>613</v>
      </c>
      <c r="H14" s="14" t="s">
        <v>709</v>
      </c>
      <c r="I14" s="14" t="str">
        <f>LOOKUP(S14,{1,2,3,4,5},{"Negligible","Marginal","Significant","Critical","Crisis"})</f>
        <v>Negligible</v>
      </c>
      <c r="J14" s="10" t="str">
        <f>LOOKUP(T14,'Ranking Lookup'!$A$3:$B$27)</f>
        <v>Low</v>
      </c>
      <c r="K14" s="8" t="s">
        <v>581</v>
      </c>
      <c r="L14" s="84">
        <v>30</v>
      </c>
      <c r="M14" s="123">
        <v>0</v>
      </c>
      <c r="N14" s="15"/>
      <c r="Q14" s="172">
        <f>LOOKUP(L14,{0,100,500,1000,5000},{1,2,3,4,5})</f>
        <v>1</v>
      </c>
      <c r="R14" s="172">
        <f>LOOKUP(M14,{0,0.5,1,3,6},{1,2,3,4,5})</f>
        <v>1</v>
      </c>
      <c r="S14" s="172">
        <f>MAX(Q14:R14)</f>
        <v>1</v>
      </c>
      <c r="T14" s="172" t="str">
        <f>CONCATENATE(H14,S14)</f>
        <v>U1</v>
      </c>
      <c r="U14" s="172">
        <f>LOOKUP(H14,'Ranking Lookup'!$A$30:$B$34)*(Q14+R14)</f>
        <v>6</v>
      </c>
    </row>
    <row r="15" spans="1:21" s="50" customFormat="1" ht="105">
      <c r="A15" s="65" t="s">
        <v>473</v>
      </c>
      <c r="B15" s="13" t="s">
        <v>734</v>
      </c>
      <c r="C15" s="8" t="s">
        <v>224</v>
      </c>
      <c r="D15" s="8" t="s">
        <v>614</v>
      </c>
      <c r="E15" s="8" t="s">
        <v>649</v>
      </c>
      <c r="F15" s="8" t="s">
        <v>72</v>
      </c>
      <c r="G15" s="8" t="s">
        <v>221</v>
      </c>
      <c r="H15" s="9" t="s">
        <v>125</v>
      </c>
      <c r="I15" s="9" t="s">
        <v>125</v>
      </c>
      <c r="J15" s="9" t="s">
        <v>125</v>
      </c>
      <c r="K15" s="99" t="s">
        <v>126</v>
      </c>
      <c r="L15" s="94"/>
      <c r="M15" s="126"/>
      <c r="N15" s="15"/>
      <c r="Q15" s="172">
        <f>LOOKUP(L15,{0,100,500,1000,5000},{1,2,3,4,5})</f>
        <v>1</v>
      </c>
      <c r="R15" s="172">
        <f>LOOKUP(M15,{0,0.5,1,3,6},{1,2,3,4,5})</f>
        <v>1</v>
      </c>
      <c r="S15" s="172">
        <f>MAX(Q15:R15)</f>
        <v>1</v>
      </c>
      <c r="T15" s="172" t="str">
        <f>CONCATENATE(H15,S15)</f>
        <v>N/A1</v>
      </c>
      <c r="U15" s="172">
        <f>LOOKUP(H15,'Ranking Lookup'!$A$30:$B$34)*(Q15+R15)</f>
        <v>8</v>
      </c>
    </row>
    <row r="16" spans="1:21" s="50" customFormat="1" ht="240">
      <c r="A16" s="64" t="s">
        <v>456</v>
      </c>
      <c r="B16" s="7">
        <v>8501</v>
      </c>
      <c r="C16" s="8" t="s">
        <v>13</v>
      </c>
      <c r="D16" s="8" t="s">
        <v>616</v>
      </c>
      <c r="E16" s="8" t="s">
        <v>57</v>
      </c>
      <c r="F16" s="8" t="s">
        <v>519</v>
      </c>
      <c r="G16" s="8" t="s">
        <v>694</v>
      </c>
      <c r="H16" s="9" t="s">
        <v>19</v>
      </c>
      <c r="I16" s="9" t="str">
        <f>LOOKUP(S16,{1,2,3,4,5},{"Negligible","Marginal","Significant","Critical","Crisis"})</f>
        <v>Significant</v>
      </c>
      <c r="J16" s="9" t="str">
        <f>LOOKUP(T16,'Ranking Lookup'!$A$3:$B$27)</f>
        <v>Low</v>
      </c>
      <c r="K16" s="8" t="s">
        <v>288</v>
      </c>
      <c r="L16" s="84">
        <v>150</v>
      </c>
      <c r="M16" s="123">
        <v>2</v>
      </c>
      <c r="N16" s="15"/>
      <c r="Q16" s="172">
        <f>LOOKUP(L16,{0,100,500,1000,5000},{1,2,3,4,5})</f>
        <v>2</v>
      </c>
      <c r="R16" s="172">
        <f>LOOKUP(M16,{0,0.5,1,3,6},{1,2,3,4,5})</f>
        <v>3</v>
      </c>
      <c r="S16" s="172">
        <f>MAX(Q16:R16)</f>
        <v>3</v>
      </c>
      <c r="T16" s="172" t="str">
        <f>CONCATENATE(H16,S16)</f>
        <v>VU3</v>
      </c>
      <c r="U16" s="172">
        <f>LOOKUP(H16,'Ranking Lookup'!$A$30:$B$34)*(Q16+R16)</f>
        <v>10</v>
      </c>
    </row>
    <row r="17" spans="1:21" s="50" customFormat="1" ht="210">
      <c r="A17" s="64" t="s">
        <v>457</v>
      </c>
      <c r="B17" s="7">
        <v>8501</v>
      </c>
      <c r="C17" s="8" t="s">
        <v>520</v>
      </c>
      <c r="D17" s="8" t="s">
        <v>616</v>
      </c>
      <c r="E17" s="8" t="s">
        <v>57</v>
      </c>
      <c r="F17" s="8" t="s">
        <v>519</v>
      </c>
      <c r="G17" s="8" t="s">
        <v>267</v>
      </c>
      <c r="H17" s="9" t="s">
        <v>125</v>
      </c>
      <c r="I17" s="9" t="s">
        <v>125</v>
      </c>
      <c r="J17" s="9" t="s">
        <v>125</v>
      </c>
      <c r="K17" s="99" t="s">
        <v>126</v>
      </c>
      <c r="L17" s="152"/>
      <c r="M17" s="125"/>
      <c r="N17" s="15"/>
      <c r="Q17" s="172">
        <f>LOOKUP(L17,{0,100,500,1000,5000},{1,2,3,4,5})</f>
        <v>1</v>
      </c>
      <c r="R17" s="172">
        <f>LOOKUP(M17,{0,0.5,1,3,6},{1,2,3,4,5})</f>
        <v>1</v>
      </c>
      <c r="S17" s="172">
        <f>MAX(Q17:R17)</f>
        <v>1</v>
      </c>
      <c r="T17" s="172" t="str">
        <f>CONCATENATE(H17,S17)</f>
        <v>N/A1</v>
      </c>
      <c r="U17" s="172">
        <f>LOOKUP(H17,'Ranking Lookup'!$A$30:$B$34)*(Q17+R17)</f>
        <v>8</v>
      </c>
    </row>
    <row r="18" spans="1:21" s="8" customFormat="1" ht="90">
      <c r="A18" s="61" t="s">
        <v>438</v>
      </c>
      <c r="B18" s="9">
        <v>1810</v>
      </c>
      <c r="C18" s="8" t="s">
        <v>604</v>
      </c>
      <c r="D18" s="17" t="s">
        <v>369</v>
      </c>
      <c r="E18" s="8" t="s">
        <v>264</v>
      </c>
      <c r="F18" s="8" t="s">
        <v>646</v>
      </c>
      <c r="G18" s="8" t="s">
        <v>694</v>
      </c>
      <c r="H18" s="9" t="s">
        <v>709</v>
      </c>
      <c r="I18" s="9" t="str">
        <f>LOOKUP(S18,{1,2,3,4,5},{"Negligible","Marginal","Significant","Critical","Crisis"})</f>
        <v>Marginal</v>
      </c>
      <c r="J18" s="9" t="str">
        <f>LOOKUP(T18,'Ranking Lookup'!$A$3:$B$27)</f>
        <v>Low</v>
      </c>
      <c r="K18" s="8" t="s">
        <v>370</v>
      </c>
      <c r="L18" s="84">
        <v>0</v>
      </c>
      <c r="M18" s="123">
        <v>0.5</v>
      </c>
      <c r="N18" s="15"/>
      <c r="Q18" s="172">
        <f>LOOKUP(L18,{0,100,500,1000,5000},{1,2,3,4,5})</f>
        <v>1</v>
      </c>
      <c r="R18" s="172">
        <f>LOOKUP(M18,{0,0.5,1,3,6},{1,2,3,4,5})</f>
        <v>2</v>
      </c>
      <c r="S18" s="172">
        <f>MAX(Q18:R18)</f>
        <v>2</v>
      </c>
      <c r="T18" s="172" t="str">
        <f>CONCATENATE(H18,S18)</f>
        <v>U2</v>
      </c>
      <c r="U18" s="172">
        <f>LOOKUP(H18,'Ranking Lookup'!$A$30:$B$34)*(Q18+R18)</f>
        <v>9</v>
      </c>
    </row>
    <row r="19" spans="1:21" s="8" customFormat="1" ht="75">
      <c r="A19" s="62" t="s">
        <v>446</v>
      </c>
      <c r="B19" s="9">
        <v>1815</v>
      </c>
      <c r="C19" s="8" t="s">
        <v>123</v>
      </c>
      <c r="D19" s="17" t="s">
        <v>307</v>
      </c>
      <c r="E19" s="8" t="s">
        <v>645</v>
      </c>
      <c r="F19" s="8" t="s">
        <v>646</v>
      </c>
      <c r="G19" s="8" t="s">
        <v>694</v>
      </c>
      <c r="H19" s="9" t="s">
        <v>732</v>
      </c>
      <c r="I19" s="9" t="str">
        <f>LOOKUP(S19,{1,2,3,4,5},{"Negligible","Marginal","Significant","Critical","Crisis"})</f>
        <v>Marginal</v>
      </c>
      <c r="J19" s="9" t="str">
        <f>LOOKUP(T19,'Ranking Lookup'!$A$3:$B$27)</f>
        <v>Moderate</v>
      </c>
      <c r="K19" s="8" t="s">
        <v>567</v>
      </c>
      <c r="L19" s="84">
        <v>250</v>
      </c>
      <c r="M19" s="123">
        <v>0</v>
      </c>
      <c r="N19" s="15"/>
      <c r="Q19" s="172">
        <f>LOOKUP(L19,{0,100,500,1000,5000},{1,2,3,4,5})</f>
        <v>2</v>
      </c>
      <c r="R19" s="172">
        <f>LOOKUP(M19,{0,0.5,1,3,6},{1,2,3,4,5})</f>
        <v>1</v>
      </c>
      <c r="S19" s="172">
        <f>MAX(Q19:R19)</f>
        <v>2</v>
      </c>
      <c r="T19" s="172" t="str">
        <f>CONCATENATE(H19,S19)</f>
        <v>L2</v>
      </c>
      <c r="U19" s="172">
        <f>LOOKUP(H19,'Ranking Lookup'!$A$30:$B$34)*(Q19+R19)</f>
        <v>12</v>
      </c>
    </row>
    <row r="20" spans="1:21" s="8" customFormat="1" ht="120">
      <c r="A20" s="63" t="s">
        <v>542</v>
      </c>
      <c r="B20" s="9">
        <v>7503</v>
      </c>
      <c r="C20" s="8" t="s">
        <v>396</v>
      </c>
      <c r="D20" s="8" t="s">
        <v>670</v>
      </c>
      <c r="E20" s="8" t="s">
        <v>643</v>
      </c>
      <c r="F20" s="8" t="s">
        <v>646</v>
      </c>
      <c r="G20" s="8" t="s">
        <v>694</v>
      </c>
      <c r="H20" s="9" t="s">
        <v>709</v>
      </c>
      <c r="I20" s="9" t="str">
        <f>LOOKUP(S20,{1,2,3,4,5},{"Negligible","Marginal","Significant","Critical","Crisis"})</f>
        <v>Significant</v>
      </c>
      <c r="J20" s="9" t="str">
        <f>LOOKUP(T20,'Ranking Lookup'!$A$3:$B$27)</f>
        <v>Moderate</v>
      </c>
      <c r="K20" s="17"/>
      <c r="L20" s="84">
        <v>30</v>
      </c>
      <c r="M20" s="123">
        <v>1</v>
      </c>
      <c r="N20" s="15"/>
      <c r="Q20" s="172">
        <f>LOOKUP(L20,{0,100,500,1000,5000},{1,2,3,4,5})</f>
        <v>1</v>
      </c>
      <c r="R20" s="172">
        <f>LOOKUP(M20,{0,0.5,1,3,6},{1,2,3,4,5})</f>
        <v>3</v>
      </c>
      <c r="S20" s="172">
        <f>MAX(Q20:R20)</f>
        <v>3</v>
      </c>
      <c r="T20" s="172" t="str">
        <f>CONCATENATE(H20,S20)</f>
        <v>U3</v>
      </c>
      <c r="U20" s="172">
        <f>LOOKUP(H20,'Ranking Lookup'!$A$30:$B$34)*(Q20+R20)</f>
        <v>12</v>
      </c>
    </row>
    <row r="21" spans="1:21" s="8" customFormat="1" ht="150">
      <c r="A21" s="63" t="s">
        <v>543</v>
      </c>
      <c r="B21" s="9">
        <v>7503</v>
      </c>
      <c r="C21" s="8" t="s">
        <v>140</v>
      </c>
      <c r="D21" s="17" t="s">
        <v>641</v>
      </c>
      <c r="E21" s="8" t="s">
        <v>643</v>
      </c>
      <c r="F21" s="8" t="s">
        <v>646</v>
      </c>
      <c r="G21" s="8" t="s">
        <v>694</v>
      </c>
      <c r="H21" s="9" t="s">
        <v>709</v>
      </c>
      <c r="I21" s="9" t="str">
        <f>LOOKUP(S21,{1,2,3,4,5},{"Negligible","Marginal","Significant","Critical","Crisis"})</f>
        <v>Negligible</v>
      </c>
      <c r="J21" s="9" t="str">
        <f>LOOKUP(T21,'Ranking Lookup'!$A$3:$B$27)</f>
        <v>Low</v>
      </c>
      <c r="K21" s="8" t="s">
        <v>530</v>
      </c>
      <c r="L21" s="84">
        <v>0</v>
      </c>
      <c r="M21" s="123">
        <v>0.25</v>
      </c>
      <c r="N21" s="15"/>
      <c r="Q21" s="172">
        <f>LOOKUP(L21,{0,100,500,1000,5000},{1,2,3,4,5})</f>
        <v>1</v>
      </c>
      <c r="R21" s="172">
        <f>LOOKUP(M21,{0,0.5,1,3,6},{1,2,3,4,5})</f>
        <v>1</v>
      </c>
      <c r="S21" s="172">
        <f>MAX(Q21:R21)</f>
        <v>1</v>
      </c>
      <c r="T21" s="172" t="str">
        <f>CONCATENATE(H21,S21)</f>
        <v>U1</v>
      </c>
      <c r="U21" s="172">
        <f>LOOKUP(H21,'Ranking Lookup'!$A$30:$B$34)*(Q21+R21)</f>
        <v>6</v>
      </c>
    </row>
    <row r="22" spans="1:21" s="8" customFormat="1" ht="90">
      <c r="A22" s="63" t="s">
        <v>544</v>
      </c>
      <c r="B22" s="9">
        <v>7503</v>
      </c>
      <c r="C22" s="8" t="s">
        <v>578</v>
      </c>
      <c r="D22" s="17" t="s">
        <v>579</v>
      </c>
      <c r="E22" s="8" t="s">
        <v>651</v>
      </c>
      <c r="F22" s="8" t="s">
        <v>646</v>
      </c>
      <c r="G22" s="8" t="s">
        <v>694</v>
      </c>
      <c r="H22" s="9" t="s">
        <v>709</v>
      </c>
      <c r="I22" s="9" t="str">
        <f>LOOKUP(S22,{1,2,3,4,5},{"Negligible","Marginal","Significant","Critical","Crisis"})</f>
        <v>Negligible</v>
      </c>
      <c r="J22" s="9" t="str">
        <f>LOOKUP(T22,'Ranking Lookup'!$A$3:$B$27)</f>
        <v>Low</v>
      </c>
      <c r="K22" s="8" t="s">
        <v>530</v>
      </c>
      <c r="L22" s="84">
        <v>0</v>
      </c>
      <c r="M22" s="123">
        <v>0.25</v>
      </c>
      <c r="N22" s="15"/>
      <c r="Q22" s="172">
        <f>LOOKUP(L22,{0,100,500,1000,5000},{1,2,3,4,5})</f>
        <v>1</v>
      </c>
      <c r="R22" s="172">
        <f>LOOKUP(M22,{0,0.5,1,3,6},{1,2,3,4,5})</f>
        <v>1</v>
      </c>
      <c r="S22" s="172">
        <f>MAX(Q22:R22)</f>
        <v>1</v>
      </c>
      <c r="T22" s="172" t="str">
        <f>CONCATENATE(H22,S22)</f>
        <v>U1</v>
      </c>
      <c r="U22" s="172">
        <f>LOOKUP(H22,'Ranking Lookup'!$A$30:$B$34)*(Q22+R22)</f>
        <v>6</v>
      </c>
    </row>
    <row r="23" spans="1:21" s="8" customFormat="1" ht="180">
      <c r="A23" s="63" t="s">
        <v>540</v>
      </c>
      <c r="B23" s="9">
        <v>7503</v>
      </c>
      <c r="C23" s="8" t="s">
        <v>262</v>
      </c>
      <c r="D23" s="17" t="s">
        <v>664</v>
      </c>
      <c r="E23" s="8" t="s">
        <v>643</v>
      </c>
      <c r="F23" s="8" t="s">
        <v>646</v>
      </c>
      <c r="G23" s="8" t="s">
        <v>694</v>
      </c>
      <c r="H23" s="9" t="s">
        <v>732</v>
      </c>
      <c r="I23" s="9" t="str">
        <f>LOOKUP(S23,{1,2,3,4,5},{"Negligible","Marginal","Significant","Critical","Crisis"})</f>
        <v>Significant</v>
      </c>
      <c r="J23" s="9" t="str">
        <f>LOOKUP(T23,'Ranking Lookup'!$A$3:$B$27)</f>
        <v>Moderate</v>
      </c>
      <c r="K23" s="8" t="s">
        <v>527</v>
      </c>
      <c r="L23" s="84">
        <v>50</v>
      </c>
      <c r="M23" s="123">
        <v>1</v>
      </c>
      <c r="N23" s="15"/>
      <c r="Q23" s="172">
        <f>LOOKUP(L23,{0,100,500,1000,5000},{1,2,3,4,5})</f>
        <v>1</v>
      </c>
      <c r="R23" s="172">
        <f>LOOKUP(M23,{0,0.5,1,3,6},{1,2,3,4,5})</f>
        <v>3</v>
      </c>
      <c r="S23" s="172">
        <f>MAX(Q23:R23)</f>
        <v>3</v>
      </c>
      <c r="T23" s="172" t="str">
        <f>CONCATENATE(H23,S23)</f>
        <v>L3</v>
      </c>
      <c r="U23" s="172">
        <f>LOOKUP(H23,'Ranking Lookup'!$A$30:$B$34)*(Q23+R23)</f>
        <v>16</v>
      </c>
    </row>
    <row r="24" spans="1:21" s="8" customFormat="1" ht="60">
      <c r="A24" s="62" t="s">
        <v>449</v>
      </c>
      <c r="B24" s="9" t="s">
        <v>737</v>
      </c>
      <c r="C24" s="8" t="s">
        <v>137</v>
      </c>
      <c r="D24" s="8" t="s">
        <v>138</v>
      </c>
      <c r="E24" s="8" t="s">
        <v>735</v>
      </c>
      <c r="F24" s="8" t="s">
        <v>108</v>
      </c>
      <c r="G24" s="17" t="s">
        <v>196</v>
      </c>
      <c r="H24" s="9" t="s">
        <v>709</v>
      </c>
      <c r="I24" s="9" t="str">
        <f>LOOKUP(S24,{1,2,3,4,5},{"Negligible","Marginal","Significant","Critical","Crisis"})</f>
        <v>Marginal</v>
      </c>
      <c r="J24" s="9" t="str">
        <f>LOOKUP(T24,'Ranking Lookup'!$A$3:$B$27)</f>
        <v>Low</v>
      </c>
      <c r="K24" s="8" t="s">
        <v>197</v>
      </c>
      <c r="L24" s="84">
        <v>200</v>
      </c>
      <c r="M24" s="123">
        <v>0</v>
      </c>
      <c r="N24" s="15"/>
      <c r="Q24" s="172">
        <f>LOOKUP(L24,{0,100,500,1000,5000},{1,2,3,4,5})</f>
        <v>2</v>
      </c>
      <c r="R24" s="172">
        <f>LOOKUP(M24,{0,0.5,1,3,6},{1,2,3,4,5})</f>
        <v>1</v>
      </c>
      <c r="S24" s="172">
        <f>MAX(Q24:R24)</f>
        <v>2</v>
      </c>
      <c r="T24" s="172" t="str">
        <f>CONCATENATE(H24,S24)</f>
        <v>U2</v>
      </c>
      <c r="U24" s="172">
        <f>LOOKUP(H24,'Ranking Lookup'!$A$30:$B$34)*(Q24+R24)</f>
        <v>9</v>
      </c>
    </row>
    <row r="25" spans="1:21" s="8" customFormat="1" ht="105">
      <c r="A25" s="63" t="s">
        <v>452</v>
      </c>
      <c r="B25" s="9">
        <v>7503</v>
      </c>
      <c r="C25" s="8" t="s">
        <v>599</v>
      </c>
      <c r="D25" s="8" t="s">
        <v>600</v>
      </c>
      <c r="E25" s="8" t="s">
        <v>735</v>
      </c>
      <c r="F25" s="8" t="s">
        <v>108</v>
      </c>
      <c r="G25" s="8" t="s">
        <v>313</v>
      </c>
      <c r="H25" s="9" t="s">
        <v>19</v>
      </c>
      <c r="I25" s="9" t="str">
        <f>LOOKUP(S25,{1,2,3,4,5},{"Negligible","Marginal","Significant","Critical","Crisis"})</f>
        <v>Negligible</v>
      </c>
      <c r="J25" s="9" t="str">
        <f>LOOKUP(T25,'Ranking Lookup'!$A$3:$B$27)</f>
        <v>Low</v>
      </c>
      <c r="K25" s="8" t="s">
        <v>112</v>
      </c>
      <c r="L25" s="85">
        <v>50</v>
      </c>
      <c r="M25" s="124">
        <v>0</v>
      </c>
      <c r="N25" s="15"/>
      <c r="Q25" s="172">
        <f>LOOKUP(L25,{0,100,500,1000,5000},{1,2,3,4,5})</f>
        <v>1</v>
      </c>
      <c r="R25" s="172">
        <f>LOOKUP(M25,{0,0.5,1,3,6},{1,2,3,4,5})</f>
        <v>1</v>
      </c>
      <c r="S25" s="172">
        <f>MAX(Q25:R25)</f>
        <v>1</v>
      </c>
      <c r="T25" s="172" t="str">
        <f>CONCATENATE(H25,S25)</f>
        <v>VU1</v>
      </c>
      <c r="U25" s="172">
        <f>LOOKUP(H25,'Ranking Lookup'!$A$30:$B$34)*(Q25+R25)</f>
        <v>4</v>
      </c>
    </row>
    <row r="26" spans="1:21" s="8" customFormat="1" ht="60">
      <c r="A26" s="63" t="s">
        <v>454</v>
      </c>
      <c r="B26" s="9">
        <v>7503</v>
      </c>
      <c r="C26" s="8" t="s">
        <v>720</v>
      </c>
      <c r="D26" s="17" t="s">
        <v>661</v>
      </c>
      <c r="E26" s="8" t="s">
        <v>735</v>
      </c>
      <c r="F26" s="8" t="s">
        <v>108</v>
      </c>
      <c r="G26" s="8" t="s">
        <v>694</v>
      </c>
      <c r="H26" s="9" t="s">
        <v>284</v>
      </c>
      <c r="I26" s="9" t="str">
        <f>LOOKUP(S26,{1,2,3,4,5},{"Negligible","Marginal","Significant","Critical","Crisis"})</f>
        <v>Negligible</v>
      </c>
      <c r="J26" s="9" t="str">
        <f>LOOKUP(T26,'Ranking Lookup'!$A$3:$B$27)</f>
        <v>Low</v>
      </c>
      <c r="K26" s="8" t="s">
        <v>619</v>
      </c>
      <c r="L26" s="84">
        <v>0</v>
      </c>
      <c r="M26" s="123">
        <v>0.25</v>
      </c>
      <c r="N26" s="15"/>
      <c r="Q26" s="172">
        <f>LOOKUP(L26,{0,100,500,1000,5000},{1,2,3,4,5})</f>
        <v>1</v>
      </c>
      <c r="R26" s="172">
        <f>LOOKUP(M26,{0,0.5,1,3,6},{1,2,3,4,5})</f>
        <v>1</v>
      </c>
      <c r="S26" s="172">
        <f>MAX(Q26:R26)</f>
        <v>1</v>
      </c>
      <c r="T26" s="172" t="str">
        <f>CONCATENATE(H26,S26)</f>
        <v>NC1</v>
      </c>
      <c r="U26" s="172">
        <f>LOOKUP(H26,'Ranking Lookup'!$A$30:$B$34)*(Q26+R26)</f>
        <v>2</v>
      </c>
    </row>
    <row r="27" spans="1:21" s="50" customFormat="1" ht="105">
      <c r="A27" s="68" t="s">
        <v>478</v>
      </c>
      <c r="B27" s="7">
        <v>1550</v>
      </c>
      <c r="C27" s="8" t="s">
        <v>349</v>
      </c>
      <c r="D27" s="8" t="s">
        <v>648</v>
      </c>
      <c r="E27" s="8" t="s">
        <v>60</v>
      </c>
      <c r="F27" s="8" t="s">
        <v>108</v>
      </c>
      <c r="G27" s="8" t="s">
        <v>216</v>
      </c>
      <c r="H27" s="9" t="s">
        <v>652</v>
      </c>
      <c r="I27" s="9" t="str">
        <f>LOOKUP(S27,{1,2,3,4,5},{"Negligible","Marginal","Significant","Critical","Crisis"})</f>
        <v>Marginal</v>
      </c>
      <c r="J27" s="9" t="str">
        <f>LOOKUP(T27,'Ranking Lookup'!$A$3:$B$27)</f>
        <v>Moderate</v>
      </c>
      <c r="K27" s="8" t="s">
        <v>261</v>
      </c>
      <c r="L27" s="84">
        <v>495</v>
      </c>
      <c r="M27" s="123">
        <v>0</v>
      </c>
      <c r="N27" s="15" t="s">
        <v>280</v>
      </c>
      <c r="Q27" s="172">
        <f>LOOKUP(L27,{0,100,500,1000,5000},{1,2,3,4,5})</f>
        <v>2</v>
      </c>
      <c r="R27" s="172">
        <f>LOOKUP(M27,{0,0.5,1,3,6},{1,2,3,4,5})</f>
        <v>1</v>
      </c>
      <c r="S27" s="172">
        <f>MAX(Q27:R27)</f>
        <v>2</v>
      </c>
      <c r="T27" s="172" t="str">
        <f>CONCATENATE(H27,S27)</f>
        <v>VL2</v>
      </c>
      <c r="U27" s="172">
        <f>LOOKUP(H27,'Ranking Lookup'!$A$30:$B$34)*(Q27+R27)</f>
        <v>15</v>
      </c>
    </row>
    <row r="28" spans="1:21" s="50" customFormat="1" ht="60">
      <c r="A28" s="68" t="s">
        <v>480</v>
      </c>
      <c r="B28" s="9" t="s">
        <v>355</v>
      </c>
      <c r="C28" s="8" t="s">
        <v>276</v>
      </c>
      <c r="D28" s="8" t="s">
        <v>277</v>
      </c>
      <c r="E28" s="8" t="s">
        <v>229</v>
      </c>
      <c r="F28" s="8" t="s">
        <v>108</v>
      </c>
      <c r="G28" s="17" t="s">
        <v>585</v>
      </c>
      <c r="H28" s="9" t="s">
        <v>732</v>
      </c>
      <c r="I28" s="9" t="str">
        <f>LOOKUP(S28,{1,2,3,4,5},{"Negligible","Marginal","Significant","Critical","Crisis"})</f>
        <v>Negligible</v>
      </c>
      <c r="J28" s="9" t="str">
        <f>LOOKUP(T28,'Ranking Lookup'!$A$3:$B$27)</f>
        <v>Low</v>
      </c>
      <c r="K28" s="8" t="s">
        <v>230</v>
      </c>
      <c r="L28" s="84">
        <v>95</v>
      </c>
      <c r="M28" s="123">
        <v>0</v>
      </c>
      <c r="N28" s="15"/>
      <c r="Q28" s="172">
        <f>LOOKUP(L28,{0,100,500,1000,5000},{1,2,3,4,5})</f>
        <v>1</v>
      </c>
      <c r="R28" s="172">
        <f>LOOKUP(M28,{0,0.5,1,3,6},{1,2,3,4,5})</f>
        <v>1</v>
      </c>
      <c r="S28" s="172">
        <f>MAX(Q28:R28)</f>
        <v>1</v>
      </c>
      <c r="T28" s="172" t="str">
        <f>CONCATENATE(H28,S28)</f>
        <v>L1</v>
      </c>
      <c r="U28" s="172">
        <f>LOOKUP(H28,'Ranking Lookup'!$A$30:$B$34)*(Q28+R28)</f>
        <v>8</v>
      </c>
    </row>
    <row r="29" spans="1:21" s="50" customFormat="1" ht="60">
      <c r="A29" s="68" t="s">
        <v>483</v>
      </c>
      <c r="B29" s="9" t="s">
        <v>355</v>
      </c>
      <c r="C29" s="8" t="s">
        <v>625</v>
      </c>
      <c r="D29" s="8" t="s">
        <v>374</v>
      </c>
      <c r="E29" s="8" t="s">
        <v>229</v>
      </c>
      <c r="F29" s="8" t="s">
        <v>108</v>
      </c>
      <c r="G29" s="41"/>
      <c r="H29" s="9" t="s">
        <v>709</v>
      </c>
      <c r="I29" s="9" t="str">
        <f>LOOKUP(S29,{1,2,3,4,5},{"Negligible","Marginal","Significant","Critical","Crisis"})</f>
        <v>Negligible</v>
      </c>
      <c r="J29" s="9" t="str">
        <f>LOOKUP(T29,'Ranking Lookup'!$A$3:$B$27)</f>
        <v>Low</v>
      </c>
      <c r="K29" s="8" t="s">
        <v>626</v>
      </c>
      <c r="L29" s="84">
        <v>30</v>
      </c>
      <c r="M29" s="123">
        <v>0</v>
      </c>
      <c r="N29" s="15"/>
      <c r="Q29" s="172">
        <f>LOOKUP(L29,{0,100,500,1000,5000},{1,2,3,4,5})</f>
        <v>1</v>
      </c>
      <c r="R29" s="172">
        <f>LOOKUP(M29,{0,0.5,1,3,6},{1,2,3,4,5})</f>
        <v>1</v>
      </c>
      <c r="S29" s="172">
        <f>MAX(Q29:R29)</f>
        <v>1</v>
      </c>
      <c r="T29" s="172" t="str">
        <f>CONCATENATE(H29,S29)</f>
        <v>U1</v>
      </c>
      <c r="U29" s="172">
        <f>LOOKUP(H29,'Ranking Lookup'!$A$30:$B$34)*(Q29+R29)</f>
        <v>6</v>
      </c>
    </row>
    <row r="30" spans="1:21" s="8" customFormat="1" ht="150">
      <c r="A30" s="59" t="s">
        <v>419</v>
      </c>
      <c r="B30" s="9" t="s">
        <v>141</v>
      </c>
      <c r="C30" s="8" t="s">
        <v>272</v>
      </c>
      <c r="D30" s="17" t="s">
        <v>621</v>
      </c>
      <c r="E30" s="8" t="s">
        <v>75</v>
      </c>
      <c r="F30" s="8" t="s">
        <v>142</v>
      </c>
      <c r="G30" s="17" t="s">
        <v>694</v>
      </c>
      <c r="H30" s="9" t="s">
        <v>732</v>
      </c>
      <c r="I30" s="9" t="s">
        <v>192</v>
      </c>
      <c r="J30" s="9" t="s">
        <v>192</v>
      </c>
      <c r="K30" s="8" t="s">
        <v>507</v>
      </c>
      <c r="L30" s="84">
        <f>-2729*0.33</f>
        <v>-900.57</v>
      </c>
      <c r="M30" s="123">
        <v>-3</v>
      </c>
      <c r="N30" s="15" t="s">
        <v>294</v>
      </c>
      <c r="Q30" s="172" t="e">
        <f>LOOKUP(L30,{0,100,500,1000,5000},{1,2,3,4,5})</f>
        <v>#N/A</v>
      </c>
      <c r="R30" s="172" t="e">
        <f>LOOKUP(M30,{0,0.5,1,3,6},{1,2,3,4,5})</f>
        <v>#N/A</v>
      </c>
      <c r="S30" s="172" t="e">
        <f>MAX(Q30:R30)</f>
        <v>#N/A</v>
      </c>
      <c r="T30" s="172" t="e">
        <f>CONCATENATE(H30,S30)</f>
        <v>#N/A</v>
      </c>
      <c r="U30" s="172" t="e">
        <f>LOOKUP(H30,'Ranking Lookup'!$A$30:$B$34)*(Q30+R30)</f>
        <v>#N/A</v>
      </c>
    </row>
    <row r="31" spans="1:21" s="172" customFormat="1" ht="45">
      <c r="A31" s="59" t="s">
        <v>421</v>
      </c>
      <c r="B31" s="9" t="s">
        <v>557</v>
      </c>
      <c r="C31" s="8" t="s">
        <v>508</v>
      </c>
      <c r="D31" s="8" t="s">
        <v>509</v>
      </c>
      <c r="E31" s="8" t="s">
        <v>2</v>
      </c>
      <c r="F31" s="8" t="s">
        <v>3</v>
      </c>
      <c r="G31" s="8" t="s">
        <v>4</v>
      </c>
      <c r="H31" s="9" t="s">
        <v>709</v>
      </c>
      <c r="I31" s="9" t="str">
        <f>LOOKUP(S31,{1,2,3,4,5},{"Negligible","Marginal","Significant","Critical","Crisis"})</f>
        <v>Marginal</v>
      </c>
      <c r="J31" s="9" t="str">
        <f>LOOKUP(T31,'Ranking Lookup'!$A$3:$B$27)</f>
        <v>Low</v>
      </c>
      <c r="K31" s="8" t="s">
        <v>341</v>
      </c>
      <c r="L31" s="84">
        <v>0</v>
      </c>
      <c r="M31" s="123">
        <v>0.5</v>
      </c>
      <c r="N31" s="15" t="s">
        <v>295</v>
      </c>
      <c r="Q31" s="172">
        <f>LOOKUP(L31,{0,100,500,1000,5000},{1,2,3,4,5})</f>
        <v>1</v>
      </c>
      <c r="R31" s="172">
        <f>LOOKUP(M31,{0,0.5,1,3,6},{1,2,3,4,5})</f>
        <v>2</v>
      </c>
      <c r="S31" s="172">
        <f>MAX(Q31:R31)</f>
        <v>2</v>
      </c>
      <c r="T31" s="172" t="str">
        <f>CONCATENATE(H31,S31)</f>
        <v>U2</v>
      </c>
      <c r="U31" s="172">
        <f>LOOKUP(H31,'Ranking Lookup'!$A$30:$B$34)*(Q31+R31)</f>
        <v>9</v>
      </c>
    </row>
    <row r="32" spans="1:21" s="172" customFormat="1" ht="45">
      <c r="A32" s="61" t="s">
        <v>441</v>
      </c>
      <c r="B32" s="13">
        <v>1810</v>
      </c>
      <c r="C32" s="8" t="s">
        <v>34</v>
      </c>
      <c r="D32" s="8" t="s">
        <v>35</v>
      </c>
      <c r="E32" s="8" t="s">
        <v>213</v>
      </c>
      <c r="F32" s="8" t="s">
        <v>3</v>
      </c>
      <c r="G32" s="8"/>
      <c r="H32" s="9" t="s">
        <v>732</v>
      </c>
      <c r="I32" s="9" t="str">
        <f>LOOKUP(S32,{1,2,3,4,5},{"Negligible","Marginal","Significant","Critical","Crisis"})</f>
        <v>Negligible</v>
      </c>
      <c r="J32" s="9" t="str">
        <f>LOOKUP(T32,'Ranking Lookup'!$A$3:$B$27)</f>
        <v>Low</v>
      </c>
      <c r="K32" s="8" t="s">
        <v>36</v>
      </c>
      <c r="L32" s="84">
        <v>50</v>
      </c>
      <c r="M32" s="123">
        <v>0</v>
      </c>
      <c r="N32" s="15" t="s">
        <v>728</v>
      </c>
      <c r="Q32" s="172">
        <f>LOOKUP(L32,{0,100,500,1000,5000},{1,2,3,4,5})</f>
        <v>1</v>
      </c>
      <c r="R32" s="172">
        <f>LOOKUP(M32,{0,0.5,1,3,6},{1,2,3,4,5})</f>
        <v>1</v>
      </c>
      <c r="S32" s="172">
        <f>MAX(Q32:R32)</f>
        <v>1</v>
      </c>
      <c r="T32" s="172" t="str">
        <f>CONCATENATE(H32,S32)</f>
        <v>L1</v>
      </c>
      <c r="U32" s="172">
        <f>LOOKUP(H32,'Ranking Lookup'!$A$30:$B$34)*(Q32+R32)</f>
        <v>8</v>
      </c>
    </row>
    <row r="33" spans="1:21" s="8" customFormat="1" ht="105">
      <c r="A33" s="66" t="s">
        <v>549</v>
      </c>
      <c r="B33" s="9">
        <v>7503</v>
      </c>
      <c r="C33" s="8" t="s">
        <v>44</v>
      </c>
      <c r="D33" s="17" t="s">
        <v>718</v>
      </c>
      <c r="E33" s="8" t="s">
        <v>57</v>
      </c>
      <c r="F33" s="8" t="s">
        <v>3</v>
      </c>
      <c r="G33" s="8" t="s">
        <v>694</v>
      </c>
      <c r="H33" s="9" t="s">
        <v>19</v>
      </c>
      <c r="I33" s="9" t="str">
        <f>LOOKUP(S33,{1,2,3,4,5},{"Negligible","Marginal","Significant","Critical","Crisis"})</f>
        <v>Significant</v>
      </c>
      <c r="J33" s="9" t="str">
        <f>LOOKUP(T33,'Ranking Lookup'!$A$3:$B$27)</f>
        <v>Low</v>
      </c>
      <c r="K33" s="8" t="s">
        <v>719</v>
      </c>
      <c r="L33" s="84">
        <v>0</v>
      </c>
      <c r="M33" s="123">
        <v>1.5</v>
      </c>
      <c r="N33" s="15"/>
      <c r="Q33" s="172">
        <f>LOOKUP(L33,{0,100,500,1000,5000},{1,2,3,4,5})</f>
        <v>1</v>
      </c>
      <c r="R33" s="172">
        <f>LOOKUP(M33,{0,0.5,1,3,6},{1,2,3,4,5})</f>
        <v>3</v>
      </c>
      <c r="S33" s="172">
        <f>MAX(Q33:R33)</f>
        <v>3</v>
      </c>
      <c r="T33" s="172" t="str">
        <f>CONCATENATE(H33,S33)</f>
        <v>VU3</v>
      </c>
      <c r="U33" s="172">
        <f>LOOKUP(H33,'Ranking Lookup'!$A$30:$B$34)*(Q33+R33)</f>
        <v>8</v>
      </c>
    </row>
    <row r="34" spans="1:21" s="172" customFormat="1" ht="45">
      <c r="A34" s="98" t="s">
        <v>493</v>
      </c>
      <c r="B34" s="13">
        <v>1810</v>
      </c>
      <c r="C34" s="8" t="s">
        <v>37</v>
      </c>
      <c r="D34" s="8" t="s">
        <v>38</v>
      </c>
      <c r="E34" s="8" t="s">
        <v>213</v>
      </c>
      <c r="F34" s="8" t="s">
        <v>3</v>
      </c>
      <c r="G34" s="8"/>
      <c r="H34" s="9" t="s">
        <v>732</v>
      </c>
      <c r="I34" s="9" t="str">
        <f>LOOKUP(S34,{1,2,3,4,5},{"Negligible","Marginal","Significant","Critical","Crisis"})</f>
        <v>Negligible</v>
      </c>
      <c r="J34" s="9" t="str">
        <f>LOOKUP(T34,'Ranking Lookup'!$A$3:$B$27)</f>
        <v>Low</v>
      </c>
      <c r="K34" s="8" t="s">
        <v>36</v>
      </c>
      <c r="L34" s="84">
        <v>50</v>
      </c>
      <c r="M34" s="123">
        <v>0</v>
      </c>
      <c r="N34" s="15" t="s">
        <v>728</v>
      </c>
      <c r="Q34" s="172">
        <f>LOOKUP(L34,{0,100,500,1000,5000},{1,2,3,4,5})</f>
        <v>1</v>
      </c>
      <c r="R34" s="172">
        <f>LOOKUP(M34,{0,0.5,1,3,6},{1,2,3,4,5})</f>
        <v>1</v>
      </c>
      <c r="S34" s="172">
        <f>MAX(Q34:R34)</f>
        <v>1</v>
      </c>
      <c r="T34" s="172" t="str">
        <f>CONCATENATE(H34,S34)</f>
        <v>L1</v>
      </c>
      <c r="U34" s="172">
        <f>LOOKUP(H34,'Ranking Lookup'!$A$30:$B$34)*(Q34+R34)</f>
        <v>8</v>
      </c>
    </row>
    <row r="35" spans="1:21" s="8" customFormat="1" ht="60">
      <c r="A35" s="64" t="s">
        <v>464</v>
      </c>
      <c r="B35" s="9">
        <v>8501</v>
      </c>
      <c r="C35" s="8" t="s">
        <v>677</v>
      </c>
      <c r="D35" s="17" t="s">
        <v>165</v>
      </c>
      <c r="E35" s="8" t="s">
        <v>23</v>
      </c>
      <c r="F35" s="8" t="s">
        <v>166</v>
      </c>
      <c r="G35" s="17" t="s">
        <v>55</v>
      </c>
      <c r="H35" s="9" t="s">
        <v>709</v>
      </c>
      <c r="I35" s="9" t="str">
        <f>LOOKUP(S35,{1,2,3,4,5},{"Negligible","Marginal","Significant","Critical","Crisis"})</f>
        <v>Marginal</v>
      </c>
      <c r="J35" s="9" t="str">
        <f>LOOKUP(T35,'Ranking Lookup'!$A$3:$B$27)</f>
        <v>Low</v>
      </c>
      <c r="K35" s="8" t="s">
        <v>676</v>
      </c>
      <c r="L35" s="84">
        <v>50</v>
      </c>
      <c r="M35" s="123">
        <v>0.5</v>
      </c>
      <c r="N35" s="15"/>
      <c r="Q35" s="172">
        <f>LOOKUP(L35,{0,100,500,1000,5000},{1,2,3,4,5})</f>
        <v>1</v>
      </c>
      <c r="R35" s="172">
        <f>LOOKUP(M35,{0,0.5,1,3,6},{1,2,3,4,5})</f>
        <v>2</v>
      </c>
      <c r="S35" s="172">
        <f>MAX(Q35:R35)</f>
        <v>2</v>
      </c>
      <c r="T35" s="172" t="str">
        <f>CONCATENATE(H35,S35)</f>
        <v>U2</v>
      </c>
      <c r="U35" s="172">
        <f>LOOKUP(H35,'Ranking Lookup'!$A$30:$B$34)*(Q35+R35)</f>
        <v>9</v>
      </c>
    </row>
    <row r="36" spans="1:21" s="8" customFormat="1" ht="90">
      <c r="A36" s="64" t="s">
        <v>466</v>
      </c>
      <c r="B36" s="9">
        <v>8501</v>
      </c>
      <c r="C36" s="8" t="s">
        <v>678</v>
      </c>
      <c r="D36" s="17" t="s">
        <v>165</v>
      </c>
      <c r="E36" s="8" t="s">
        <v>23</v>
      </c>
      <c r="F36" s="8" t="s">
        <v>166</v>
      </c>
      <c r="G36" s="17" t="s">
        <v>675</v>
      </c>
      <c r="H36" s="9" t="s">
        <v>125</v>
      </c>
      <c r="I36" s="9" t="s">
        <v>125</v>
      </c>
      <c r="J36" s="9" t="s">
        <v>125</v>
      </c>
      <c r="K36" s="99" t="s">
        <v>126</v>
      </c>
      <c r="L36" s="94"/>
      <c r="M36" s="126"/>
      <c r="N36" s="15"/>
      <c r="Q36" s="172">
        <f>LOOKUP(L36,{0,100,500,1000,5000},{1,2,3,4,5})</f>
        <v>1</v>
      </c>
      <c r="R36" s="172">
        <f>LOOKUP(M36,{0,0.5,1,3,6},{1,2,3,4,5})</f>
        <v>1</v>
      </c>
      <c r="S36" s="172">
        <f>MAX(Q36:R36)</f>
        <v>1</v>
      </c>
      <c r="T36" s="172" t="str">
        <f>CONCATENATE(H36,S36)</f>
        <v>N/A1</v>
      </c>
      <c r="U36" s="172">
        <f>LOOKUP(H36,'Ranking Lookup'!$A$30:$B$34)*(Q36+R36)</f>
        <v>8</v>
      </c>
    </row>
    <row r="37" spans="1:21" s="8" customFormat="1" ht="60">
      <c r="A37" s="63" t="s">
        <v>538</v>
      </c>
      <c r="B37" s="9">
        <v>7503</v>
      </c>
      <c r="C37" s="8" t="s">
        <v>145</v>
      </c>
      <c r="D37" s="17" t="s">
        <v>146</v>
      </c>
      <c r="E37" s="8" t="s">
        <v>147</v>
      </c>
      <c r="F37" s="8" t="s">
        <v>148</v>
      </c>
      <c r="G37" s="8" t="s">
        <v>694</v>
      </c>
      <c r="H37" s="9" t="s">
        <v>284</v>
      </c>
      <c r="I37" s="9" t="str">
        <f>LOOKUP(S37,{1,2,3,4,5},{"Negligible","Marginal","Significant","Critical","Crisis"})</f>
        <v>Negligible</v>
      </c>
      <c r="J37" s="9" t="str">
        <f>LOOKUP(T37,'Ranking Lookup'!$A$3:$B$27)</f>
        <v>Low</v>
      </c>
      <c r="K37" s="8" t="s">
        <v>526</v>
      </c>
      <c r="L37" s="84">
        <v>0</v>
      </c>
      <c r="M37" s="123">
        <v>0.25</v>
      </c>
      <c r="N37" s="15"/>
      <c r="Q37" s="172">
        <f>LOOKUP(L37,{0,100,500,1000,5000},{1,2,3,4,5})</f>
        <v>1</v>
      </c>
      <c r="R37" s="172">
        <f>LOOKUP(M37,{0,0.5,1,3,6},{1,2,3,4,5})</f>
        <v>1</v>
      </c>
      <c r="S37" s="172">
        <f>MAX(Q37:R37)</f>
        <v>1</v>
      </c>
      <c r="T37" s="172" t="str">
        <f>CONCATENATE(H37,S37)</f>
        <v>NC1</v>
      </c>
      <c r="U37" s="172">
        <f>LOOKUP(H37,'Ranking Lookup'!$A$30:$B$34)*(Q37+R37)</f>
        <v>2</v>
      </c>
    </row>
    <row r="38" spans="1:21" s="50" customFormat="1" ht="90">
      <c r="A38" s="68" t="s">
        <v>476</v>
      </c>
      <c r="B38" s="7">
        <v>1260</v>
      </c>
      <c r="C38" s="8" t="s">
        <v>10</v>
      </c>
      <c r="D38" s="17" t="s">
        <v>721</v>
      </c>
      <c r="E38" s="41"/>
      <c r="F38" s="17" t="s">
        <v>148</v>
      </c>
      <c r="G38" s="97"/>
      <c r="H38" s="9" t="s">
        <v>709</v>
      </c>
      <c r="I38" s="14" t="str">
        <f>LOOKUP(S38,{1,2,3,4,5},{"Negligible","Marginal","Significant","Critical","Crisis"})</f>
        <v>Negligible</v>
      </c>
      <c r="J38" s="10" t="str">
        <f>LOOKUP(T38,'Ranking Lookup'!$A$3:$B$27)</f>
        <v>Low</v>
      </c>
      <c r="K38" s="8" t="s">
        <v>363</v>
      </c>
      <c r="L38" s="93">
        <v>60</v>
      </c>
      <c r="M38" s="127">
        <v>0</v>
      </c>
      <c r="N38" s="15"/>
      <c r="Q38" s="172">
        <f>LOOKUP(L38,{0,100,500,1000,5000},{1,2,3,4,5})</f>
        <v>1</v>
      </c>
      <c r="R38" s="172">
        <f>LOOKUP(M38,{0,0.5,1,3,6},{1,2,3,4,5})</f>
        <v>1</v>
      </c>
      <c r="S38" s="172">
        <f>MAX(Q38:R38)</f>
        <v>1</v>
      </c>
      <c r="T38" s="172" t="str">
        <f>CONCATENATE(H38,S38)</f>
        <v>U1</v>
      </c>
      <c r="U38" s="172">
        <f>LOOKUP(H38,'Ranking Lookup'!$A$30:$B$34)*(Q38+R38)</f>
        <v>6</v>
      </c>
    </row>
    <row r="39" spans="1:21" s="50" customFormat="1" ht="60">
      <c r="A39" s="68" t="s">
        <v>477</v>
      </c>
      <c r="B39" s="7" t="s">
        <v>673</v>
      </c>
      <c r="C39" s="8" t="s">
        <v>202</v>
      </c>
      <c r="D39" s="17" t="s">
        <v>118</v>
      </c>
      <c r="E39" s="41"/>
      <c r="F39" s="17" t="s">
        <v>148</v>
      </c>
      <c r="G39" s="97"/>
      <c r="H39" s="9" t="s">
        <v>732</v>
      </c>
      <c r="I39" s="14" t="str">
        <f>LOOKUP(S39,{1,2,3,4,5},{"Negligible","Marginal","Significant","Critical","Crisis"})</f>
        <v>Negligible</v>
      </c>
      <c r="J39" s="10" t="str">
        <f>LOOKUP(T39,'Ranking Lookup'!$A$3:$B$27)</f>
        <v>Low</v>
      </c>
      <c r="K39" s="8" t="s">
        <v>296</v>
      </c>
      <c r="L39" s="93">
        <v>60</v>
      </c>
      <c r="M39" s="127">
        <v>0</v>
      </c>
      <c r="N39" s="15"/>
      <c r="Q39" s="172">
        <f>LOOKUP(L39,{0,100,500,1000,5000},{1,2,3,4,5})</f>
        <v>1</v>
      </c>
      <c r="R39" s="172">
        <f>LOOKUP(M39,{0,0.5,1,3,6},{1,2,3,4,5})</f>
        <v>1</v>
      </c>
      <c r="S39" s="172">
        <f>MAX(Q39:R39)</f>
        <v>1</v>
      </c>
      <c r="T39" s="172" t="str">
        <f>CONCATENATE(H39,S39)</f>
        <v>L1</v>
      </c>
      <c r="U39" s="172">
        <f>LOOKUP(H39,'Ranking Lookup'!$A$30:$B$34)*(Q39+R39)</f>
        <v>8</v>
      </c>
    </row>
    <row r="40" spans="1:21" s="172" customFormat="1" ht="165">
      <c r="A40" s="69" t="s">
        <v>403</v>
      </c>
      <c r="B40" s="13" t="s">
        <v>79</v>
      </c>
      <c r="C40" s="17" t="s">
        <v>254</v>
      </c>
      <c r="D40" s="8" t="s">
        <v>278</v>
      </c>
      <c r="E40" s="8"/>
      <c r="F40" s="8" t="s">
        <v>714</v>
      </c>
      <c r="G40" s="8" t="s">
        <v>268</v>
      </c>
      <c r="H40" s="9" t="s">
        <v>19</v>
      </c>
      <c r="I40" s="9" t="str">
        <f>LOOKUP(S40,{1,2,3,4,5},{"Negligible","Marginal","Significant","Critical","Crisis"})</f>
        <v>Marginal</v>
      </c>
      <c r="J40" s="9" t="str">
        <f>LOOKUP(T40,'Ranking Lookup'!$A$3:$B$27)</f>
        <v>Low</v>
      </c>
      <c r="K40" s="8" t="s">
        <v>285</v>
      </c>
      <c r="L40" s="84">
        <v>0</v>
      </c>
      <c r="M40" s="123">
        <v>0.5</v>
      </c>
      <c r="N40" s="15"/>
      <c r="O40" s="206" t="s">
        <v>711</v>
      </c>
      <c r="P40" s="7">
        <f>COUNTIF($J$4:$J$118,"Low")</f>
        <v>69</v>
      </c>
      <c r="Q40" s="172">
        <f>LOOKUP(L40,{0,100,500,1000,5000},{1,2,3,4,5})</f>
        <v>1</v>
      </c>
      <c r="R40" s="172">
        <f>LOOKUP(M40,{0,0.5,1,3,6},{1,2,3,4,5})</f>
        <v>2</v>
      </c>
      <c r="S40" s="172">
        <f>MAX(Q40:R40)</f>
        <v>2</v>
      </c>
      <c r="T40" s="172" t="str">
        <f>CONCATENATE(H40,S40)</f>
        <v>VU2</v>
      </c>
      <c r="U40" s="172">
        <f>LOOKUP(H40,'Ranking Lookup'!$A$30:$B$34)*(Q40+R40)</f>
        <v>6</v>
      </c>
    </row>
    <row r="41" spans="1:21" s="172" customFormat="1" ht="120">
      <c r="A41" s="69" t="s">
        <v>409</v>
      </c>
      <c r="B41" s="9" t="s">
        <v>632</v>
      </c>
      <c r="C41" s="17" t="s">
        <v>688</v>
      </c>
      <c r="D41" s="8" t="s">
        <v>635</v>
      </c>
      <c r="E41" s="8"/>
      <c r="F41" s="8" t="s">
        <v>714</v>
      </c>
      <c r="G41" s="8"/>
      <c r="H41" s="9" t="s">
        <v>709</v>
      </c>
      <c r="I41" s="9" t="str">
        <f>LOOKUP(S41,{1,2,3,4,5},{"Negligible","Marginal","Significant","Critical","Crisis"})</f>
        <v>Marginal</v>
      </c>
      <c r="J41" s="9" t="str">
        <f>LOOKUP(T41,'Ranking Lookup'!$A$3:$B$27)</f>
        <v>Low</v>
      </c>
      <c r="K41" s="8" t="s">
        <v>285</v>
      </c>
      <c r="L41" s="84">
        <v>0</v>
      </c>
      <c r="M41" s="123">
        <v>0.5</v>
      </c>
      <c r="N41" s="15"/>
      <c r="O41" s="206" t="s">
        <v>711</v>
      </c>
      <c r="P41" s="7">
        <f>COUNTIF($J$4:$J$117,"Low")</f>
        <v>69</v>
      </c>
      <c r="Q41" s="172">
        <f>LOOKUP(L41,{0,100,500,1000,5000},{1,2,3,4,5})</f>
        <v>1</v>
      </c>
      <c r="R41" s="172">
        <f>LOOKUP(M41,{0,0.5,1,3,6},{1,2,3,4,5})</f>
        <v>2</v>
      </c>
      <c r="S41" s="172">
        <f>MAX(Q41:R41)</f>
        <v>2</v>
      </c>
      <c r="T41" s="172" t="str">
        <f>CONCATENATE(H41,S41)</f>
        <v>U2</v>
      </c>
      <c r="U41" s="172">
        <f>LOOKUP(H41,'Ranking Lookup'!$A$30:$B$34)*(Q41+R41)</f>
        <v>9</v>
      </c>
    </row>
    <row r="42" spans="1:21" s="172" customFormat="1" ht="105">
      <c r="A42" s="69" t="s">
        <v>410</v>
      </c>
      <c r="B42" s="9" t="s">
        <v>636</v>
      </c>
      <c r="C42" s="17" t="s">
        <v>637</v>
      </c>
      <c r="D42" s="8" t="s">
        <v>635</v>
      </c>
      <c r="E42" s="8"/>
      <c r="F42" s="8" t="s">
        <v>714</v>
      </c>
      <c r="G42" s="8"/>
      <c r="H42" s="9" t="s">
        <v>709</v>
      </c>
      <c r="I42" s="9" t="str">
        <f>LOOKUP(S42,{1,2,3,4,5},{"Negligible","Marginal","Significant","Critical","Crisis"})</f>
        <v>Marginal</v>
      </c>
      <c r="J42" s="9" t="str">
        <f>LOOKUP(T42,'Ranking Lookup'!$A$3:$B$27)</f>
        <v>Low</v>
      </c>
      <c r="K42" s="8" t="s">
        <v>285</v>
      </c>
      <c r="L42" s="84">
        <v>0</v>
      </c>
      <c r="M42" s="123">
        <v>0.5</v>
      </c>
      <c r="N42" s="15"/>
      <c r="O42" s="206" t="s">
        <v>711</v>
      </c>
      <c r="P42" s="7">
        <f>COUNTIF($J$4:$J$117,"Low")</f>
        <v>69</v>
      </c>
      <c r="Q42" s="172">
        <f>LOOKUP(L42,{0,100,500,1000,5000},{1,2,3,4,5})</f>
        <v>1</v>
      </c>
      <c r="R42" s="172">
        <f>LOOKUP(M42,{0,0.5,1,3,6},{1,2,3,4,5})</f>
        <v>2</v>
      </c>
      <c r="S42" s="172">
        <f>MAX(Q42:R42)</f>
        <v>2</v>
      </c>
      <c r="T42" s="172" t="str">
        <f>CONCATENATE(H42,S42)</f>
        <v>U2</v>
      </c>
      <c r="U42" s="172">
        <f>LOOKUP(H42,'Ranking Lookup'!$A$30:$B$34)*(Q42+R42)</f>
        <v>9</v>
      </c>
    </row>
    <row r="43" spans="1:21" s="50" customFormat="1" ht="409.5">
      <c r="A43" s="69" t="s">
        <v>404</v>
      </c>
      <c r="B43" s="204" t="s">
        <v>582</v>
      </c>
      <c r="C43" s="8" t="s">
        <v>279</v>
      </c>
      <c r="D43" s="8" t="s">
        <v>325</v>
      </c>
      <c r="E43" s="8" t="s">
        <v>696</v>
      </c>
      <c r="F43" s="8" t="s">
        <v>739</v>
      </c>
      <c r="G43" s="8" t="s">
        <v>377</v>
      </c>
      <c r="H43" s="9" t="s">
        <v>19</v>
      </c>
      <c r="I43" s="9" t="str">
        <f>LOOKUP(S43,{1,2,3,4,5},{"Negligible","Marginal","Significant","Critical","Crisis"})</f>
        <v>Significant</v>
      </c>
      <c r="J43" s="9" t="str">
        <f>LOOKUP(T43,'Ranking Lookup'!$A$3:$B$27)</f>
        <v>Low</v>
      </c>
      <c r="K43" s="8" t="s">
        <v>127</v>
      </c>
      <c r="L43" s="84">
        <v>0</v>
      </c>
      <c r="M43" s="123">
        <v>2</v>
      </c>
      <c r="N43" s="205"/>
      <c r="O43" s="50" t="s">
        <v>192</v>
      </c>
      <c r="P43" s="7">
        <f>COUNTIF($J$4:$J$118,"Opportunity")</f>
        <v>2</v>
      </c>
      <c r="Q43" s="172">
        <f>LOOKUP(L43,{0,100,500,1000,5000},{1,2,3,4,5})</f>
        <v>1</v>
      </c>
      <c r="R43" s="172">
        <f>LOOKUP(M43,{0,0.5,1,3,6},{1,2,3,4,5})</f>
        <v>3</v>
      </c>
      <c r="S43" s="172">
        <f>MAX(Q43:R43)</f>
        <v>3</v>
      </c>
      <c r="T43" s="172" t="str">
        <f>CONCATENATE(H43,S43)</f>
        <v>VU3</v>
      </c>
      <c r="U43" s="172">
        <f>LOOKUP(H43,'Ranking Lookup'!$A$30:$B$34)*(Q43+R43)</f>
        <v>8</v>
      </c>
    </row>
    <row r="44" spans="1:21" s="8" customFormat="1" ht="60">
      <c r="A44" s="69" t="s">
        <v>408</v>
      </c>
      <c r="B44" s="9" t="s">
        <v>252</v>
      </c>
      <c r="C44" s="8" t="s">
        <v>248</v>
      </c>
      <c r="D44" s="17" t="s">
        <v>249</v>
      </c>
      <c r="E44" s="8" t="s">
        <v>84</v>
      </c>
      <c r="F44" s="8" t="s">
        <v>739</v>
      </c>
      <c r="G44" s="17" t="s">
        <v>250</v>
      </c>
      <c r="H44" s="9" t="s">
        <v>19</v>
      </c>
      <c r="I44" s="9" t="str">
        <f>LOOKUP(S44,{1,2,3,4,5},{"Negligible","Marginal","Significant","Critical","Crisis"})</f>
        <v>Marginal</v>
      </c>
      <c r="J44" s="9" t="str">
        <f>LOOKUP(T44,'Ranking Lookup'!$A$3:$B$27)</f>
        <v>Low</v>
      </c>
      <c r="K44" s="17" t="s">
        <v>251</v>
      </c>
      <c r="L44" s="84">
        <v>300</v>
      </c>
      <c r="M44" s="123">
        <v>0</v>
      </c>
      <c r="N44" s="15"/>
      <c r="Q44" s="172">
        <f>LOOKUP(L44,{0,100,500,1000,5000},{1,2,3,4,5})</f>
        <v>2</v>
      </c>
      <c r="R44" s="172">
        <f>LOOKUP(M44,{0,0.5,1,3,6},{1,2,3,4,5})</f>
        <v>1</v>
      </c>
      <c r="S44" s="172">
        <f>MAX(Q44:R44)</f>
        <v>2</v>
      </c>
      <c r="T44" s="172" t="str">
        <f>CONCATENATE(H44,S44)</f>
        <v>VU2</v>
      </c>
      <c r="U44" s="172">
        <f>LOOKUP(H44,'Ranking Lookup'!$A$30:$B$34)*(Q44+R44)</f>
        <v>6</v>
      </c>
    </row>
    <row r="45" spans="1:21" s="8" customFormat="1" ht="75">
      <c r="A45" s="62" t="s">
        <v>443</v>
      </c>
      <c r="B45" s="9">
        <v>1815</v>
      </c>
      <c r="C45" s="17" t="s">
        <v>203</v>
      </c>
      <c r="D45" s="17" t="s">
        <v>211</v>
      </c>
      <c r="E45" s="17" t="s">
        <v>275</v>
      </c>
      <c r="F45" s="17" t="s">
        <v>163</v>
      </c>
      <c r="G45" s="17" t="s">
        <v>134</v>
      </c>
      <c r="H45" s="9" t="s">
        <v>709</v>
      </c>
      <c r="I45" s="9" t="str">
        <f>LOOKUP(S45,{1,2,3,4,5},{"Negligible","Marginal","Significant","Critical","Crisis"})</f>
        <v>Marginal</v>
      </c>
      <c r="J45" s="9" t="str">
        <f>LOOKUP(T45,'Ranking Lookup'!$A$3:$B$27)</f>
        <v>Low</v>
      </c>
      <c r="K45" s="8" t="s">
        <v>397</v>
      </c>
      <c r="L45" s="84">
        <v>0</v>
      </c>
      <c r="M45" s="123">
        <v>0.5</v>
      </c>
      <c r="N45" s="15"/>
      <c r="Q45" s="172">
        <f>LOOKUP(L45,{0,100,500,1000,5000},{1,2,3,4,5})</f>
        <v>1</v>
      </c>
      <c r="R45" s="172">
        <f>LOOKUP(M45,{0,0.5,1,3,6},{1,2,3,4,5})</f>
        <v>2</v>
      </c>
      <c r="S45" s="172">
        <f>MAX(Q45:R45)</f>
        <v>2</v>
      </c>
      <c r="T45" s="172" t="str">
        <f>CONCATENATE(H45,S45)</f>
        <v>U2</v>
      </c>
      <c r="U45" s="172">
        <f>LOOKUP(H45,'Ranking Lookup'!$A$30:$B$34)*(Q45+R45)</f>
        <v>9</v>
      </c>
    </row>
    <row r="46" spans="1:21" s="8" customFormat="1" ht="120">
      <c r="A46" s="62" t="s">
        <v>445</v>
      </c>
      <c r="B46" s="9">
        <v>1815</v>
      </c>
      <c r="C46" s="8" t="s">
        <v>705</v>
      </c>
      <c r="D46" s="17" t="s">
        <v>398</v>
      </c>
      <c r="E46" s="17" t="s">
        <v>724</v>
      </c>
      <c r="F46" s="8" t="s">
        <v>163</v>
      </c>
      <c r="G46" s="8" t="s">
        <v>694</v>
      </c>
      <c r="H46" s="9" t="s">
        <v>709</v>
      </c>
      <c r="I46" s="9" t="str">
        <f>LOOKUP(S46,{1,2,3,4,5},{"Negligible","Marginal","Significant","Critical","Crisis"})</f>
        <v>Marginal</v>
      </c>
      <c r="J46" s="9" t="str">
        <f>LOOKUP(T46,'Ranking Lookup'!$A$3:$B$27)</f>
        <v>Low</v>
      </c>
      <c r="K46" s="17" t="s">
        <v>515</v>
      </c>
      <c r="L46" s="84">
        <v>60</v>
      </c>
      <c r="M46" s="123">
        <v>0.5</v>
      </c>
      <c r="N46" s="15"/>
      <c r="Q46" s="172">
        <f>LOOKUP(L46,{0,100,500,1000,5000},{1,2,3,4,5})</f>
        <v>1</v>
      </c>
      <c r="R46" s="172">
        <f>LOOKUP(M46,{0,0.5,1,3,6},{1,2,3,4,5})</f>
        <v>2</v>
      </c>
      <c r="S46" s="172">
        <f>MAX(Q46:R46)</f>
        <v>2</v>
      </c>
      <c r="T46" s="172" t="str">
        <f>CONCATENATE(H46,S46)</f>
        <v>U2</v>
      </c>
      <c r="U46" s="172">
        <f>LOOKUP(H46,'Ranking Lookup'!$A$30:$B$34)*(Q46+R46)</f>
        <v>9</v>
      </c>
    </row>
    <row r="47" spans="1:21" s="8" customFormat="1" ht="75">
      <c r="A47" s="63" t="s">
        <v>537</v>
      </c>
      <c r="B47" s="9">
        <v>7503</v>
      </c>
      <c r="C47" s="8" t="s">
        <v>246</v>
      </c>
      <c r="D47" s="17" t="s">
        <v>211</v>
      </c>
      <c r="E47" s="8" t="s">
        <v>275</v>
      </c>
      <c r="F47" s="8" t="s">
        <v>163</v>
      </c>
      <c r="G47" s="17" t="s">
        <v>134</v>
      </c>
      <c r="H47" s="9" t="s">
        <v>284</v>
      </c>
      <c r="I47" s="9" t="str">
        <f>LOOKUP(S47,{1,2,3,4,5},{"Negligible","Marginal","Significant","Critical","Crisis"})</f>
        <v>Negligible</v>
      </c>
      <c r="J47" s="9" t="str">
        <f>LOOKUP(T47,'Ranking Lookup'!$A$3:$B$27)</f>
        <v>Low</v>
      </c>
      <c r="K47" s="8" t="s">
        <v>526</v>
      </c>
      <c r="L47" s="84">
        <v>0</v>
      </c>
      <c r="M47" s="123">
        <v>0.25</v>
      </c>
      <c r="N47" s="15"/>
      <c r="Q47" s="172">
        <f>LOOKUP(L47,{0,100,500,1000,5000},{1,2,3,4,5})</f>
        <v>1</v>
      </c>
      <c r="R47" s="172">
        <f>LOOKUP(M47,{0,0.5,1,3,6},{1,2,3,4,5})</f>
        <v>1</v>
      </c>
      <c r="S47" s="172">
        <f>MAX(Q47:R47)</f>
        <v>1</v>
      </c>
      <c r="T47" s="172" t="str">
        <f>CONCATENATE(H47,S47)</f>
        <v>NC1</v>
      </c>
      <c r="U47" s="172">
        <f>LOOKUP(H47,'Ranking Lookup'!$A$30:$B$34)*(Q47+R47)</f>
        <v>2</v>
      </c>
    </row>
    <row r="48" spans="1:21" s="50" customFormat="1" ht="105">
      <c r="A48" s="68" t="s">
        <v>488</v>
      </c>
      <c r="B48" s="9">
        <v>6401</v>
      </c>
      <c r="C48" s="8" t="s">
        <v>309</v>
      </c>
      <c r="D48" s="8" t="s">
        <v>356</v>
      </c>
      <c r="E48" s="8" t="s">
        <v>357</v>
      </c>
      <c r="F48" s="8" t="s">
        <v>163</v>
      </c>
      <c r="G48" s="41"/>
      <c r="H48" s="9" t="s">
        <v>709</v>
      </c>
      <c r="I48" s="9" t="str">
        <f>LOOKUP(S48,{1,2,3,4,5},{"Negligible","Marginal","Significant","Critical","Crisis"})</f>
        <v>Negligible</v>
      </c>
      <c r="J48" s="9" t="str">
        <f>LOOKUP(T48,'Ranking Lookup'!$A$3:$B$27)</f>
        <v>Low</v>
      </c>
      <c r="K48" s="8" t="s">
        <v>358</v>
      </c>
      <c r="L48" s="84">
        <v>60</v>
      </c>
      <c r="M48" s="89"/>
      <c r="N48" s="8"/>
      <c r="Q48" s="172">
        <f>LOOKUP(L48,{0,100,500,1000,5000},{1,2,3,4,5})</f>
        <v>1</v>
      </c>
      <c r="R48" s="172">
        <f>LOOKUP(M48,{0,0.5,1,3,6},{1,2,3,4,5})</f>
        <v>1</v>
      </c>
      <c r="S48" s="172">
        <f>MAX(Q48:R48)</f>
        <v>1</v>
      </c>
      <c r="T48" s="172" t="str">
        <f>CONCATENATE(H48,S48)</f>
        <v>U1</v>
      </c>
      <c r="U48" s="172">
        <f>LOOKUP(H48,'Ranking Lookup'!$A$30:$B$34)*(Q48+R48)</f>
        <v>6</v>
      </c>
    </row>
    <row r="49" spans="1:21" s="50" customFormat="1" ht="90">
      <c r="A49" s="65" t="s">
        <v>471</v>
      </c>
      <c r="B49" s="13" t="s">
        <v>713</v>
      </c>
      <c r="C49" s="8" t="s">
        <v>18</v>
      </c>
      <c r="D49" s="8" t="s">
        <v>611</v>
      </c>
      <c r="E49" s="8" t="s">
        <v>730</v>
      </c>
      <c r="F49" s="8" t="s">
        <v>163</v>
      </c>
      <c r="G49" s="8" t="s">
        <v>226</v>
      </c>
      <c r="H49" s="14" t="s">
        <v>19</v>
      </c>
      <c r="I49" s="14" t="str">
        <f>LOOKUP(S49,{1,2,3,4,5},{"Negligible","Marginal","Significant","Critical","Crisis"})</f>
        <v>Negligible</v>
      </c>
      <c r="J49" s="10" t="str">
        <f>LOOKUP(T49,'Ranking Lookup'!$A$3:$B$27)</f>
        <v>Low</v>
      </c>
      <c r="K49" s="8" t="s">
        <v>21</v>
      </c>
      <c r="L49" s="11">
        <v>35</v>
      </c>
      <c r="M49" s="123">
        <v>0</v>
      </c>
      <c r="N49" s="15"/>
      <c r="Q49" s="172">
        <f>LOOKUP(L49,{0,100,500,1000,5000},{1,2,3,4,5})</f>
        <v>1</v>
      </c>
      <c r="R49" s="172">
        <f>LOOKUP(M49,{0,0.5,1,3,6},{1,2,3,4,5})</f>
        <v>1</v>
      </c>
      <c r="S49" s="172">
        <f>MAX(Q49:R49)</f>
        <v>1</v>
      </c>
      <c r="T49" s="172" t="str">
        <f>CONCATENATE(H49,S49)</f>
        <v>VU1</v>
      </c>
      <c r="U49" s="172">
        <f>LOOKUP(H49,'Ranking Lookup'!$A$30:$B$34)*(Q49+R49)</f>
        <v>4</v>
      </c>
    </row>
    <row r="50" spans="1:21" s="50" customFormat="1" ht="240">
      <c r="A50" s="64" t="s">
        <v>458</v>
      </c>
      <c r="B50" s="9" t="s">
        <v>609</v>
      </c>
      <c r="C50" s="8" t="s">
        <v>610</v>
      </c>
      <c r="D50" s="8" t="s">
        <v>658</v>
      </c>
      <c r="E50" s="8" t="s">
        <v>703</v>
      </c>
      <c r="F50" s="8" t="s">
        <v>208</v>
      </c>
      <c r="G50" s="8" t="s">
        <v>210</v>
      </c>
      <c r="H50" s="9" t="s">
        <v>19</v>
      </c>
      <c r="I50" s="9" t="str">
        <f>LOOKUP(S50,{1,2,3,4,5},{"Negligible","Marginal","Significant","Critical","Crisis"})</f>
        <v>Significant</v>
      </c>
      <c r="J50" s="9" t="str">
        <f>LOOKUP(T50,'Ranking Lookup'!$A$3:$B$27)</f>
        <v>Low</v>
      </c>
      <c r="K50" s="8" t="s">
        <v>288</v>
      </c>
      <c r="L50" s="84">
        <v>150</v>
      </c>
      <c r="M50" s="123">
        <v>2</v>
      </c>
      <c r="N50" s="15"/>
      <c r="Q50" s="172">
        <f>LOOKUP(L50,{0,100,500,1000,5000},{1,2,3,4,5})</f>
        <v>2</v>
      </c>
      <c r="R50" s="172">
        <f>LOOKUP(M50,{0,0.5,1,3,6},{1,2,3,4,5})</f>
        <v>3</v>
      </c>
      <c r="S50" s="172">
        <f>MAX(Q50:R50)</f>
        <v>3</v>
      </c>
      <c r="T50" s="172" t="str">
        <f>CONCATENATE(H50,S50)</f>
        <v>VU3</v>
      </c>
      <c r="U50" s="172">
        <f>LOOKUP(H50,'Ranking Lookup'!$A$30:$B$34)*(Q50+R50)</f>
        <v>10</v>
      </c>
    </row>
    <row r="51" spans="1:21" s="50" customFormat="1" ht="210">
      <c r="A51" s="64" t="s">
        <v>459</v>
      </c>
      <c r="B51" s="9" t="s">
        <v>609</v>
      </c>
      <c r="C51" s="8" t="s">
        <v>659</v>
      </c>
      <c r="D51" s="8" t="s">
        <v>658</v>
      </c>
      <c r="E51" s="8" t="s">
        <v>703</v>
      </c>
      <c r="F51" s="8" t="s">
        <v>208</v>
      </c>
      <c r="G51" s="8" t="s">
        <v>207</v>
      </c>
      <c r="H51" s="9" t="s">
        <v>284</v>
      </c>
      <c r="I51" s="9" t="str">
        <f>LOOKUP(S51,{1,2,3,4,5},{"Negligible","Marginal","Significant","Critical","Crisis"})</f>
        <v>Negligible</v>
      </c>
      <c r="J51" s="9" t="str">
        <f>LOOKUP(T51,'Ranking Lookup'!$A$3:$B$27)</f>
        <v>Low</v>
      </c>
      <c r="K51" s="15" t="s">
        <v>135</v>
      </c>
      <c r="L51" s="208"/>
      <c r="M51" s="125"/>
      <c r="N51" s="15"/>
      <c r="Q51" s="172">
        <f>LOOKUP(L51,{0,100,500,1000,5000},{1,2,3,4,5})</f>
        <v>1</v>
      </c>
      <c r="R51" s="172">
        <f>LOOKUP(M51,{0,0.5,1,3,6},{1,2,3,4,5})</f>
        <v>1</v>
      </c>
      <c r="S51" s="172">
        <f>MAX(Q51:R51)</f>
        <v>1</v>
      </c>
      <c r="T51" s="172" t="str">
        <f>CONCATENATE(H51,S51)</f>
        <v>NC1</v>
      </c>
      <c r="U51" s="172">
        <f>LOOKUP(H51,'Ranking Lookup'!$A$30:$B$34)*(Q51+R51)</f>
        <v>2</v>
      </c>
    </row>
    <row r="52" spans="1:21" s="50" customFormat="1" ht="90">
      <c r="A52" s="68" t="s">
        <v>489</v>
      </c>
      <c r="B52" s="9" t="s">
        <v>39</v>
      </c>
      <c r="C52" s="8" t="s">
        <v>40</v>
      </c>
      <c r="D52" s="143" t="s">
        <v>596</v>
      </c>
      <c r="E52" s="143" t="s">
        <v>597</v>
      </c>
      <c r="F52" s="143" t="s">
        <v>598</v>
      </c>
      <c r="G52" s="17"/>
      <c r="H52" s="9" t="s">
        <v>19</v>
      </c>
      <c r="I52" s="9" t="str">
        <f>LOOKUP(S52,{1,2,3,4,5},{"Negligible","Marginal","Significant","Critical","Crisis"})</f>
        <v>Negligible</v>
      </c>
      <c r="J52" s="9" t="str">
        <f>LOOKUP(T52,'Ranking Lookup'!$A$3:$B$27)</f>
        <v>Low</v>
      </c>
      <c r="K52" s="8"/>
      <c r="L52" s="141"/>
      <c r="M52" s="142"/>
      <c r="N52" s="8"/>
      <c r="Q52" s="172">
        <f>LOOKUP(L52,{0,100,500,1000,5000},{1,2,3,4,5})</f>
        <v>1</v>
      </c>
      <c r="R52" s="172">
        <f>LOOKUP(M52,{0,0.5,1,3,6},{1,2,3,4,5})</f>
        <v>1</v>
      </c>
      <c r="S52" s="172">
        <f>MAX(Q52:R52)</f>
        <v>1</v>
      </c>
      <c r="T52" s="172" t="str">
        <f>CONCATENATE(H52,S52)</f>
        <v>VU1</v>
      </c>
      <c r="U52" s="172">
        <f>LOOKUP(H52,'Ranking Lookup'!$A$30:$B$34)*(Q52+R52)</f>
        <v>4</v>
      </c>
    </row>
    <row r="53" spans="1:27" s="35" customFormat="1" ht="180.75" thickBot="1">
      <c r="A53" s="244" t="s">
        <v>413</v>
      </c>
      <c r="B53" s="245">
        <v>8101</v>
      </c>
      <c r="C53" s="145" t="s">
        <v>339</v>
      </c>
      <c r="D53" s="145" t="s">
        <v>498</v>
      </c>
      <c r="E53" s="145" t="s">
        <v>373</v>
      </c>
      <c r="F53" s="145" t="s">
        <v>644</v>
      </c>
      <c r="G53" s="145" t="s">
        <v>504</v>
      </c>
      <c r="H53" s="146" t="s">
        <v>284</v>
      </c>
      <c r="I53" s="9" t="str">
        <f>LOOKUP(S53,{1,2,3,4,5},{"Negligible","Marginal","Significant","Critical","Crisis"})</f>
        <v>Significant</v>
      </c>
      <c r="J53" s="9" t="str">
        <f>LOOKUP(T53,'Ranking Lookup'!$A$3:$B$27)</f>
        <v>Low</v>
      </c>
      <c r="K53" s="95"/>
      <c r="L53" s="93">
        <v>0</v>
      </c>
      <c r="M53" s="123">
        <v>1</v>
      </c>
      <c r="N53" s="79"/>
      <c r="O53" s="31"/>
      <c r="P53" s="31"/>
      <c r="Q53" s="52">
        <f>LOOKUP(L53,{0,100,500,1000,5000},{1,2,3,4,5})</f>
        <v>1</v>
      </c>
      <c r="R53" s="52">
        <f>LOOKUP(M53,{0,0.5,1,3,6},{1,2,3,4,5})</f>
        <v>3</v>
      </c>
      <c r="S53" s="52">
        <f>MAX(Q53:R53)</f>
        <v>3</v>
      </c>
      <c r="T53" s="52" t="str">
        <f>CONCATENATE(H53,S53)</f>
        <v>NC3</v>
      </c>
      <c r="U53" s="52">
        <f>LOOKUP(H53,'Ranking Lookup'!$A$30:$B$34)*(Q53+R53)</f>
        <v>4</v>
      </c>
      <c r="V53" s="31"/>
      <c r="W53" s="31"/>
      <c r="X53" s="31"/>
      <c r="Y53" s="31"/>
      <c r="Z53" s="31"/>
      <c r="AA53" s="31"/>
    </row>
    <row r="54" spans="1:21" s="8" customFormat="1" ht="60">
      <c r="A54" s="63" t="s">
        <v>541</v>
      </c>
      <c r="B54" s="9">
        <v>7503</v>
      </c>
      <c r="C54" s="8" t="s">
        <v>528</v>
      </c>
      <c r="D54" s="17" t="s">
        <v>243</v>
      </c>
      <c r="E54" s="8" t="s">
        <v>529</v>
      </c>
      <c r="F54" s="8" t="s">
        <v>644</v>
      </c>
      <c r="G54" s="8" t="s">
        <v>694</v>
      </c>
      <c r="H54" s="202" t="s">
        <v>709</v>
      </c>
      <c r="I54" s="9" t="str">
        <f>LOOKUP(S54,{1,2,3,4,5},{"Negligible","Marginal","Significant","Critical","Crisis"})</f>
        <v>Critical</v>
      </c>
      <c r="J54" s="9" t="str">
        <f>LOOKUP(T54,'Ranking Lookup'!$A$3:$B$27)</f>
        <v>Moderate</v>
      </c>
      <c r="K54" s="8" t="s">
        <v>671</v>
      </c>
      <c r="L54" s="84">
        <v>0</v>
      </c>
      <c r="M54" s="123">
        <v>3</v>
      </c>
      <c r="N54" s="15"/>
      <c r="Q54" s="172">
        <f>LOOKUP(L54,{0,100,500,1000,5000},{1,2,3,4,5})</f>
        <v>1</v>
      </c>
      <c r="R54" s="172">
        <f>LOOKUP(M54,{0,0.5,1,3,6},{1,2,3,4,5})</f>
        <v>4</v>
      </c>
      <c r="S54" s="172">
        <f>MAX(Q54:R54)</f>
        <v>4</v>
      </c>
      <c r="T54" s="172" t="str">
        <f>CONCATENATE(H54,S54)</f>
        <v>U4</v>
      </c>
      <c r="U54" s="172">
        <f>LOOKUP(H54,'Ranking Lookup'!$A$30:$B$34)*(Q54+R54)</f>
        <v>15</v>
      </c>
    </row>
    <row r="55" spans="1:21" s="172" customFormat="1" ht="105">
      <c r="A55" s="63" t="s">
        <v>546</v>
      </c>
      <c r="B55" s="9">
        <v>7503</v>
      </c>
      <c r="C55" s="8" t="s">
        <v>617</v>
      </c>
      <c r="D55" s="8" t="s">
        <v>618</v>
      </c>
      <c r="E55" s="8" t="s">
        <v>643</v>
      </c>
      <c r="F55" s="8" t="s">
        <v>644</v>
      </c>
      <c r="G55" s="8" t="s">
        <v>322</v>
      </c>
      <c r="H55" s="9" t="s">
        <v>709</v>
      </c>
      <c r="I55" s="9" t="str">
        <f>LOOKUP(S55,{1,2,3,4,5},{"Negligible","Marginal","Significant","Critical","Crisis"})</f>
        <v>Negligible</v>
      </c>
      <c r="J55" s="9" t="str">
        <f>LOOKUP(T55,'Ranking Lookup'!$A$3:$B$27)</f>
        <v>Low</v>
      </c>
      <c r="K55" s="8" t="s">
        <v>17</v>
      </c>
      <c r="L55" s="84">
        <v>75</v>
      </c>
      <c r="M55" s="123">
        <v>0</v>
      </c>
      <c r="N55" s="15"/>
      <c r="Q55" s="172">
        <f>LOOKUP(L55,{0,100,500,1000,5000},{1,2,3,4,5})</f>
        <v>1</v>
      </c>
      <c r="R55" s="172">
        <f>LOOKUP(M55,{0,0.5,1,3,6},{1,2,3,4,5})</f>
        <v>1</v>
      </c>
      <c r="S55" s="172">
        <f>MAX(Q55:R55)</f>
        <v>1</v>
      </c>
      <c r="T55" s="172" t="str">
        <f>CONCATENATE(H55,S55)</f>
        <v>U1</v>
      </c>
      <c r="U55" s="172">
        <f>LOOKUP(H55,'Ranking Lookup'!$A$30:$B$34)*(Q55+R55)</f>
        <v>6</v>
      </c>
    </row>
    <row r="56" spans="1:21" s="8" customFormat="1" ht="60">
      <c r="A56" s="63" t="s">
        <v>547</v>
      </c>
      <c r="B56" s="9">
        <v>7503</v>
      </c>
      <c r="C56" s="8" t="s">
        <v>240</v>
      </c>
      <c r="D56" s="17" t="s">
        <v>241</v>
      </c>
      <c r="E56" s="8" t="s">
        <v>242</v>
      </c>
      <c r="F56" s="8" t="s">
        <v>644</v>
      </c>
      <c r="G56" s="8" t="s">
        <v>694</v>
      </c>
      <c r="H56" s="9" t="s">
        <v>709</v>
      </c>
      <c r="I56" s="9" t="str">
        <f>LOOKUP(S56,{1,2,3,4,5},{"Negligible","Marginal","Significant","Critical","Crisis"})</f>
        <v>Negligible</v>
      </c>
      <c r="J56" s="9" t="str">
        <f>LOOKUP(T56,'Ranking Lookup'!$A$3:$B$27)</f>
        <v>Low</v>
      </c>
      <c r="K56" s="8" t="s">
        <v>530</v>
      </c>
      <c r="L56" s="84">
        <v>0</v>
      </c>
      <c r="M56" s="123">
        <v>0.25</v>
      </c>
      <c r="N56" s="15"/>
      <c r="Q56" s="172">
        <f>LOOKUP(L56,{0,100,500,1000,5000},{1,2,3,4,5})</f>
        <v>1</v>
      </c>
      <c r="R56" s="172">
        <f>LOOKUP(M56,{0,0.5,1,3,6},{1,2,3,4,5})</f>
        <v>1</v>
      </c>
      <c r="S56" s="172">
        <f>MAX(Q56:R56)</f>
        <v>1</v>
      </c>
      <c r="T56" s="172" t="str">
        <f>CONCATENATE(H56,S56)</f>
        <v>U1</v>
      </c>
      <c r="U56" s="172">
        <f>LOOKUP(H56,'Ranking Lookup'!$A$30:$B$34)*(Q56+R56)</f>
        <v>6</v>
      </c>
    </row>
    <row r="57" spans="1:21" s="8" customFormat="1" ht="105">
      <c r="A57" s="66" t="s">
        <v>548</v>
      </c>
      <c r="B57" s="9">
        <v>7503</v>
      </c>
      <c r="C57" s="8" t="s">
        <v>217</v>
      </c>
      <c r="D57" s="17" t="s">
        <v>518</v>
      </c>
      <c r="F57" s="8" t="s">
        <v>644</v>
      </c>
      <c r="G57" s="8" t="s">
        <v>694</v>
      </c>
      <c r="H57" s="9" t="s">
        <v>19</v>
      </c>
      <c r="I57" s="9" t="str">
        <f>LOOKUP(S57,{1,2,3,4,5},{"Negligible","Marginal","Significant","Critical","Crisis"})</f>
        <v>Critical</v>
      </c>
      <c r="J57" s="9" t="str">
        <f>LOOKUP(T57,'Ranking Lookup'!$A$3:$B$27)</f>
        <v>Moderate</v>
      </c>
      <c r="K57" s="95"/>
      <c r="L57" s="93">
        <v>50</v>
      </c>
      <c r="M57" s="123">
        <v>4</v>
      </c>
      <c r="N57" s="15"/>
      <c r="Q57" s="172">
        <f>LOOKUP(L57,{0,100,500,1000,5000},{1,2,3,4,5})</f>
        <v>1</v>
      </c>
      <c r="R57" s="172">
        <f>LOOKUP(M57,{0,0.5,1,3,6},{1,2,3,4,5})</f>
        <v>4</v>
      </c>
      <c r="S57" s="172">
        <f>MAX(Q57:R57)</f>
        <v>4</v>
      </c>
      <c r="T57" s="172" t="str">
        <f>CONCATENATE(H57,S57)</f>
        <v>VU4</v>
      </c>
      <c r="U57" s="172">
        <f>LOOKUP(H57,'Ranking Lookup'!$A$30:$B$34)*(Q57+R57)</f>
        <v>10</v>
      </c>
    </row>
    <row r="58" spans="1:21" s="172" customFormat="1" ht="165">
      <c r="A58" s="64" t="s">
        <v>460</v>
      </c>
      <c r="B58" s="9">
        <v>8501</v>
      </c>
      <c r="C58" s="8" t="s">
        <v>340</v>
      </c>
      <c r="D58" s="8" t="s">
        <v>43</v>
      </c>
      <c r="E58" s="8"/>
      <c r="F58" s="8" t="s">
        <v>644</v>
      </c>
      <c r="G58" s="8" t="s">
        <v>694</v>
      </c>
      <c r="H58" s="9" t="s">
        <v>284</v>
      </c>
      <c r="I58" s="9" t="str">
        <f>LOOKUP(S58,{1,2,3,4,5},{"Negligible","Marginal","Significant","Critical","Crisis"})</f>
        <v>Negligible</v>
      </c>
      <c r="J58" s="9" t="str">
        <f>LOOKUP(T58,'Ranking Lookup'!$A$3:$B$27)</f>
        <v>Low</v>
      </c>
      <c r="K58" s="15" t="s">
        <v>722</v>
      </c>
      <c r="L58" s="84">
        <v>0</v>
      </c>
      <c r="M58" s="123">
        <v>0.25</v>
      </c>
      <c r="N58" s="15"/>
      <c r="Q58" s="172">
        <f>LOOKUP(L58,{0,100,500,1000,5000},{1,2,3,4,5})</f>
        <v>1</v>
      </c>
      <c r="R58" s="172">
        <f>LOOKUP(M58,{0,0.5,1,3,6},{1,2,3,4,5})</f>
        <v>1</v>
      </c>
      <c r="S58" s="172">
        <f>MAX(Q58:R58)</f>
        <v>1</v>
      </c>
      <c r="T58" s="172" t="str">
        <f>CONCATENATE(H58,S58)</f>
        <v>NC1</v>
      </c>
      <c r="U58" s="172">
        <f>LOOKUP(H58,'Ranking Lookup'!$A$30:$B$34)*(Q58+R58)</f>
        <v>2</v>
      </c>
    </row>
    <row r="59" spans="1:21" s="50" customFormat="1" ht="75">
      <c r="A59" s="98" t="s">
        <v>492</v>
      </c>
      <c r="B59" s="7">
        <v>7503</v>
      </c>
      <c r="C59" s="8" t="s">
        <v>245</v>
      </c>
      <c r="D59" s="17" t="s">
        <v>590</v>
      </c>
      <c r="E59" s="17" t="s">
        <v>177</v>
      </c>
      <c r="F59" s="8" t="s">
        <v>644</v>
      </c>
      <c r="G59" s="17" t="s">
        <v>591</v>
      </c>
      <c r="H59" s="9" t="s">
        <v>19</v>
      </c>
      <c r="I59" s="9" t="str">
        <f>LOOKUP(S59,{1,2,3,4,5},{"Negligible","Marginal","Significant","Critical","Crisis"})</f>
        <v>Marginal</v>
      </c>
      <c r="J59" s="9" t="str">
        <f>LOOKUP(T59,'Ranking Lookup'!$A$3:$B$27)</f>
        <v>Low</v>
      </c>
      <c r="K59" s="17"/>
      <c r="L59" s="140">
        <v>150</v>
      </c>
      <c r="M59" s="123">
        <v>0</v>
      </c>
      <c r="N59" s="15"/>
      <c r="Q59" s="172">
        <f>LOOKUP(L59,{0,100,500,1000,5000},{1,2,3,4,5})</f>
        <v>2</v>
      </c>
      <c r="R59" s="172">
        <f>LOOKUP(M59,{0,0.5,1,3,6},{1,2,3,4,5})</f>
        <v>1</v>
      </c>
      <c r="S59" s="172">
        <f>MAX(Q59:R59)</f>
        <v>2</v>
      </c>
      <c r="T59" s="172" t="str">
        <f>CONCATENATE(H59,S59)</f>
        <v>VU2</v>
      </c>
      <c r="U59" s="172">
        <f>LOOKUP(H59,'Ranking Lookup'!$A$30:$B$34)*(Q59+R59)</f>
        <v>6</v>
      </c>
    </row>
    <row r="60" spans="1:21" s="8" customFormat="1" ht="60">
      <c r="A60" s="59" t="s">
        <v>420</v>
      </c>
      <c r="B60" s="9" t="s">
        <v>141</v>
      </c>
      <c r="C60" s="8" t="s">
        <v>73</v>
      </c>
      <c r="D60" s="17" t="s">
        <v>260</v>
      </c>
      <c r="E60" s="8" t="s">
        <v>685</v>
      </c>
      <c r="F60" s="8" t="s">
        <v>74</v>
      </c>
      <c r="G60" s="8" t="s">
        <v>6</v>
      </c>
      <c r="H60" s="9" t="s">
        <v>732</v>
      </c>
      <c r="I60" s="9" t="str">
        <f>LOOKUP(S60,{1,2,3,4,5},{"Negligible","Marginal","Significant","Critical","Crisis"})</f>
        <v>Significant</v>
      </c>
      <c r="J60" s="9" t="str">
        <f>LOOKUP(T60,'Ranking Lookup'!$A$3:$B$27)</f>
        <v>Moderate</v>
      </c>
      <c r="K60" s="8" t="s">
        <v>7</v>
      </c>
      <c r="L60" s="84">
        <v>0</v>
      </c>
      <c r="M60" s="123">
        <v>1</v>
      </c>
      <c r="N60" s="15" t="s">
        <v>295</v>
      </c>
      <c r="Q60" s="172">
        <f>LOOKUP(L60,{0,100,500,1000,5000},{1,2,3,4,5})</f>
        <v>1</v>
      </c>
      <c r="R60" s="172">
        <f>LOOKUP(M60,{0,0.5,1,3,6},{1,2,3,4,5})</f>
        <v>3</v>
      </c>
      <c r="S60" s="172">
        <f>MAX(Q60:R60)</f>
        <v>3</v>
      </c>
      <c r="T60" s="172" t="str">
        <f>CONCATENATE(H60,S60)</f>
        <v>L3</v>
      </c>
      <c r="U60" s="172">
        <f>LOOKUP(H60,'Ranking Lookup'!$A$30:$B$34)*(Q60+R60)</f>
        <v>16</v>
      </c>
    </row>
    <row r="61" spans="1:21" s="50" customFormat="1" ht="90">
      <c r="A61" s="64" t="s">
        <v>551</v>
      </c>
      <c r="B61" s="7">
        <v>8501</v>
      </c>
      <c r="C61" s="8" t="s">
        <v>247</v>
      </c>
      <c r="D61" s="8" t="s">
        <v>687</v>
      </c>
      <c r="E61" s="8" t="s">
        <v>736</v>
      </c>
      <c r="F61" s="8" t="s">
        <v>154</v>
      </c>
      <c r="G61" s="8" t="s">
        <v>694</v>
      </c>
      <c r="H61" s="9" t="s">
        <v>709</v>
      </c>
      <c r="I61" s="9" t="str">
        <f>LOOKUP(S61,{1,2,3,4,5},{"Negligible","Marginal","Significant","Critical","Crisis"})</f>
        <v>Significant</v>
      </c>
      <c r="J61" s="9" t="str">
        <f>LOOKUP(T61,'Ranking Lookup'!$A$3:$B$27)</f>
        <v>Moderate</v>
      </c>
      <c r="K61" s="8" t="s">
        <v>330</v>
      </c>
      <c r="L61" s="84">
        <v>30</v>
      </c>
      <c r="M61" s="123">
        <v>1</v>
      </c>
      <c r="N61" s="15"/>
      <c r="O61" s="8"/>
      <c r="P61" s="8"/>
      <c r="Q61" s="172">
        <f>LOOKUP(L61,{0,100,500,1000,5000},{1,2,3,4,5})</f>
        <v>1</v>
      </c>
      <c r="R61" s="172">
        <f>LOOKUP(M61,{0,0.5,1,3,6},{1,2,3,4,5})</f>
        <v>3</v>
      </c>
      <c r="S61" s="172">
        <f>MAX(Q61:R61)</f>
        <v>3</v>
      </c>
      <c r="T61" s="172" t="str">
        <f>CONCATENATE(H61,S61)</f>
        <v>U3</v>
      </c>
      <c r="U61" s="172">
        <f>LOOKUP(H61,'Ranking Lookup'!$A$30:$B$34)*(Q61+R61)</f>
        <v>12</v>
      </c>
    </row>
    <row r="62" spans="1:21" s="8" customFormat="1" ht="45">
      <c r="A62" s="64" t="s">
        <v>552</v>
      </c>
      <c r="B62" s="9">
        <v>8501</v>
      </c>
      <c r="C62" s="8" t="s">
        <v>291</v>
      </c>
      <c r="D62" s="17" t="s">
        <v>359</v>
      </c>
      <c r="E62" s="8" t="s">
        <v>726</v>
      </c>
      <c r="F62" s="8" t="s">
        <v>154</v>
      </c>
      <c r="G62" s="9"/>
      <c r="H62" s="9" t="s">
        <v>709</v>
      </c>
      <c r="I62" s="9" t="str">
        <f>LOOKUP(S62,{1,2,3,4,5},{"Negligible","Marginal","Significant","Critical","Crisis"})</f>
        <v>Significant</v>
      </c>
      <c r="J62" s="9" t="str">
        <f>LOOKUP(T62,'Ranking Lookup'!$A$3:$B$27)</f>
        <v>Moderate</v>
      </c>
      <c r="L62" s="84">
        <v>0</v>
      </c>
      <c r="M62" s="123">
        <v>1</v>
      </c>
      <c r="N62" s="15"/>
      <c r="Q62" s="172">
        <f>LOOKUP(L62,{0,100,500,1000,5000},{1,2,3,4,5})</f>
        <v>1</v>
      </c>
      <c r="R62" s="172">
        <f>LOOKUP(M62,{0,0.5,1,3,6},{1,2,3,4,5})</f>
        <v>3</v>
      </c>
      <c r="S62" s="172">
        <f>MAX(Q62:R62)</f>
        <v>3</v>
      </c>
      <c r="T62" s="172" t="str">
        <f>CONCATENATE(H62,S62)</f>
        <v>U3</v>
      </c>
      <c r="U62" s="172">
        <f>LOOKUP(H62,'Ranking Lookup'!$A$30:$B$34)*(Q62+R62)</f>
        <v>12</v>
      </c>
    </row>
    <row r="63" spans="1:21" s="50" customFormat="1" ht="60">
      <c r="A63" s="68" t="s">
        <v>481</v>
      </c>
      <c r="B63" s="9">
        <v>1701</v>
      </c>
      <c r="C63" s="8" t="s">
        <v>231</v>
      </c>
      <c r="D63" s="8" t="s">
        <v>232</v>
      </c>
      <c r="E63" s="8" t="s">
        <v>233</v>
      </c>
      <c r="F63" s="8" t="s">
        <v>154</v>
      </c>
      <c r="G63" s="17" t="s">
        <v>298</v>
      </c>
      <c r="H63" s="9" t="s">
        <v>709</v>
      </c>
      <c r="I63" s="9" t="str">
        <f>LOOKUP(S63,{1,2,3,4,5},{"Negligible","Marginal","Significant","Critical","Crisis"})</f>
        <v>Marginal</v>
      </c>
      <c r="J63" s="9" t="str">
        <f>LOOKUP(T63,'Ranking Lookup'!$A$3:$B$27)</f>
        <v>Low</v>
      </c>
      <c r="K63" s="8" t="s">
        <v>234</v>
      </c>
      <c r="L63" s="84">
        <v>150</v>
      </c>
      <c r="M63" s="123">
        <v>0</v>
      </c>
      <c r="N63" s="15"/>
      <c r="Q63" s="172">
        <f>LOOKUP(L63,{0,100,500,1000,5000},{1,2,3,4,5})</f>
        <v>2</v>
      </c>
      <c r="R63" s="172">
        <f>LOOKUP(M63,{0,0.5,1,3,6},{1,2,3,4,5})</f>
        <v>1</v>
      </c>
      <c r="S63" s="172">
        <f>MAX(Q63:R63)</f>
        <v>2</v>
      </c>
      <c r="T63" s="172" t="str">
        <f>CONCATENATE(H63,S63)</f>
        <v>U2</v>
      </c>
      <c r="U63" s="172">
        <f>LOOKUP(H63,'Ranking Lookup'!$A$30:$B$34)*(Q63+R63)</f>
        <v>9</v>
      </c>
    </row>
    <row r="64" spans="1:21" s="50" customFormat="1" ht="60">
      <c r="A64" s="68" t="s">
        <v>485</v>
      </c>
      <c r="B64" s="9">
        <v>1701</v>
      </c>
      <c r="C64" s="8" t="s">
        <v>231</v>
      </c>
      <c r="D64" s="8" t="s">
        <v>232</v>
      </c>
      <c r="E64" s="8" t="s">
        <v>233</v>
      </c>
      <c r="F64" s="8" t="s">
        <v>154</v>
      </c>
      <c r="G64" s="41"/>
      <c r="H64" s="9" t="s">
        <v>709</v>
      </c>
      <c r="I64" s="9" t="str">
        <f>LOOKUP(S64,{1,2,3,4,5},{"Negligible","Marginal","Significant","Critical","Crisis"})</f>
        <v>Negligible</v>
      </c>
      <c r="J64" s="9" t="str">
        <f>LOOKUP(T64,'Ranking Lookup'!$A$3:$B$27)</f>
        <v>Low</v>
      </c>
      <c r="K64" s="8" t="s">
        <v>234</v>
      </c>
      <c r="L64" s="84"/>
      <c r="M64" s="89"/>
      <c r="N64" s="8"/>
      <c r="Q64" s="172">
        <f>LOOKUP(L64,{0,100,500,1000,5000},{1,2,3,4,5})</f>
        <v>1</v>
      </c>
      <c r="R64" s="172">
        <f>LOOKUP(M64,{0,0.5,1,3,6},{1,2,3,4,5})</f>
        <v>1</v>
      </c>
      <c r="S64" s="172">
        <f>MAX(Q64:R64)</f>
        <v>1</v>
      </c>
      <c r="T64" s="172" t="str">
        <f>CONCATENATE(H64,S64)</f>
        <v>U1</v>
      </c>
      <c r="U64" s="172">
        <f>LOOKUP(H64,'Ranking Lookup'!$A$30:$B$34)*(Q64+R64)</f>
        <v>6</v>
      </c>
    </row>
    <row r="65" spans="1:21" s="50" customFormat="1" ht="45">
      <c r="A65" s="68" t="s">
        <v>486</v>
      </c>
      <c r="B65" s="9">
        <v>1701</v>
      </c>
      <c r="C65" s="8" t="s">
        <v>235</v>
      </c>
      <c r="D65" s="8" t="s">
        <v>236</v>
      </c>
      <c r="E65" s="8" t="s">
        <v>233</v>
      </c>
      <c r="F65" s="8" t="s">
        <v>154</v>
      </c>
      <c r="G65" s="41"/>
      <c r="H65" s="9" t="s">
        <v>732</v>
      </c>
      <c r="I65" s="9" t="str">
        <f>LOOKUP(S65,{1,2,3,4,5},{"Negligible","Marginal","Significant","Critical","Crisis"})</f>
        <v>Negligible</v>
      </c>
      <c r="J65" s="9" t="str">
        <f>LOOKUP(T65,'Ranking Lookup'!$A$3:$B$27)</f>
        <v>Low</v>
      </c>
      <c r="K65" s="8" t="s">
        <v>237</v>
      </c>
      <c r="L65" s="84"/>
      <c r="M65" s="89"/>
      <c r="N65" s="8"/>
      <c r="Q65" s="172">
        <f>LOOKUP(L65,{0,100,500,1000,5000},{1,2,3,4,5})</f>
        <v>1</v>
      </c>
      <c r="R65" s="172">
        <f>LOOKUP(M65,{0,0.5,1,3,6},{1,2,3,4,5})</f>
        <v>1</v>
      </c>
      <c r="S65" s="172">
        <f>MAX(Q65:R65)</f>
        <v>1</v>
      </c>
      <c r="T65" s="172" t="str">
        <f>CONCATENATE(H65,S65)</f>
        <v>L1</v>
      </c>
      <c r="U65" s="172">
        <f>LOOKUP(H65,'Ranking Lookup'!$A$30:$B$34)*(Q65+R65)</f>
        <v>8</v>
      </c>
    </row>
    <row r="66" spans="1:21" s="50" customFormat="1" ht="60">
      <c r="A66" s="68" t="s">
        <v>487</v>
      </c>
      <c r="B66" s="9">
        <v>6201</v>
      </c>
      <c r="C66" s="8" t="s">
        <v>238</v>
      </c>
      <c r="D66" s="8" t="s">
        <v>239</v>
      </c>
      <c r="E66" s="8" t="s">
        <v>233</v>
      </c>
      <c r="F66" s="8" t="s">
        <v>154</v>
      </c>
      <c r="G66" s="41"/>
      <c r="H66" s="9" t="s">
        <v>732</v>
      </c>
      <c r="I66" s="9" t="str">
        <f>LOOKUP(S66,{1,2,3,4,5},{"Negligible","Marginal","Significant","Critical","Crisis"})</f>
        <v>Negligible</v>
      </c>
      <c r="J66" s="9" t="str">
        <f>LOOKUP(T66,'Ranking Lookup'!$A$3:$B$27)</f>
        <v>Low</v>
      </c>
      <c r="K66" s="8" t="s">
        <v>169</v>
      </c>
      <c r="L66" s="84"/>
      <c r="M66" s="89"/>
      <c r="N66" s="8"/>
      <c r="Q66" s="172">
        <f>LOOKUP(L66,{0,100,500,1000,5000},{1,2,3,4,5})</f>
        <v>1</v>
      </c>
      <c r="R66" s="172">
        <f>LOOKUP(M66,{0,0.5,1,3,6},{1,2,3,4,5})</f>
        <v>1</v>
      </c>
      <c r="S66" s="172">
        <f>MAX(Q66:R66)</f>
        <v>1</v>
      </c>
      <c r="T66" s="172" t="str">
        <f>CONCATENATE(H66,S66)</f>
        <v>L1</v>
      </c>
      <c r="U66" s="172">
        <f>LOOKUP(H66,'Ranking Lookup'!$A$30:$B$34)*(Q66+R66)</f>
        <v>8</v>
      </c>
    </row>
    <row r="67" spans="1:21" s="8" customFormat="1" ht="135">
      <c r="A67" s="64" t="s">
        <v>461</v>
      </c>
      <c r="B67" s="9">
        <v>8501</v>
      </c>
      <c r="C67" s="8" t="s">
        <v>77</v>
      </c>
      <c r="D67" s="17" t="s">
        <v>692</v>
      </c>
      <c r="E67" s="8" t="s">
        <v>23</v>
      </c>
      <c r="F67" s="8" t="s">
        <v>155</v>
      </c>
      <c r="G67" s="17" t="s">
        <v>675</v>
      </c>
      <c r="H67" s="9" t="s">
        <v>652</v>
      </c>
      <c r="I67" s="9" t="str">
        <f>LOOKUP(S67,{1,2,3,4,5},{"Negligible","Marginal","Significant","Critical","Crisis"})</f>
        <v>Negligible</v>
      </c>
      <c r="J67" s="9" t="str">
        <f>LOOKUP(T67,'Ranking Lookup'!$A$3:$B$27)</f>
        <v>Low</v>
      </c>
      <c r="K67" s="8" t="s">
        <v>676</v>
      </c>
      <c r="L67" s="84">
        <v>10</v>
      </c>
      <c r="M67" s="123">
        <v>0.25</v>
      </c>
      <c r="N67" s="15"/>
      <c r="Q67" s="172">
        <f>LOOKUP(L67,{0,100,500,1000,5000},{1,2,3,4,5})</f>
        <v>1</v>
      </c>
      <c r="R67" s="172">
        <f>LOOKUP(M67,{0,0.5,1,3,6},{1,2,3,4,5})</f>
        <v>1</v>
      </c>
      <c r="S67" s="172">
        <f>MAX(Q67:R67)</f>
        <v>1</v>
      </c>
      <c r="T67" s="172" t="str">
        <f>CONCATENATE(H67,S67)</f>
        <v>VL1</v>
      </c>
      <c r="U67" s="172">
        <f>LOOKUP(H67,'Ranking Lookup'!$A$30:$B$34)*(Q67+R67)</f>
        <v>10</v>
      </c>
    </row>
    <row r="68" spans="1:21" s="8" customFormat="1" ht="135">
      <c r="A68" s="64" t="s">
        <v>462</v>
      </c>
      <c r="B68" s="9">
        <v>8501</v>
      </c>
      <c r="C68" s="8" t="s">
        <v>27</v>
      </c>
      <c r="D68" s="17" t="s">
        <v>692</v>
      </c>
      <c r="E68" s="8" t="s">
        <v>23</v>
      </c>
      <c r="F68" s="8" t="s">
        <v>155</v>
      </c>
      <c r="G68" s="17" t="s">
        <v>675</v>
      </c>
      <c r="H68" s="9" t="s">
        <v>732</v>
      </c>
      <c r="I68" s="9" t="str">
        <f>LOOKUP(S68,{1,2,3,4,5},{"Negligible","Marginal","Significant","Critical","Crisis"})</f>
        <v>Negligible</v>
      </c>
      <c r="J68" s="9" t="str">
        <f>LOOKUP(T68,'Ranking Lookup'!$A$3:$B$27)</f>
        <v>Low</v>
      </c>
      <c r="K68" s="8" t="s">
        <v>676</v>
      </c>
      <c r="L68" s="84">
        <v>10</v>
      </c>
      <c r="M68" s="123">
        <v>0.25</v>
      </c>
      <c r="N68" s="15"/>
      <c r="Q68" s="172">
        <f>LOOKUP(L68,{0,100,500,1000,5000},{1,2,3,4,5})</f>
        <v>1</v>
      </c>
      <c r="R68" s="172">
        <f>LOOKUP(M68,{0,0.5,1,3,6},{1,2,3,4,5})</f>
        <v>1</v>
      </c>
      <c r="S68" s="172">
        <f>MAX(Q68:R68)</f>
        <v>1</v>
      </c>
      <c r="T68" s="172" t="str">
        <f>CONCATENATE(H68,S68)</f>
        <v>L1</v>
      </c>
      <c r="U68" s="172">
        <f>LOOKUP(H68,'Ranking Lookup'!$A$30:$B$34)*(Q68+R68)</f>
        <v>8</v>
      </c>
    </row>
    <row r="69" spans="1:21" s="8" customFormat="1" ht="45" customHeight="1">
      <c r="A69" s="65" t="s">
        <v>474</v>
      </c>
      <c r="B69" s="9">
        <v>4301</v>
      </c>
      <c r="C69" s="8" t="s">
        <v>26</v>
      </c>
      <c r="D69" s="17" t="s">
        <v>107</v>
      </c>
      <c r="E69" s="8" t="s">
        <v>151</v>
      </c>
      <c r="F69" s="8" t="s">
        <v>155</v>
      </c>
      <c r="G69" s="41"/>
      <c r="H69" s="9" t="s">
        <v>709</v>
      </c>
      <c r="I69" s="9" t="str">
        <f>LOOKUP(S69,{1,2,3,4,5},{"Negligible","Marginal","Significant","Critical","Crisis"})</f>
        <v>Negligible</v>
      </c>
      <c r="J69" s="9" t="str">
        <f>LOOKUP(T69,'Ranking Lookup'!$A$3:$B$27)</f>
        <v>Low</v>
      </c>
      <c r="K69" s="17"/>
      <c r="L69" s="84">
        <v>50</v>
      </c>
      <c r="M69" s="123">
        <v>0</v>
      </c>
      <c r="N69" s="15"/>
      <c r="Q69" s="172">
        <f>LOOKUP(L69,{0,100,500,1000,5000},{1,2,3,4,5})</f>
        <v>1</v>
      </c>
      <c r="R69" s="172">
        <f>LOOKUP(M69,{0,0.5,1,3,6},{1,2,3,4,5})</f>
        <v>1</v>
      </c>
      <c r="S69" s="172">
        <f>MAX(Q69:R69)</f>
        <v>1</v>
      </c>
      <c r="T69" s="172" t="str">
        <f>CONCATENATE(H69,S69)</f>
        <v>U1</v>
      </c>
      <c r="U69" s="172">
        <f>LOOKUP(H69,'Ranking Lookup'!$A$30:$B$34)*(Q69+R69)</f>
        <v>6</v>
      </c>
    </row>
    <row r="70" spans="1:21" s="8" customFormat="1" ht="30">
      <c r="A70" s="65" t="s">
        <v>475</v>
      </c>
      <c r="B70" s="9">
        <v>4401</v>
      </c>
      <c r="C70" s="8" t="s">
        <v>219</v>
      </c>
      <c r="D70" s="17" t="s">
        <v>220</v>
      </c>
      <c r="E70" s="8" t="s">
        <v>151</v>
      </c>
      <c r="F70" s="8" t="s">
        <v>155</v>
      </c>
      <c r="G70" s="41"/>
      <c r="H70" s="9" t="s">
        <v>709</v>
      </c>
      <c r="I70" s="9" t="str">
        <f>LOOKUP(S70,{1,2,3,4,5},{"Negligible","Marginal","Significant","Critical","Crisis"})</f>
        <v>Negligible</v>
      </c>
      <c r="J70" s="10" t="str">
        <f>LOOKUP(T70,'Ranking Lookup'!$A$3:$B$27)</f>
        <v>Low</v>
      </c>
      <c r="K70" s="17"/>
      <c r="L70" s="84">
        <v>35</v>
      </c>
      <c r="M70" s="123">
        <v>0</v>
      </c>
      <c r="N70" s="15"/>
      <c r="Q70" s="172">
        <f>LOOKUP(L70,{0,100,500,1000,5000},{1,2,3,4,5})</f>
        <v>1</v>
      </c>
      <c r="R70" s="172">
        <f>LOOKUP(M70,{0,0.5,1,3,6},{1,2,3,4,5})</f>
        <v>1</v>
      </c>
      <c r="S70" s="172">
        <f>MAX(Q70:R70)</f>
        <v>1</v>
      </c>
      <c r="T70" s="172" t="str">
        <f>CONCATENATE(H70,S70)</f>
        <v>U1</v>
      </c>
      <c r="U70" s="172">
        <f>LOOKUP(H70,'Ranking Lookup'!$A$30:$B$34)*(Q70+R70)</f>
        <v>6</v>
      </c>
    </row>
    <row r="71" spans="1:21" s="8" customFormat="1" ht="75" customHeight="1">
      <c r="A71" s="64" t="s">
        <v>463</v>
      </c>
      <c r="B71" s="9">
        <v>8501</v>
      </c>
      <c r="C71" s="8" t="s">
        <v>28</v>
      </c>
      <c r="D71" s="17" t="s">
        <v>29</v>
      </c>
      <c r="E71" s="8" t="s">
        <v>23</v>
      </c>
      <c r="F71" s="8" t="s">
        <v>30</v>
      </c>
      <c r="G71" s="17" t="s">
        <v>675</v>
      </c>
      <c r="H71" s="9" t="s">
        <v>732</v>
      </c>
      <c r="I71" s="9" t="str">
        <f>LOOKUP(S71,{1,2,3,4,5},{"Negligible","Marginal","Significant","Critical","Crisis"})</f>
        <v>Negligible</v>
      </c>
      <c r="J71" s="9" t="str">
        <f>LOOKUP(T71,'Ranking Lookup'!$A$3:$B$27)</f>
        <v>Low</v>
      </c>
      <c r="K71" s="8" t="s">
        <v>676</v>
      </c>
      <c r="L71" s="84">
        <v>10</v>
      </c>
      <c r="M71" s="123">
        <v>0.25</v>
      </c>
      <c r="N71" s="15"/>
      <c r="Q71" s="172">
        <f>LOOKUP(L71,{0,100,500,1000,5000},{1,2,3,4,5})</f>
        <v>1</v>
      </c>
      <c r="R71" s="172">
        <f>LOOKUP(M71,{0,0.5,1,3,6},{1,2,3,4,5})</f>
        <v>1</v>
      </c>
      <c r="S71" s="172">
        <f>MAX(Q71:R71)</f>
        <v>1</v>
      </c>
      <c r="T71" s="172" t="str">
        <f>CONCATENATE(H71,S71)</f>
        <v>L1</v>
      </c>
      <c r="U71" s="172">
        <f>LOOKUP(H71,'Ranking Lookup'!$A$30:$B$34)*(Q71+R71)</f>
        <v>8</v>
      </c>
    </row>
    <row r="72" spans="1:21" s="172" customFormat="1" ht="135">
      <c r="A72" s="69" t="s">
        <v>407</v>
      </c>
      <c r="B72" s="9" t="s">
        <v>119</v>
      </c>
      <c r="C72" s="8" t="s">
        <v>620</v>
      </c>
      <c r="D72" s="17" t="s">
        <v>212</v>
      </c>
      <c r="E72" s="17" t="s">
        <v>215</v>
      </c>
      <c r="F72" s="17" t="s">
        <v>571</v>
      </c>
      <c r="G72" s="17" t="s">
        <v>301</v>
      </c>
      <c r="H72" s="9" t="s">
        <v>19</v>
      </c>
      <c r="I72" s="9" t="str">
        <f>LOOKUP(S72,{1,2,3,4,5},{"Negligible","Marginal","Significant","Critical","Crisis"})</f>
        <v>Marginal</v>
      </c>
      <c r="J72" s="9" t="str">
        <f>LOOKUP(T72,'Ranking Lookup'!$A$3:$B$27)</f>
        <v>Low</v>
      </c>
      <c r="K72" s="17" t="s">
        <v>689</v>
      </c>
      <c r="L72" s="84">
        <v>0</v>
      </c>
      <c r="M72" s="123">
        <v>0.5</v>
      </c>
      <c r="N72" s="15"/>
      <c r="Q72" s="172">
        <f>LOOKUP(L72,{0,100,500,1000,5000},{1,2,3,4,5})</f>
        <v>1</v>
      </c>
      <c r="R72" s="172">
        <f>LOOKUP(M72,{0,0.5,1,3,6},{1,2,3,4,5})</f>
        <v>2</v>
      </c>
      <c r="S72" s="172">
        <f>MAX(Q72:R72)</f>
        <v>2</v>
      </c>
      <c r="T72" s="172" t="str">
        <f>CONCATENATE(H72,S72)</f>
        <v>VU2</v>
      </c>
      <c r="U72" s="172">
        <f>LOOKUP(H72,'Ranking Lookup'!$A$30:$B$34)*(Q72+R72)</f>
        <v>6</v>
      </c>
    </row>
    <row r="73" spans="1:21" s="8" customFormat="1" ht="75">
      <c r="A73" s="63" t="s">
        <v>539</v>
      </c>
      <c r="B73" s="9">
        <v>7503</v>
      </c>
      <c r="C73" s="8" t="s">
        <v>640</v>
      </c>
      <c r="D73" s="8" t="s">
        <v>395</v>
      </c>
      <c r="E73" s="8" t="s">
        <v>58</v>
      </c>
      <c r="F73" s="8" t="s">
        <v>59</v>
      </c>
      <c r="G73" s="8" t="s">
        <v>314</v>
      </c>
      <c r="H73" s="9" t="s">
        <v>19</v>
      </c>
      <c r="I73" s="9" t="str">
        <f>LOOKUP(S73,{1,2,3,4,5},{"Negligible","Marginal","Significant","Critical","Crisis"})</f>
        <v>Negligible</v>
      </c>
      <c r="J73" s="9" t="str">
        <f>LOOKUP(T73,'Ranking Lookup'!$A$3:$B$27)</f>
        <v>Low</v>
      </c>
      <c r="L73" s="85">
        <v>0</v>
      </c>
      <c r="M73" s="124">
        <v>0</v>
      </c>
      <c r="N73" s="15"/>
      <c r="Q73" s="172">
        <f>LOOKUP(L73,{0,100,500,1000,5000},{1,2,3,4,5})</f>
        <v>1</v>
      </c>
      <c r="R73" s="172">
        <f>LOOKUP(M73,{0,0.5,1,3,6},{1,2,3,4,5})</f>
        <v>1</v>
      </c>
      <c r="S73" s="172">
        <f>MAX(Q73:R73)</f>
        <v>1</v>
      </c>
      <c r="T73" s="172" t="str">
        <f>CONCATENATE(H73,S73)</f>
        <v>VU1</v>
      </c>
      <c r="U73" s="172">
        <f>LOOKUP(H73,'Ranking Lookup'!$A$30:$B$34)*(Q73+R73)</f>
        <v>4</v>
      </c>
    </row>
    <row r="74" spans="1:21" s="8" customFormat="1" ht="90">
      <c r="A74" s="64" t="s">
        <v>467</v>
      </c>
      <c r="B74" s="9">
        <v>3801</v>
      </c>
      <c r="C74" s="8" t="s">
        <v>334</v>
      </c>
      <c r="D74" s="17" t="s">
        <v>218</v>
      </c>
      <c r="E74" s="8" t="s">
        <v>335</v>
      </c>
      <c r="F74" s="8" t="s">
        <v>59</v>
      </c>
      <c r="G74" s="17" t="s">
        <v>222</v>
      </c>
      <c r="H74" s="9" t="s">
        <v>19</v>
      </c>
      <c r="I74" s="9" t="str">
        <f>LOOKUP(S74,{1,2,3,4,5},{"Negligible","Marginal","Significant","Critical","Crisis"})</f>
        <v>Significant</v>
      </c>
      <c r="J74" s="9" t="str">
        <f>LOOKUP(T74,'Ranking Lookup'!$A$3:$B$27)</f>
        <v>Low</v>
      </c>
      <c r="L74" s="84">
        <v>50</v>
      </c>
      <c r="M74" s="123">
        <v>1</v>
      </c>
      <c r="N74" s="15"/>
      <c r="Q74" s="172">
        <f>LOOKUP(L74,{0,100,500,1000,5000},{1,2,3,4,5})</f>
        <v>1</v>
      </c>
      <c r="R74" s="172">
        <f>LOOKUP(M74,{0,0.5,1,3,6},{1,2,3,4,5})</f>
        <v>3</v>
      </c>
      <c r="S74" s="172">
        <f>MAX(Q74:R74)</f>
        <v>3</v>
      </c>
      <c r="T74" s="172" t="str">
        <f>CONCATENATE(H74,S74)</f>
        <v>VU3</v>
      </c>
      <c r="U74" s="172">
        <f>LOOKUP(H74,'Ranking Lookup'!$A$30:$B$34)*(Q74+R74)</f>
        <v>8</v>
      </c>
    </row>
    <row r="75" spans="1:21" s="50" customFormat="1" ht="105">
      <c r="A75" s="68" t="s">
        <v>484</v>
      </c>
      <c r="B75" s="9">
        <v>3801</v>
      </c>
      <c r="C75" s="8" t="s">
        <v>638</v>
      </c>
      <c r="D75" s="8" t="s">
        <v>639</v>
      </c>
      <c r="E75" s="8" t="s">
        <v>693</v>
      </c>
      <c r="F75" s="8" t="s">
        <v>59</v>
      </c>
      <c r="G75" s="41"/>
      <c r="H75" s="9" t="s">
        <v>709</v>
      </c>
      <c r="I75" s="9" t="str">
        <f>LOOKUP(S75,{1,2,3,4,5},{"Negligible","Marginal","Significant","Critical","Crisis"})</f>
        <v>Significant</v>
      </c>
      <c r="J75" s="9" t="str">
        <f>LOOKUP(T75,'Ranking Lookup'!$A$3:$B$27)</f>
        <v>Moderate</v>
      </c>
      <c r="K75" s="8" t="s">
        <v>554</v>
      </c>
      <c r="L75" s="84">
        <v>100</v>
      </c>
      <c r="M75" s="123">
        <v>1</v>
      </c>
      <c r="N75" s="15"/>
      <c r="Q75" s="172">
        <f>LOOKUP(L75,{0,100,500,1000,5000},{1,2,3,4,5})</f>
        <v>2</v>
      </c>
      <c r="R75" s="172">
        <f>LOOKUP(M75,{0,0.5,1,3,6},{1,2,3,4,5})</f>
        <v>3</v>
      </c>
      <c r="S75" s="172">
        <f>MAX(Q75:R75)</f>
        <v>3</v>
      </c>
      <c r="T75" s="172" t="str">
        <f>CONCATENATE(H75,S75)</f>
        <v>U3</v>
      </c>
      <c r="U75" s="172">
        <f>LOOKUP(H75,'Ranking Lookup'!$A$30:$B$34)*(Q75+R75)</f>
        <v>15</v>
      </c>
    </row>
    <row r="76" spans="1:21" s="172" customFormat="1" ht="75">
      <c r="A76" s="69" t="s">
        <v>412</v>
      </c>
      <c r="B76" s="7">
        <v>8101</v>
      </c>
      <c r="C76" s="8" t="s">
        <v>372</v>
      </c>
      <c r="D76" s="8" t="s">
        <v>648</v>
      </c>
      <c r="E76" s="8"/>
      <c r="F76" s="8" t="s">
        <v>0</v>
      </c>
      <c r="G76" s="8" t="s">
        <v>556</v>
      </c>
      <c r="H76" s="9" t="s">
        <v>709</v>
      </c>
      <c r="I76" s="9" t="s">
        <v>192</v>
      </c>
      <c r="J76" s="9" t="s">
        <v>192</v>
      </c>
      <c r="K76" s="8" t="s">
        <v>679</v>
      </c>
      <c r="L76" s="84">
        <v>-1000</v>
      </c>
      <c r="M76" s="123">
        <v>1</v>
      </c>
      <c r="N76" s="15"/>
      <c r="Q76" s="172" t="e">
        <f>LOOKUP(L76,{0,100,500,1000,5000},{1,2,3,4,5})</f>
        <v>#N/A</v>
      </c>
      <c r="R76" s="172">
        <f>LOOKUP(M76,{0,0.5,1,3,6},{1,2,3,4,5})</f>
        <v>3</v>
      </c>
      <c r="S76" s="172" t="e">
        <f>MAX(Q76:R76)</f>
        <v>#N/A</v>
      </c>
      <c r="T76" s="172" t="e">
        <f>CONCATENATE(H76,S76)</f>
        <v>#N/A</v>
      </c>
      <c r="U76" s="172" t="e">
        <f>LOOKUP(H76,'Ranking Lookup'!$A$30:$B$34)*(Q76+R76)</f>
        <v>#N/A</v>
      </c>
    </row>
    <row r="77" spans="1:21" s="50" customFormat="1" ht="45" customHeight="1">
      <c r="A77" s="69" t="s">
        <v>414</v>
      </c>
      <c r="B77" s="7">
        <v>8101</v>
      </c>
      <c r="C77" s="8" t="s">
        <v>505</v>
      </c>
      <c r="D77" s="8" t="s">
        <v>648</v>
      </c>
      <c r="E77" s="8"/>
      <c r="F77" s="8" t="s">
        <v>0</v>
      </c>
      <c r="G77" s="8" t="s">
        <v>194</v>
      </c>
      <c r="H77" s="9" t="s">
        <v>709</v>
      </c>
      <c r="I77" s="9" t="str">
        <f>LOOKUP(S77,{1,2,3,4,5},{"Negligible","Marginal","Significant","Critical","Crisis"})</f>
        <v>Significant</v>
      </c>
      <c r="J77" s="9" t="str">
        <f>LOOKUP(T77,'Ranking Lookup'!$A$3:$B$27)</f>
        <v>Moderate</v>
      </c>
      <c r="K77" s="8" t="s">
        <v>506</v>
      </c>
      <c r="L77" s="84">
        <v>0</v>
      </c>
      <c r="M77" s="123">
        <v>2</v>
      </c>
      <c r="N77" s="15"/>
      <c r="Q77" s="172">
        <f>LOOKUP(L77,{0,100,500,1000,5000},{1,2,3,4,5})</f>
        <v>1</v>
      </c>
      <c r="R77" s="172">
        <f>LOOKUP(M77,{0,0.5,1,3,6},{1,2,3,4,5})</f>
        <v>3</v>
      </c>
      <c r="S77" s="172">
        <f>MAX(Q77:R77)</f>
        <v>3</v>
      </c>
      <c r="T77" s="172" t="str">
        <f>CONCATENATE(H77,S77)</f>
        <v>U3</v>
      </c>
      <c r="U77" s="172">
        <f>LOOKUP(H77,'Ranking Lookup'!$A$30:$B$34)*(Q77+R77)</f>
        <v>12</v>
      </c>
    </row>
    <row r="78" spans="1:21" s="50" customFormat="1" ht="105">
      <c r="A78" s="68" t="s">
        <v>479</v>
      </c>
      <c r="B78" s="9" t="s">
        <v>306</v>
      </c>
      <c r="C78" s="8" t="s">
        <v>350</v>
      </c>
      <c r="D78" s="8" t="s">
        <v>648</v>
      </c>
      <c r="E78" s="8" t="s">
        <v>1</v>
      </c>
      <c r="F78" s="8" t="s">
        <v>0</v>
      </c>
      <c r="G78" s="8" t="s">
        <v>265</v>
      </c>
      <c r="H78" s="9" t="s">
        <v>652</v>
      </c>
      <c r="I78" s="9" t="str">
        <f>LOOKUP(S78,{1,2,3,4,5},{"Negligible","Marginal","Significant","Critical","Crisis"})</f>
        <v>Marginal</v>
      </c>
      <c r="J78" s="9" t="str">
        <f>LOOKUP(T78,'Ranking Lookup'!$A$3:$B$27)</f>
        <v>Moderate</v>
      </c>
      <c r="K78" s="8" t="s">
        <v>281</v>
      </c>
      <c r="L78" s="84">
        <v>225</v>
      </c>
      <c r="M78" s="123">
        <v>0</v>
      </c>
      <c r="N78" s="15" t="s">
        <v>329</v>
      </c>
      <c r="Q78" s="172">
        <f>LOOKUP(L78,{0,100,500,1000,5000},{1,2,3,4,5})</f>
        <v>2</v>
      </c>
      <c r="R78" s="172">
        <f>LOOKUP(M78,{0,0.5,1,3,6},{1,2,3,4,5})</f>
        <v>1</v>
      </c>
      <c r="S78" s="172">
        <f>MAX(Q78:R78)</f>
        <v>2</v>
      </c>
      <c r="T78" s="172" t="str">
        <f>CONCATENATE(H78,S78)</f>
        <v>VL2</v>
      </c>
      <c r="U78" s="172">
        <f>LOOKUP(H78,'Ranking Lookup'!$A$30:$B$34)*(Q78+R78)</f>
        <v>15</v>
      </c>
    </row>
    <row r="79" spans="1:21" s="50" customFormat="1" ht="45">
      <c r="A79" s="60" t="s">
        <v>428</v>
      </c>
      <c r="B79" s="9">
        <v>1810</v>
      </c>
      <c r="C79" s="8" t="s">
        <v>510</v>
      </c>
      <c r="D79" s="17" t="s">
        <v>511</v>
      </c>
      <c r="E79" s="8" t="s">
        <v>696</v>
      </c>
      <c r="F79" s="8" t="s">
        <v>24</v>
      </c>
      <c r="G79" s="8" t="s">
        <v>694</v>
      </c>
      <c r="H79" s="7" t="s">
        <v>709</v>
      </c>
      <c r="I79" s="9" t="str">
        <f>LOOKUP(S79,{1,2,3,4,5},{"Negligible","Marginal","Significant","Critical","Crisis"})</f>
        <v>Marginal</v>
      </c>
      <c r="J79" s="9" t="str">
        <f>LOOKUP(T79,'Ranking Lookup'!$A$3:$B$27)</f>
        <v>Low</v>
      </c>
      <c r="K79" s="17" t="s">
        <v>522</v>
      </c>
      <c r="L79" s="84">
        <v>0</v>
      </c>
      <c r="M79" s="123">
        <v>0.5</v>
      </c>
      <c r="N79" s="15"/>
      <c r="Q79" s="172">
        <f>LOOKUP(L79,{0,100,500,1000,5000},{1,2,3,4,5})</f>
        <v>1</v>
      </c>
      <c r="R79" s="172">
        <f>LOOKUP(M79,{0,0.5,1,3,6},{1,2,3,4,5})</f>
        <v>2</v>
      </c>
      <c r="S79" s="172">
        <f>MAX(Q79:R79)</f>
        <v>2</v>
      </c>
      <c r="T79" s="172" t="str">
        <f>CONCATENATE(H79,S79)</f>
        <v>U2</v>
      </c>
      <c r="U79" s="172">
        <f>LOOKUP(H79,'Ranking Lookup'!$A$30:$B$34)*(Q79+R79)</f>
        <v>9</v>
      </c>
    </row>
    <row r="80" spans="1:21" s="50" customFormat="1" ht="60">
      <c r="A80" s="60" t="s">
        <v>429</v>
      </c>
      <c r="B80" s="9">
        <v>1810</v>
      </c>
      <c r="C80" s="8" t="s">
        <v>512</v>
      </c>
      <c r="D80" s="17" t="s">
        <v>513</v>
      </c>
      <c r="E80" s="8" t="s">
        <v>696</v>
      </c>
      <c r="F80" s="8" t="s">
        <v>24</v>
      </c>
      <c r="G80" s="8" t="s">
        <v>694</v>
      </c>
      <c r="H80" s="7" t="s">
        <v>709</v>
      </c>
      <c r="I80" s="9" t="str">
        <f>LOOKUP(S80,{1,2,3,4,5},{"Negligible","Marginal","Significant","Critical","Crisis"})</f>
        <v>Significant</v>
      </c>
      <c r="J80" s="9" t="str">
        <f>LOOKUP(T80,'Ranking Lookup'!$A$3:$B$27)</f>
        <v>Moderate</v>
      </c>
      <c r="K80" s="17" t="s">
        <v>523</v>
      </c>
      <c r="L80" s="84">
        <v>0</v>
      </c>
      <c r="M80" s="123">
        <v>1</v>
      </c>
      <c r="N80" s="15"/>
      <c r="Q80" s="172">
        <f>LOOKUP(L80,{0,100,500,1000,5000},{1,2,3,4,5})</f>
        <v>1</v>
      </c>
      <c r="R80" s="172">
        <f>LOOKUP(M80,{0,0.5,1,3,6},{1,2,3,4,5})</f>
        <v>3</v>
      </c>
      <c r="S80" s="172">
        <f>MAX(Q80:R80)</f>
        <v>3</v>
      </c>
      <c r="T80" s="172" t="str">
        <f>CONCATENATE(H80,S80)</f>
        <v>U3</v>
      </c>
      <c r="U80" s="172">
        <f>LOOKUP(H80,'Ranking Lookup'!$A$30:$B$34)*(Q80+R80)</f>
        <v>12</v>
      </c>
    </row>
    <row r="81" spans="1:21" s="172" customFormat="1" ht="120">
      <c r="A81" s="60" t="s">
        <v>430</v>
      </c>
      <c r="B81" s="13">
        <v>1810</v>
      </c>
      <c r="C81" s="8" t="s">
        <v>503</v>
      </c>
      <c r="D81" s="8" t="s">
        <v>321</v>
      </c>
      <c r="E81" s="8" t="s">
        <v>738</v>
      </c>
      <c r="F81" s="8" t="s">
        <v>24</v>
      </c>
      <c r="G81" s="8" t="s">
        <v>303</v>
      </c>
      <c r="H81" s="9" t="s">
        <v>732</v>
      </c>
      <c r="I81" s="9" t="str">
        <f>LOOKUP(S81,{1,2,3,4,5},{"Negligible","Marginal","Significant","Critical","Crisis"})</f>
        <v>Negligible</v>
      </c>
      <c r="J81" s="9" t="str">
        <f>LOOKUP(T81,'Ranking Lookup'!$A$3:$B$27)</f>
        <v>Low</v>
      </c>
      <c r="K81" s="8" t="s">
        <v>633</v>
      </c>
      <c r="L81" s="84">
        <v>50</v>
      </c>
      <c r="M81" s="123">
        <v>0</v>
      </c>
      <c r="N81" s="15"/>
      <c r="Q81" s="172">
        <f>LOOKUP(L81,{0,100,500,1000,5000},{1,2,3,4,5})</f>
        <v>1</v>
      </c>
      <c r="R81" s="172">
        <f>LOOKUP(M81,{0,0.5,1,3,6},{1,2,3,4,5})</f>
        <v>1</v>
      </c>
      <c r="S81" s="172">
        <f>MAX(Q81:R81)</f>
        <v>1</v>
      </c>
      <c r="T81" s="172" t="str">
        <f>CONCATENATE(H81,S81)</f>
        <v>L1</v>
      </c>
      <c r="U81" s="172">
        <f>LOOKUP(H81,'Ranking Lookup'!$A$30:$B$34)*(Q81+R81)</f>
        <v>8</v>
      </c>
    </row>
    <row r="82" spans="1:21" s="172" customFormat="1" ht="90">
      <c r="A82" s="60" t="s">
        <v>431</v>
      </c>
      <c r="B82" s="13">
        <v>1810</v>
      </c>
      <c r="C82" s="8" t="s">
        <v>593</v>
      </c>
      <c r="D82" s="8" t="s">
        <v>594</v>
      </c>
      <c r="E82" s="8" t="s">
        <v>738</v>
      </c>
      <c r="F82" s="8" t="s">
        <v>24</v>
      </c>
      <c r="G82" s="8" t="s">
        <v>694</v>
      </c>
      <c r="H82" s="9" t="s">
        <v>125</v>
      </c>
      <c r="I82" s="9" t="str">
        <f>LOOKUP(S82,{1,2,3,4,5},{"Negligible","Marginal","Significant","Critical","Crisis"})</f>
        <v>Negligible</v>
      </c>
      <c r="J82" s="9" t="s">
        <v>125</v>
      </c>
      <c r="K82" s="99" t="s">
        <v>126</v>
      </c>
      <c r="L82" s="152"/>
      <c r="M82" s="125"/>
      <c r="N82" s="15"/>
      <c r="Q82" s="172">
        <f>LOOKUP(L82,{0,100,500,1000,5000},{1,2,3,4,5})</f>
        <v>1</v>
      </c>
      <c r="R82" s="172">
        <f>LOOKUP(M82,{0,0.5,1,3,6},{1,2,3,4,5})</f>
        <v>1</v>
      </c>
      <c r="S82" s="172">
        <f>MAX(Q82:R82)</f>
        <v>1</v>
      </c>
      <c r="T82" s="172" t="str">
        <f>CONCATENATE(H82,S82)</f>
        <v>N/A1</v>
      </c>
      <c r="U82" s="172">
        <f>LOOKUP(H82,'Ranking Lookup'!$A$30:$B$34)*(Q82+R82)</f>
        <v>8</v>
      </c>
    </row>
    <row r="83" spans="1:21" s="8" customFormat="1" ht="150">
      <c r="A83" s="60" t="s">
        <v>432</v>
      </c>
      <c r="B83" s="9" t="s">
        <v>582</v>
      </c>
      <c r="C83" s="8" t="s">
        <v>629</v>
      </c>
      <c r="D83" s="8" t="s">
        <v>630</v>
      </c>
      <c r="F83" s="8" t="s">
        <v>24</v>
      </c>
      <c r="G83" s="41"/>
      <c r="H83" s="9" t="s">
        <v>19</v>
      </c>
      <c r="I83" s="9" t="str">
        <f>LOOKUP(S83,{1,2,3,4,5},{"Negligible","Marginal","Significant","Critical","Crisis"})</f>
        <v>Negligible</v>
      </c>
      <c r="J83" s="9" t="str">
        <f>LOOKUP(T83,'Ranking Lookup'!$A$3:$B$27)</f>
        <v>Low</v>
      </c>
      <c r="K83" s="17" t="s">
        <v>631</v>
      </c>
      <c r="L83" s="84">
        <v>30</v>
      </c>
      <c r="M83" s="123">
        <v>0</v>
      </c>
      <c r="N83" s="15"/>
      <c r="Q83" s="172">
        <f>LOOKUP(L83,{0,100,500,1000,5000},{1,2,3,4,5})</f>
        <v>1</v>
      </c>
      <c r="R83" s="172">
        <f>LOOKUP(M83,{0,0.5,1,3,6},{1,2,3,4,5})</f>
        <v>1</v>
      </c>
      <c r="S83" s="172">
        <f>MAX(Q83:R83)</f>
        <v>1</v>
      </c>
      <c r="T83" s="172" t="str">
        <f>CONCATENATE(H83,S83)</f>
        <v>VU1</v>
      </c>
      <c r="U83" s="172">
        <f>LOOKUP(H83,'Ranking Lookup'!$A$30:$B$34)*(Q83+R83)</f>
        <v>4</v>
      </c>
    </row>
    <row r="84" spans="1:21" s="172" customFormat="1" ht="180">
      <c r="A84" s="60" t="s">
        <v>424</v>
      </c>
      <c r="B84" s="13" t="s">
        <v>128</v>
      </c>
      <c r="C84" s="8" t="s">
        <v>304</v>
      </c>
      <c r="D84" s="8" t="s">
        <v>364</v>
      </c>
      <c r="E84" s="8" t="s">
        <v>696</v>
      </c>
      <c r="F84" s="8" t="s">
        <v>24</v>
      </c>
      <c r="G84" s="8" t="s">
        <v>209</v>
      </c>
      <c r="H84" s="96" t="s">
        <v>709</v>
      </c>
      <c r="I84" s="9" t="str">
        <f>LOOKUP(S84,{1,2,3,4,5},{"Negligible","Marginal","Significant","Critical","Crisis"})</f>
        <v>Significant</v>
      </c>
      <c r="J84" s="9" t="str">
        <f>LOOKUP(T84,'Ranking Lookup'!$A$3:$B$27)</f>
        <v>Moderate</v>
      </c>
      <c r="K84" s="8" t="s">
        <v>117</v>
      </c>
      <c r="L84" s="84">
        <v>135</v>
      </c>
      <c r="M84" s="123">
        <v>1</v>
      </c>
      <c r="N84" s="15" t="s">
        <v>305</v>
      </c>
      <c r="Q84" s="172">
        <f>LOOKUP(L84,{0,100,500,1000,5000},{1,2,3,4,5})</f>
        <v>2</v>
      </c>
      <c r="R84" s="172">
        <f>LOOKUP(M84,{0,0.5,1,3,6},{1,2,3,4,5})</f>
        <v>3</v>
      </c>
      <c r="S84" s="172">
        <f>MAX(Q84:R84)</f>
        <v>3</v>
      </c>
      <c r="T84" s="172" t="str">
        <f>CONCATENATE(H84,S84)</f>
        <v>U3</v>
      </c>
      <c r="U84" s="172">
        <f>LOOKUP(H84,'Ranking Lookup'!$A$30:$B$34)*(Q84+R84)</f>
        <v>15</v>
      </c>
    </row>
    <row r="85" spans="1:21" s="8" customFormat="1" ht="135">
      <c r="A85" s="60" t="s">
        <v>425</v>
      </c>
      <c r="B85" s="9">
        <v>1810</v>
      </c>
      <c r="C85" s="8" t="s">
        <v>136</v>
      </c>
      <c r="D85" s="17" t="s">
        <v>364</v>
      </c>
      <c r="E85" s="8" t="s">
        <v>696</v>
      </c>
      <c r="F85" s="8" t="s">
        <v>24</v>
      </c>
      <c r="G85" s="17" t="s">
        <v>32</v>
      </c>
      <c r="H85" s="96" t="s">
        <v>19</v>
      </c>
      <c r="I85" s="9" t="str">
        <f>LOOKUP(S85,{1,2,3,4,5},{"Negligible","Marginal","Significant","Critical","Crisis"})</f>
        <v>Critical</v>
      </c>
      <c r="J85" s="9" t="str">
        <f>LOOKUP(T85,'Ranking Lookup'!$A$3:$B$27)</f>
        <v>Moderate</v>
      </c>
      <c r="K85" s="17" t="s">
        <v>282</v>
      </c>
      <c r="L85" s="84">
        <v>150</v>
      </c>
      <c r="M85" s="123">
        <v>3</v>
      </c>
      <c r="N85" s="15"/>
      <c r="Q85" s="172">
        <f>LOOKUP(L85,{0,100,500,1000,5000},{1,2,3,4,5})</f>
        <v>2</v>
      </c>
      <c r="R85" s="172">
        <f>LOOKUP(M85,{0,0.5,1,3,6},{1,2,3,4,5})</f>
        <v>4</v>
      </c>
      <c r="S85" s="172">
        <f>MAX(Q85:R85)</f>
        <v>4</v>
      </c>
      <c r="T85" s="172" t="str">
        <f>CONCATENATE(H85,S85)</f>
        <v>VU4</v>
      </c>
      <c r="U85" s="172">
        <f>LOOKUP(H85,'Ranking Lookup'!$A$30:$B$34)*(Q85+R85)</f>
        <v>12</v>
      </c>
    </row>
    <row r="86" spans="1:21" s="50" customFormat="1" ht="30">
      <c r="A86" s="60" t="s">
        <v>434</v>
      </c>
      <c r="B86" s="9">
        <v>1810</v>
      </c>
      <c r="C86" s="8" t="s">
        <v>563</v>
      </c>
      <c r="D86" s="8" t="s">
        <v>399</v>
      </c>
      <c r="E86" s="8" t="s">
        <v>696</v>
      </c>
      <c r="F86" s="8" t="s">
        <v>24</v>
      </c>
      <c r="G86" s="8" t="s">
        <v>694</v>
      </c>
      <c r="H86" s="14" t="s">
        <v>284</v>
      </c>
      <c r="I86" s="14" t="str">
        <f>LOOKUP(S86,{1,2,3,4,5},{"Negligible","Marginal","Significant","Critical","Crisis"})</f>
        <v>Negligible</v>
      </c>
      <c r="J86" s="10" t="str">
        <f>LOOKUP(T86,'Ranking Lookup'!$A$3:$B$27)</f>
        <v>Low</v>
      </c>
      <c r="K86" s="8"/>
      <c r="L86" s="11">
        <v>0</v>
      </c>
      <c r="M86" s="123">
        <v>0.25</v>
      </c>
      <c r="N86" s="172"/>
      <c r="Q86" s="172">
        <f>LOOKUP(L86,{0,100,500,1000,5000},{1,2,3,4,5})</f>
        <v>1</v>
      </c>
      <c r="R86" s="172">
        <f>LOOKUP(M86,{0,0.5,1,3,6},{1,2,3,4,5})</f>
        <v>1</v>
      </c>
      <c r="S86" s="172">
        <f>MAX(Q86:R86)</f>
        <v>1</v>
      </c>
      <c r="T86" s="172" t="str">
        <f>CONCATENATE(H86,S86)</f>
        <v>NC1</v>
      </c>
      <c r="U86" s="172">
        <f>LOOKUP(H86,'Ranking Lookup'!$A$30:$B$34)*(Q86+R86)</f>
        <v>2</v>
      </c>
    </row>
    <row r="87" spans="1:21" s="50" customFormat="1" ht="60">
      <c r="A87" s="60" t="s">
        <v>426</v>
      </c>
      <c r="B87" s="9">
        <v>1810</v>
      </c>
      <c r="C87" s="8" t="s">
        <v>382</v>
      </c>
      <c r="D87" s="17" t="s">
        <v>383</v>
      </c>
      <c r="E87" s="8" t="s">
        <v>696</v>
      </c>
      <c r="F87" s="8" t="s">
        <v>24</v>
      </c>
      <c r="G87" s="17" t="s">
        <v>564</v>
      </c>
      <c r="H87" s="7" t="s">
        <v>709</v>
      </c>
      <c r="I87" s="9" t="str">
        <f>LOOKUP(S87,{1,2,3,4,5},{"Negligible","Marginal","Significant","Critical","Crisis"})</f>
        <v>Significant</v>
      </c>
      <c r="J87" s="9" t="str">
        <f>LOOKUP(T87,'Ranking Lookup'!$A$3:$B$27)</f>
        <v>Moderate</v>
      </c>
      <c r="K87" s="17" t="s">
        <v>565</v>
      </c>
      <c r="L87" s="84">
        <v>0</v>
      </c>
      <c r="M87" s="123">
        <v>1</v>
      </c>
      <c r="N87" s="15"/>
      <c r="Q87" s="172">
        <f>LOOKUP(L87,{0,100,500,1000,5000},{1,2,3,4,5})</f>
        <v>1</v>
      </c>
      <c r="R87" s="172">
        <f>LOOKUP(M87,{0,0.5,1,3,6},{1,2,3,4,5})</f>
        <v>3</v>
      </c>
      <c r="S87" s="172">
        <f>MAX(Q87:R87)</f>
        <v>3</v>
      </c>
      <c r="T87" s="172" t="str">
        <f>CONCATENATE(H87,S87)</f>
        <v>U3</v>
      </c>
      <c r="U87" s="172">
        <f>LOOKUP(H87,'Ranking Lookup'!$A$30:$B$34)*(Q87+R87)</f>
        <v>12</v>
      </c>
    </row>
    <row r="88" spans="1:21" s="8" customFormat="1" ht="120">
      <c r="A88" s="60" t="s">
        <v>427</v>
      </c>
      <c r="B88" s="9">
        <v>1810</v>
      </c>
      <c r="C88" s="8" t="s">
        <v>133</v>
      </c>
      <c r="D88" s="8" t="s">
        <v>286</v>
      </c>
      <c r="E88" s="8" t="s">
        <v>696</v>
      </c>
      <c r="F88" s="8" t="s">
        <v>24</v>
      </c>
      <c r="G88" s="17" t="s">
        <v>269</v>
      </c>
      <c r="H88" s="9" t="s">
        <v>19</v>
      </c>
      <c r="I88" s="9" t="str">
        <f>LOOKUP(S88,{1,2,3,4,5},{"Negligible","Marginal","Significant","Critical","Crisis"})</f>
        <v>Critical</v>
      </c>
      <c r="J88" s="9" t="str">
        <f>LOOKUP(T88,'Ranking Lookup'!$A$3:$B$27)</f>
        <v>Moderate</v>
      </c>
      <c r="K88" s="8" t="s">
        <v>400</v>
      </c>
      <c r="L88" s="84">
        <v>200</v>
      </c>
      <c r="M88" s="123">
        <v>3</v>
      </c>
      <c r="N88" s="15"/>
      <c r="Q88" s="172">
        <f>LOOKUP(L88,{0,100,500,1000,5000},{1,2,3,4,5})</f>
        <v>2</v>
      </c>
      <c r="R88" s="172">
        <f>LOOKUP(M88,{0,0.5,1,3,6},{1,2,3,4,5})</f>
        <v>4</v>
      </c>
      <c r="S88" s="172">
        <f>MAX(Q88:R88)</f>
        <v>4</v>
      </c>
      <c r="T88" s="172" t="str">
        <f>CONCATENATE(H88,S88)</f>
        <v>VU4</v>
      </c>
      <c r="U88" s="172">
        <f>LOOKUP(H88,'Ranking Lookup'!$A$30:$B$34)*(Q88+R88)</f>
        <v>12</v>
      </c>
    </row>
    <row r="89" spans="1:21" s="8" customFormat="1" ht="120" customHeight="1">
      <c r="A89" s="61" t="s">
        <v>442</v>
      </c>
      <c r="B89" s="9">
        <v>1810</v>
      </c>
      <c r="C89" s="8" t="s">
        <v>61</v>
      </c>
      <c r="D89" s="8" t="s">
        <v>695</v>
      </c>
      <c r="E89" s="8" t="s">
        <v>697</v>
      </c>
      <c r="F89" s="8" t="s">
        <v>24</v>
      </c>
      <c r="G89" s="8" t="s">
        <v>694</v>
      </c>
      <c r="H89" s="9" t="s">
        <v>732</v>
      </c>
      <c r="I89" s="9" t="str">
        <f>LOOKUP(S89,{1,2,3,4,5},{"Negligible","Marginal","Significant","Critical","Crisis"})</f>
        <v>Significant</v>
      </c>
      <c r="J89" s="9" t="str">
        <f>LOOKUP(T89,'Ranking Lookup'!$A$3:$B$27)</f>
        <v>Moderate</v>
      </c>
      <c r="K89" s="8" t="s">
        <v>634</v>
      </c>
      <c r="L89" s="84">
        <v>70</v>
      </c>
      <c r="M89" s="123">
        <v>1</v>
      </c>
      <c r="N89" s="15"/>
      <c r="Q89" s="172">
        <f>LOOKUP(L89,{0,100,500,1000,5000},{1,2,3,4,5})</f>
        <v>1</v>
      </c>
      <c r="R89" s="172">
        <f>LOOKUP(M89,{0,0.5,1,3,6},{1,2,3,4,5})</f>
        <v>3</v>
      </c>
      <c r="S89" s="172">
        <f>MAX(Q89:R89)</f>
        <v>3</v>
      </c>
      <c r="T89" s="172" t="str">
        <f>CONCATENATE(H89,S89)</f>
        <v>L3</v>
      </c>
      <c r="U89" s="172">
        <f>LOOKUP(H89,'Ranking Lookup'!$A$30:$B$34)*(Q89+R89)</f>
        <v>16</v>
      </c>
    </row>
    <row r="90" spans="1:21" s="8" customFormat="1" ht="75">
      <c r="A90" s="61" t="s">
        <v>436</v>
      </c>
      <c r="B90" s="9">
        <v>1810</v>
      </c>
      <c r="C90" s="8" t="s">
        <v>204</v>
      </c>
      <c r="D90" s="17" t="s">
        <v>371</v>
      </c>
      <c r="E90" s="8" t="s">
        <v>698</v>
      </c>
      <c r="F90" s="8" t="s">
        <v>24</v>
      </c>
      <c r="G90" s="8" t="s">
        <v>694</v>
      </c>
      <c r="H90" s="9" t="s">
        <v>19</v>
      </c>
      <c r="I90" s="9" t="str">
        <f>LOOKUP(S90,{1,2,3,4,5},{"Negligible","Marginal","Significant","Critical","Crisis"})</f>
        <v>Marginal</v>
      </c>
      <c r="J90" s="9" t="str">
        <f>LOOKUP(T90,'Ranking Lookup'!$A$3:$B$27)</f>
        <v>Low</v>
      </c>
      <c r="K90" s="8" t="s">
        <v>576</v>
      </c>
      <c r="L90" s="84">
        <v>35</v>
      </c>
      <c r="M90" s="123">
        <v>0.5</v>
      </c>
      <c r="N90" s="15"/>
      <c r="Q90" s="172">
        <f>LOOKUP(L90,{0,100,500,1000,5000},{1,2,3,4,5})</f>
        <v>1</v>
      </c>
      <c r="R90" s="172">
        <f>LOOKUP(M90,{0,0.5,1,3,6},{1,2,3,4,5})</f>
        <v>2</v>
      </c>
      <c r="S90" s="172">
        <f>MAX(Q90:R90)</f>
        <v>2</v>
      </c>
      <c r="T90" s="172" t="str">
        <f>CONCATENATE(H90,S90)</f>
        <v>VU2</v>
      </c>
      <c r="U90" s="172">
        <f>LOOKUP(H90,'Ranking Lookup'!$A$30:$B$34)*(Q90+R90)</f>
        <v>6</v>
      </c>
    </row>
    <row r="91" spans="1:21" s="172" customFormat="1" ht="120">
      <c r="A91" s="61" t="s">
        <v>437</v>
      </c>
      <c r="B91" s="13">
        <v>1810</v>
      </c>
      <c r="C91" s="8" t="s">
        <v>577</v>
      </c>
      <c r="D91" s="8" t="s">
        <v>386</v>
      </c>
      <c r="E91" s="8" t="s">
        <v>57</v>
      </c>
      <c r="F91" s="8" t="s">
        <v>24</v>
      </c>
      <c r="G91" s="8" t="s">
        <v>694</v>
      </c>
      <c r="H91" s="9" t="s">
        <v>19</v>
      </c>
      <c r="I91" s="9" t="str">
        <f>LOOKUP(S91,{1,2,3,4,5},{"Negligible","Marginal","Significant","Critical","Crisis"})</f>
        <v>Marginal</v>
      </c>
      <c r="J91" s="9" t="str">
        <f>LOOKUP(T91,'Ranking Lookup'!$A$3:$B$27)</f>
        <v>Low</v>
      </c>
      <c r="K91" s="8" t="s">
        <v>129</v>
      </c>
      <c r="L91" s="84">
        <v>20</v>
      </c>
      <c r="M91" s="123">
        <v>0.5</v>
      </c>
      <c r="N91" s="15" t="s">
        <v>728</v>
      </c>
      <c r="Q91" s="172">
        <f>LOOKUP(L91,{0,100,500,1000,5000},{1,2,3,4,5})</f>
        <v>1</v>
      </c>
      <c r="R91" s="172">
        <f>LOOKUP(M91,{0,0.5,1,3,6},{1,2,3,4,5})</f>
        <v>2</v>
      </c>
      <c r="S91" s="172">
        <f>MAX(Q91:R91)</f>
        <v>2</v>
      </c>
      <c r="T91" s="172" t="str">
        <f>CONCATENATE(H91,S91)</f>
        <v>VU2</v>
      </c>
      <c r="U91" s="172">
        <f>LOOKUP(H91,'Ranking Lookup'!$A$30:$B$34)*(Q91+R91)</f>
        <v>6</v>
      </c>
    </row>
    <row r="92" spans="1:21" s="50" customFormat="1" ht="120">
      <c r="A92" s="61" t="s">
        <v>439</v>
      </c>
      <c r="B92" s="9">
        <v>1810</v>
      </c>
      <c r="C92" s="143" t="s">
        <v>531</v>
      </c>
      <c r="D92" s="203" t="s">
        <v>532</v>
      </c>
      <c r="E92" s="8" t="s">
        <v>698</v>
      </c>
      <c r="F92" s="8" t="s">
        <v>24</v>
      </c>
      <c r="G92" s="8" t="s">
        <v>694</v>
      </c>
      <c r="H92" s="9" t="s">
        <v>709</v>
      </c>
      <c r="I92" s="9" t="str">
        <f>LOOKUP(S92,{1,2,3,4,5},{"Negligible","Marginal","Significant","Critical","Crisis"})</f>
        <v>Significant</v>
      </c>
      <c r="J92" s="9" t="str">
        <f>LOOKUP(T92,'Ranking Lookup'!$A$3:$B$27)</f>
        <v>Moderate</v>
      </c>
      <c r="K92" s="17" t="s">
        <v>387</v>
      </c>
      <c r="L92" s="84">
        <v>25</v>
      </c>
      <c r="M92" s="123">
        <v>1</v>
      </c>
      <c r="N92" s="15"/>
      <c r="Q92" s="172">
        <f>LOOKUP(L92,{0,100,500,1000,5000},{1,2,3,4,5})</f>
        <v>1</v>
      </c>
      <c r="R92" s="172">
        <f>LOOKUP(M92,{0,0.5,1,3,6},{1,2,3,4,5})</f>
        <v>3</v>
      </c>
      <c r="S92" s="172">
        <f>MAX(Q92:R92)</f>
        <v>3</v>
      </c>
      <c r="T92" s="172" t="str">
        <f>CONCATENATE(H92,S92)</f>
        <v>U3</v>
      </c>
      <c r="U92" s="172">
        <f>LOOKUP(H92,'Ranking Lookup'!$A$30:$B$34)*(Q92+R92)</f>
        <v>12</v>
      </c>
    </row>
    <row r="93" spans="1:21" s="8" customFormat="1" ht="120">
      <c r="A93" s="61" t="s">
        <v>440</v>
      </c>
      <c r="B93" s="9">
        <v>1810</v>
      </c>
      <c r="C93" s="8" t="s">
        <v>699</v>
      </c>
      <c r="D93" s="17" t="s">
        <v>569</v>
      </c>
      <c r="E93" s="8" t="s">
        <v>642</v>
      </c>
      <c r="F93" s="8" t="s">
        <v>24</v>
      </c>
      <c r="G93" s="8" t="s">
        <v>694</v>
      </c>
      <c r="H93" s="9" t="s">
        <v>19</v>
      </c>
      <c r="I93" s="9" t="str">
        <f>LOOKUP(S93,{1,2,3,4,5},{"Negligible","Marginal","Significant","Critical","Crisis"})</f>
        <v>Significant</v>
      </c>
      <c r="J93" s="9" t="str">
        <f>LOOKUP(T93,'Ranking Lookup'!$A$3:$B$27)</f>
        <v>Low</v>
      </c>
      <c r="K93" s="8" t="s">
        <v>331</v>
      </c>
      <c r="L93" s="84">
        <v>50</v>
      </c>
      <c r="M93" s="123">
        <v>1</v>
      </c>
      <c r="N93" s="15"/>
      <c r="Q93" s="172">
        <f>LOOKUP(L93,{0,100,500,1000,5000},{1,2,3,4,5})</f>
        <v>1</v>
      </c>
      <c r="R93" s="172">
        <f>LOOKUP(M93,{0,0.5,1,3,6},{1,2,3,4,5})</f>
        <v>3</v>
      </c>
      <c r="S93" s="172">
        <f>MAX(Q93:R93)</f>
        <v>3</v>
      </c>
      <c r="T93" s="172" t="str">
        <f>CONCATENATE(H93,S93)</f>
        <v>VU3</v>
      </c>
      <c r="U93" s="172">
        <f>LOOKUP(H93,'Ranking Lookup'!$A$30:$B$34)*(Q93+R93)</f>
        <v>8</v>
      </c>
    </row>
    <row r="94" spans="1:21" s="50" customFormat="1" ht="60">
      <c r="A94" s="62" t="s">
        <v>444</v>
      </c>
      <c r="B94" s="9">
        <v>1815</v>
      </c>
      <c r="C94" s="8" t="s">
        <v>570</v>
      </c>
      <c r="D94" s="17" t="s">
        <v>662</v>
      </c>
      <c r="E94" s="17" t="s">
        <v>645</v>
      </c>
      <c r="F94" s="8" t="s">
        <v>24</v>
      </c>
      <c r="G94" s="8" t="s">
        <v>694</v>
      </c>
      <c r="H94" s="7" t="s">
        <v>709</v>
      </c>
      <c r="I94" s="9" t="str">
        <f>LOOKUP(S94,{1,2,3,4,5},{"Negligible","Marginal","Significant","Critical","Crisis"})</f>
        <v>Significant</v>
      </c>
      <c r="J94" s="9" t="str">
        <f>LOOKUP(T94,'Ranking Lookup'!$A$3:$B$27)</f>
        <v>Moderate</v>
      </c>
      <c r="K94" s="17" t="s">
        <v>517</v>
      </c>
      <c r="L94" s="84">
        <v>0</v>
      </c>
      <c r="M94" s="123">
        <v>1</v>
      </c>
      <c r="N94" s="15"/>
      <c r="Q94" s="172">
        <f>LOOKUP(L94,{0,100,500,1000,5000},{1,2,3,4,5})</f>
        <v>1</v>
      </c>
      <c r="R94" s="172">
        <f>LOOKUP(M94,{0,0.5,1,3,6},{1,2,3,4,5})</f>
        <v>3</v>
      </c>
      <c r="S94" s="172">
        <f>MAX(Q94:R94)</f>
        <v>3</v>
      </c>
      <c r="T94" s="172" t="str">
        <f>CONCATENATE(H94,S94)</f>
        <v>U3</v>
      </c>
      <c r="U94" s="172">
        <f>LOOKUP(H94,'Ranking Lookup'!$A$30:$B$34)*(Q94+R94)</f>
        <v>12</v>
      </c>
    </row>
    <row r="95" spans="1:21" s="50" customFormat="1" ht="105">
      <c r="A95" s="62" t="s">
        <v>448</v>
      </c>
      <c r="B95" s="13" t="s">
        <v>315</v>
      </c>
      <c r="C95" s="8" t="s">
        <v>663</v>
      </c>
      <c r="D95" s="8" t="s">
        <v>615</v>
      </c>
      <c r="E95" s="8" t="s">
        <v>583</v>
      </c>
      <c r="F95" s="8" t="s">
        <v>24</v>
      </c>
      <c r="G95" s="8" t="s">
        <v>694</v>
      </c>
      <c r="H95" s="9" t="s">
        <v>732</v>
      </c>
      <c r="I95" s="9" t="str">
        <f>LOOKUP(S95,{1,2,3,4,5},{"Negligible","Marginal","Significant","Critical","Crisis"})</f>
        <v>Negligible</v>
      </c>
      <c r="J95" s="9" t="str">
        <f>LOOKUP(T95,'Ranking Lookup'!$A$3:$B$27)</f>
        <v>Low</v>
      </c>
      <c r="K95" s="8" t="s">
        <v>253</v>
      </c>
      <c r="L95" s="84">
        <v>25</v>
      </c>
      <c r="M95" s="123">
        <v>0</v>
      </c>
      <c r="N95" s="15"/>
      <c r="Q95" s="172">
        <f>LOOKUP(L95,{0,100,500,1000,5000},{1,2,3,4,5})</f>
        <v>1</v>
      </c>
      <c r="R95" s="172">
        <f>LOOKUP(M95,{0,0.5,1,3,6},{1,2,3,4,5})</f>
        <v>1</v>
      </c>
      <c r="S95" s="172">
        <f>MAX(Q95:R95)</f>
        <v>1</v>
      </c>
      <c r="T95" s="172" t="str">
        <f>CONCATENATE(H95,S95)</f>
        <v>L1</v>
      </c>
      <c r="U95" s="172">
        <f>LOOKUP(H95,'Ranking Lookup'!$A$30:$B$34)*(Q95+R95)</f>
        <v>8</v>
      </c>
    </row>
    <row r="96" spans="1:21" s="172" customFormat="1" ht="195">
      <c r="A96" s="62" t="s">
        <v>450</v>
      </c>
      <c r="B96" s="13">
        <v>1815</v>
      </c>
      <c r="C96" s="8" t="s">
        <v>575</v>
      </c>
      <c r="D96" s="8" t="s">
        <v>592</v>
      </c>
      <c r="E96" s="8" t="s">
        <v>647</v>
      </c>
      <c r="F96" s="8" t="s">
        <v>24</v>
      </c>
      <c r="G96" s="8" t="s">
        <v>694</v>
      </c>
      <c r="H96" s="9" t="s">
        <v>125</v>
      </c>
      <c r="I96" s="9" t="s">
        <v>125</v>
      </c>
      <c r="J96" s="9" t="s">
        <v>125</v>
      </c>
      <c r="K96" s="99" t="s">
        <v>126</v>
      </c>
      <c r="L96" s="152"/>
      <c r="M96" s="125"/>
      <c r="N96" s="15"/>
      <c r="Q96" s="172">
        <f>LOOKUP(L96,{0,100,500,1000,5000},{1,2,3,4,5})</f>
        <v>1</v>
      </c>
      <c r="R96" s="172">
        <f>LOOKUP(M96,{0,0.5,1,3,6},{1,2,3,4,5})</f>
        <v>1</v>
      </c>
      <c r="S96" s="172">
        <f>MAX(Q96:R96)</f>
        <v>1</v>
      </c>
      <c r="T96" s="172" t="str">
        <f>CONCATENATE(H96,S96)</f>
        <v>N/A1</v>
      </c>
      <c r="U96" s="172">
        <f>LOOKUP(H96,'Ranking Lookup'!$A$30:$B$34)*(Q96+R96)</f>
        <v>8</v>
      </c>
    </row>
    <row r="97" spans="1:21" s="172" customFormat="1" ht="90">
      <c r="A97" s="62" t="s">
        <v>535</v>
      </c>
      <c r="B97" s="13">
        <v>1815</v>
      </c>
      <c r="C97" s="8" t="s">
        <v>601</v>
      </c>
      <c r="D97" s="8" t="s">
        <v>602</v>
      </c>
      <c r="E97" s="8" t="s">
        <v>647</v>
      </c>
      <c r="F97" s="8" t="s">
        <v>24</v>
      </c>
      <c r="G97" s="8" t="s">
        <v>694</v>
      </c>
      <c r="H97" s="9"/>
      <c r="I97" s="9" t="str">
        <f>LOOKUP(S97,{1,2,3,4,5},{"Negligible","Marginal","Significant","Critical","Crisis"})</f>
        <v>Negligible</v>
      </c>
      <c r="J97" s="9" t="e">
        <f>LOOKUP(T97,'Ranking Lookup'!$A$3:$B$27)</f>
        <v>#N/A</v>
      </c>
      <c r="K97" s="8"/>
      <c r="L97" s="84"/>
      <c r="M97" s="89"/>
      <c r="N97" s="15"/>
      <c r="Q97" s="172">
        <f>LOOKUP(L97,{0,100,500,1000,5000},{1,2,3,4,5})</f>
        <v>1</v>
      </c>
      <c r="R97" s="172">
        <f>LOOKUP(M97,{0,0.5,1,3,6},{1,2,3,4,5})</f>
        <v>1</v>
      </c>
      <c r="S97" s="172">
        <f>MAX(Q97:R97)</f>
        <v>1</v>
      </c>
      <c r="T97" s="172" t="str">
        <f>CONCATENATE(H97,S97)</f>
        <v>1</v>
      </c>
      <c r="U97" s="172" t="e">
        <f>LOOKUP(H97,'Ranking Lookup'!$A$30:$B$34)*S97</f>
        <v>#N/A</v>
      </c>
    </row>
    <row r="98" spans="1:21" s="50" customFormat="1" ht="90">
      <c r="A98" s="63" t="s">
        <v>545</v>
      </c>
      <c r="B98" s="9">
        <v>7503</v>
      </c>
      <c r="C98" s="8" t="s">
        <v>668</v>
      </c>
      <c r="D98" s="8" t="s">
        <v>521</v>
      </c>
      <c r="E98" s="8"/>
      <c r="F98" s="8" t="s">
        <v>669</v>
      </c>
      <c r="G98" s="8" t="s">
        <v>322</v>
      </c>
      <c r="H98" s="9" t="s">
        <v>284</v>
      </c>
      <c r="I98" s="9" t="str">
        <f>LOOKUP(S98,{1,2,3,4,5},{"Negligible","Marginal","Significant","Critical","Crisis"})</f>
        <v>Negligible</v>
      </c>
      <c r="J98" s="9" t="str">
        <f>LOOKUP(T98,'Ranking Lookup'!$A$3:$B$27)</f>
        <v>Low</v>
      </c>
      <c r="K98" s="15"/>
      <c r="L98" s="84">
        <v>25</v>
      </c>
      <c r="M98" s="123">
        <v>0.25</v>
      </c>
      <c r="N98" s="15"/>
      <c r="Q98" s="172">
        <f>LOOKUP(L98,{0,100,500,1000,5000},{1,2,3,4,5})</f>
        <v>1</v>
      </c>
      <c r="R98" s="172">
        <f>LOOKUP(M98,{0,0.5,1,3,6},{1,2,3,4,5})</f>
        <v>1</v>
      </c>
      <c r="S98" s="172">
        <f>MAX(Q98:R98)</f>
        <v>1</v>
      </c>
      <c r="T98" s="172" t="str">
        <f>CONCATENATE(H98,S98)</f>
        <v>NC1</v>
      </c>
      <c r="U98" s="172">
        <f>LOOKUP(H98,'Ranking Lookup'!$A$30:$B$34)*(Q98+R98)</f>
        <v>2</v>
      </c>
    </row>
    <row r="99" spans="1:21" s="8" customFormat="1" ht="135">
      <c r="A99" s="69" t="s">
        <v>411</v>
      </c>
      <c r="B99" s="9">
        <v>4501</v>
      </c>
      <c r="C99" s="8" t="s">
        <v>109</v>
      </c>
      <c r="D99" s="17" t="s">
        <v>110</v>
      </c>
      <c r="E99" s="8" t="s">
        <v>271</v>
      </c>
      <c r="F99" s="8" t="s">
        <v>573</v>
      </c>
      <c r="G99" s="17" t="s">
        <v>258</v>
      </c>
      <c r="H99" s="9" t="s">
        <v>19</v>
      </c>
      <c r="I99" s="9" t="str">
        <f>LOOKUP(S99,{1,2,3,4,5},{"Negligible","Marginal","Significant","Critical","Crisis"})</f>
        <v>Marginal</v>
      </c>
      <c r="J99" s="9" t="str">
        <f>LOOKUP(T99,'Ranking Lookup'!$A$3:$B$27)</f>
        <v>Low</v>
      </c>
      <c r="K99" s="17" t="s">
        <v>555</v>
      </c>
      <c r="L99" s="84">
        <v>0</v>
      </c>
      <c r="M99" s="123">
        <v>0.5</v>
      </c>
      <c r="N99" s="15"/>
      <c r="Q99" s="172">
        <f>LOOKUP(L99,{0,100,500,1000,5000},{1,2,3,4,5})</f>
        <v>1</v>
      </c>
      <c r="R99" s="172">
        <f>LOOKUP(M99,{0,0.5,1,3,6},{1,2,3,4,5})</f>
        <v>2</v>
      </c>
      <c r="S99" s="172">
        <f>MAX(Q99:R99)</f>
        <v>2</v>
      </c>
      <c r="T99" s="172" t="str">
        <f>CONCATENATE(H99,S99)</f>
        <v>VU2</v>
      </c>
      <c r="U99" s="172">
        <f>LOOKUP(H99,'Ranking Lookup'!$A$30:$B$34)*(Q99+R99)</f>
        <v>6</v>
      </c>
    </row>
    <row r="100" spans="1:21" s="172" customFormat="1" ht="210">
      <c r="A100" s="69" t="s">
        <v>405</v>
      </c>
      <c r="B100" s="9">
        <v>8202</v>
      </c>
      <c r="C100" s="17" t="s">
        <v>715</v>
      </c>
      <c r="D100" s="17" t="s">
        <v>205</v>
      </c>
      <c r="E100" s="17" t="s">
        <v>206</v>
      </c>
      <c r="F100" s="17" t="s">
        <v>380</v>
      </c>
      <c r="G100" s="17" t="s">
        <v>316</v>
      </c>
      <c r="H100" s="9" t="s">
        <v>19</v>
      </c>
      <c r="I100" s="9" t="str">
        <f>LOOKUP(S100,{1,2,3,4,5},{"Negligible","Marginal","Significant","Critical","Crisis"})</f>
        <v>Marginal</v>
      </c>
      <c r="J100" s="9" t="str">
        <f>LOOKUP(T100,'Ranking Lookup'!$A$3:$B$27)</f>
        <v>Low</v>
      </c>
      <c r="K100" s="17" t="s">
        <v>14</v>
      </c>
      <c r="L100" s="84">
        <v>0</v>
      </c>
      <c r="M100" s="123">
        <v>0.5</v>
      </c>
      <c r="N100" s="15"/>
      <c r="Q100" s="172">
        <f>LOOKUP(L100,{0,100,500,1000,5000},{1,2,3,4,5})</f>
        <v>1</v>
      </c>
      <c r="R100" s="172">
        <f>LOOKUP(M100,{0,0.5,1,3,6},{1,2,3,4,5})</f>
        <v>2</v>
      </c>
      <c r="S100" s="172">
        <f>MAX(Q100:R100)</f>
        <v>2</v>
      </c>
      <c r="T100" s="172" t="str">
        <f>CONCATENATE(H100,S100)</f>
        <v>VU2</v>
      </c>
      <c r="U100" s="172">
        <f>LOOKUP(H100,'Ranking Lookup'!$A$30:$B$34)*(Q100+R100)</f>
        <v>6</v>
      </c>
    </row>
    <row r="101" spans="1:21" s="172" customFormat="1" ht="105">
      <c r="A101" s="69" t="s">
        <v>406</v>
      </c>
      <c r="B101" s="9">
        <v>8101</v>
      </c>
      <c r="C101" s="17" t="s">
        <v>53</v>
      </c>
      <c r="D101" s="17" t="s">
        <v>54</v>
      </c>
      <c r="E101" s="17"/>
      <c r="F101" s="17" t="s">
        <v>572</v>
      </c>
      <c r="G101" s="41"/>
      <c r="H101" s="9" t="s">
        <v>19</v>
      </c>
      <c r="I101" s="9" t="str">
        <f>LOOKUP(S101,{1,2,3,4,5},{"Negligible","Marginal","Significant","Critical","Crisis"})</f>
        <v>Marginal</v>
      </c>
      <c r="J101" s="9" t="str">
        <f>LOOKUP(T101,'Ranking Lookup'!$A$3:$B$27)</f>
        <v>Low</v>
      </c>
      <c r="K101" s="17" t="s">
        <v>342</v>
      </c>
      <c r="L101" s="84">
        <v>115</v>
      </c>
      <c r="M101" s="123">
        <v>0</v>
      </c>
      <c r="N101" s="15" t="s">
        <v>343</v>
      </c>
      <c r="Q101" s="172">
        <f>LOOKUP(L101,{0,100,500,1000,5000},{1,2,3,4,5})</f>
        <v>2</v>
      </c>
      <c r="R101" s="172">
        <f>LOOKUP(M101,{0,0.5,1,3,6},{1,2,3,4,5})</f>
        <v>1</v>
      </c>
      <c r="S101" s="172">
        <f>MAX(Q101:R101)</f>
        <v>2</v>
      </c>
      <c r="T101" s="172" t="str">
        <f>CONCATENATE(H101,S101)</f>
        <v>VU2</v>
      </c>
      <c r="U101" s="172">
        <f>LOOKUP(H101,'Ranking Lookup'!$A$30:$B$34)*(Q101+R101)</f>
        <v>6</v>
      </c>
    </row>
    <row r="102" spans="1:21" s="50" customFormat="1" ht="60">
      <c r="A102" s="64" t="s">
        <v>468</v>
      </c>
      <c r="B102" s="7">
        <v>8501</v>
      </c>
      <c r="C102" s="8" t="s">
        <v>41</v>
      </c>
      <c r="D102" s="8" t="s">
        <v>42</v>
      </c>
      <c r="E102" s="8" t="s">
        <v>84</v>
      </c>
      <c r="F102" s="8" t="s">
        <v>130</v>
      </c>
      <c r="G102" s="17"/>
      <c r="H102" s="9" t="s">
        <v>19</v>
      </c>
      <c r="I102" s="9" t="str">
        <f>LOOKUP(S102,{1,2,3,4,5},{"Negligible","Marginal","Significant","Critical","Crisis"})</f>
        <v>Significant</v>
      </c>
      <c r="J102" s="9" t="str">
        <f>LOOKUP(T102,'Ranking Lookup'!$A$3:$B$27)</f>
        <v>Low</v>
      </c>
      <c r="K102" s="17" t="s">
        <v>131</v>
      </c>
      <c r="L102" s="140">
        <v>0</v>
      </c>
      <c r="M102" s="144">
        <v>1</v>
      </c>
      <c r="N102" s="15"/>
      <c r="Q102" s="172">
        <f>LOOKUP(L102,{0,100,500,1000,5000},{1,2,3,4,5})</f>
        <v>1</v>
      </c>
      <c r="R102" s="172">
        <f>LOOKUP(M102,{0,0.5,1,3,6},{1,2,3,4,5})</f>
        <v>3</v>
      </c>
      <c r="S102" s="172">
        <f>MAX(Q102:R102)</f>
        <v>3</v>
      </c>
      <c r="T102" s="172" t="str">
        <f>CONCATENATE(H102,S102)</f>
        <v>VU3</v>
      </c>
      <c r="U102" s="172">
        <f>LOOKUP(H102,'Ranking Lookup'!$A$30:$B$34)*(Q102+R102)</f>
        <v>8</v>
      </c>
    </row>
    <row r="103" spans="1:19" s="231" customFormat="1" ht="18.75">
      <c r="A103" s="221" t="s">
        <v>415</v>
      </c>
      <c r="B103" s="222" t="s">
        <v>674</v>
      </c>
      <c r="C103" s="223"/>
      <c r="D103" s="224"/>
      <c r="E103" s="224"/>
      <c r="F103" s="224"/>
      <c r="G103" s="224"/>
      <c r="H103" s="224"/>
      <c r="I103" s="224"/>
      <c r="J103" s="224"/>
      <c r="K103" s="225"/>
      <c r="L103" s="226"/>
      <c r="M103" s="227"/>
      <c r="N103" s="228"/>
      <c r="O103" s="229" t="s">
        <v>559</v>
      </c>
      <c r="P103" s="230">
        <f>COUNTIF($J$4:$J$118,"High")</f>
        <v>2</v>
      </c>
      <c r="Q103" s="231" t="s">
        <v>189</v>
      </c>
      <c r="R103" s="231" t="s">
        <v>190</v>
      </c>
      <c r="S103" s="232" t="s">
        <v>191</v>
      </c>
    </row>
    <row r="104" spans="1:16" s="50" customFormat="1" ht="60">
      <c r="A104" s="69" t="s">
        <v>402</v>
      </c>
      <c r="B104" s="13"/>
      <c r="C104" s="8" t="s">
        <v>12</v>
      </c>
      <c r="D104" s="15" t="s">
        <v>78</v>
      </c>
      <c r="E104" s="15"/>
      <c r="F104" s="8"/>
      <c r="G104" s="8"/>
      <c r="H104" s="9"/>
      <c r="I104" s="9"/>
      <c r="J104" s="9"/>
      <c r="K104" s="8"/>
      <c r="L104" s="84"/>
      <c r="M104" s="123"/>
      <c r="N104" s="15"/>
      <c r="O104" s="206" t="s">
        <v>320</v>
      </c>
      <c r="P104" s="7">
        <f>COUNTIF($J$4:$J$118,"Moderate")</f>
        <v>21</v>
      </c>
    </row>
    <row r="105" spans="1:21" s="180" customFormat="1" ht="18.75">
      <c r="A105" s="233" t="s">
        <v>416</v>
      </c>
      <c r="B105" s="173" t="s">
        <v>120</v>
      </c>
      <c r="C105" s="174"/>
      <c r="D105" s="175"/>
      <c r="E105" s="175"/>
      <c r="F105" s="175"/>
      <c r="G105" s="175"/>
      <c r="H105" s="175"/>
      <c r="I105" s="175"/>
      <c r="J105" s="175"/>
      <c r="K105" s="176"/>
      <c r="L105" s="177"/>
      <c r="M105" s="178"/>
      <c r="N105" s="179"/>
      <c r="Q105" s="172"/>
      <c r="R105" s="172"/>
      <c r="S105" s="172"/>
      <c r="T105" s="172"/>
      <c r="U105" s="172" t="e">
        <f>LOOKUP(H105,'Ranking Lookup'!$A$30:$B$34)*(Q105+R105)</f>
        <v>#N/A</v>
      </c>
    </row>
    <row r="106" spans="1:21" s="180" customFormat="1" ht="18.75">
      <c r="A106" s="60" t="s">
        <v>433</v>
      </c>
      <c r="B106" s="181" t="s">
        <v>121</v>
      </c>
      <c r="C106" s="182"/>
      <c r="D106" s="150"/>
      <c r="E106" s="150"/>
      <c r="F106" s="150"/>
      <c r="G106" s="150"/>
      <c r="H106" s="150"/>
      <c r="I106" s="150"/>
      <c r="J106" s="150"/>
      <c r="K106" s="183"/>
      <c r="L106" s="184"/>
      <c r="M106" s="185"/>
      <c r="N106" s="179"/>
      <c r="Q106" s="172"/>
      <c r="R106" s="172"/>
      <c r="S106" s="172"/>
      <c r="T106" s="172"/>
      <c r="U106" s="172" t="e">
        <f>LOOKUP(H106,'Ranking Lookup'!$A$30:$B$34)*(Q106+R106)</f>
        <v>#N/A</v>
      </c>
    </row>
    <row r="107" spans="1:21" s="180" customFormat="1" ht="18.75">
      <c r="A107" s="234" t="s">
        <v>435</v>
      </c>
      <c r="B107" s="186" t="s">
        <v>122</v>
      </c>
      <c r="C107" s="187"/>
      <c r="D107" s="148"/>
      <c r="E107" s="148"/>
      <c r="F107" s="148"/>
      <c r="G107" s="148"/>
      <c r="H107" s="148"/>
      <c r="I107" s="148"/>
      <c r="J107" s="148"/>
      <c r="K107" s="188"/>
      <c r="L107" s="189"/>
      <c r="M107" s="190"/>
      <c r="N107" s="179"/>
      <c r="Q107" s="172"/>
      <c r="R107" s="172"/>
      <c r="S107" s="172"/>
      <c r="T107" s="172"/>
      <c r="U107" s="172" t="e">
        <f>LOOKUP(H107,'Ranking Lookup'!$A$30:$B$34)*(Q107+R107)</f>
        <v>#N/A</v>
      </c>
    </row>
    <row r="108" spans="1:21" s="180" customFormat="1" ht="18.75">
      <c r="A108" s="235" t="s">
        <v>451</v>
      </c>
      <c r="B108" s="191" t="s">
        <v>116</v>
      </c>
      <c r="C108" s="192"/>
      <c r="D108" s="151"/>
      <c r="E108" s="151"/>
      <c r="F108" s="151"/>
      <c r="G108" s="151"/>
      <c r="H108" s="151"/>
      <c r="I108" s="151"/>
      <c r="J108" s="151"/>
      <c r="K108" s="193"/>
      <c r="L108" s="194"/>
      <c r="M108" s="195"/>
      <c r="N108" s="179"/>
      <c r="Q108" s="172"/>
      <c r="R108" s="172"/>
      <c r="S108" s="172"/>
      <c r="T108" s="172"/>
      <c r="U108" s="172" t="e">
        <f>LOOKUP(H108,'Ranking Lookup'!$A$30:$B$34)*(Q108+R108)</f>
        <v>#N/A</v>
      </c>
    </row>
    <row r="109" spans="1:21" s="180" customFormat="1" ht="18.75">
      <c r="A109" s="236" t="s">
        <v>550</v>
      </c>
      <c r="B109" s="196" t="s">
        <v>71</v>
      </c>
      <c r="C109" s="147"/>
      <c r="D109" s="149"/>
      <c r="E109" s="149"/>
      <c r="F109" s="149"/>
      <c r="G109" s="149"/>
      <c r="H109" s="149"/>
      <c r="I109" s="149"/>
      <c r="J109" s="149"/>
      <c r="K109" s="197"/>
      <c r="L109" s="198"/>
      <c r="M109" s="199"/>
      <c r="N109" s="179"/>
      <c r="Q109" s="172"/>
      <c r="R109" s="172"/>
      <c r="S109" s="172"/>
      <c r="T109" s="172"/>
      <c r="U109" s="172" t="e">
        <f>LOOKUP(H109,'Ranking Lookup'!$A$30:$B$34)*(Q109+R109)</f>
        <v>#N/A</v>
      </c>
    </row>
    <row r="110" spans="1:21" s="180" customFormat="1" ht="18">
      <c r="A110" s="237" t="s">
        <v>469</v>
      </c>
      <c r="B110" s="153" t="s">
        <v>701</v>
      </c>
      <c r="C110" s="155"/>
      <c r="D110" s="157"/>
      <c r="E110" s="157"/>
      <c r="F110" s="157"/>
      <c r="G110" s="157"/>
      <c r="H110" s="157"/>
      <c r="I110" s="157"/>
      <c r="J110" s="157"/>
      <c r="K110" s="200"/>
      <c r="L110" s="201"/>
      <c r="M110" s="161"/>
      <c r="N110" s="15"/>
      <c r="O110" s="8"/>
      <c r="P110" s="8"/>
      <c r="Q110" s="172"/>
      <c r="R110" s="172"/>
      <c r="S110" s="172"/>
      <c r="T110" s="172"/>
      <c r="U110" s="172" t="e">
        <f>LOOKUP(H110,'Ranking Lookup'!$A$30:$B$34)*(Q110+R110)</f>
        <v>#N/A</v>
      </c>
    </row>
    <row r="111" spans="1:21" s="219" customFormat="1" ht="20.25">
      <c r="A111" s="211" t="s">
        <v>490</v>
      </c>
      <c r="B111" s="212" t="s">
        <v>702</v>
      </c>
      <c r="C111" s="213"/>
      <c r="D111" s="214"/>
      <c r="E111" s="214"/>
      <c r="F111" s="214"/>
      <c r="G111" s="214"/>
      <c r="H111" s="214"/>
      <c r="I111" s="214"/>
      <c r="J111" s="214"/>
      <c r="K111" s="215"/>
      <c r="L111" s="216"/>
      <c r="M111" s="217"/>
      <c r="N111" s="218"/>
      <c r="Q111" s="220"/>
      <c r="R111" s="220"/>
      <c r="S111" s="220"/>
      <c r="T111" s="220"/>
      <c r="U111" s="220" t="e">
        <f>LOOKUP(H111,'Ranking Lookup'!$A$30:$B$34)*(Q111+R111)</f>
        <v>#N/A</v>
      </c>
    </row>
    <row r="112" spans="1:21" s="180" customFormat="1" ht="18.75">
      <c r="A112" s="238" t="s">
        <v>491</v>
      </c>
      <c r="B112" s="154" t="s">
        <v>352</v>
      </c>
      <c r="C112" s="156"/>
      <c r="D112" s="158"/>
      <c r="E112" s="158"/>
      <c r="F112" s="158"/>
      <c r="G112" s="158"/>
      <c r="H112" s="158"/>
      <c r="I112" s="158"/>
      <c r="J112" s="158"/>
      <c r="K112" s="159"/>
      <c r="L112" s="160"/>
      <c r="M112" s="162"/>
      <c r="N112" s="179"/>
      <c r="Q112" s="172"/>
      <c r="R112" s="172"/>
      <c r="S112" s="172"/>
      <c r="T112" s="172"/>
      <c r="U112" s="172" t="e">
        <f>LOOKUP(H112,'Ranking Lookup'!$A$30:$B$34)*(Q112+R112)</f>
        <v>#N/A</v>
      </c>
    </row>
    <row r="113" spans="1:21" s="52" customFormat="1" ht="60">
      <c r="A113" s="98" t="s">
        <v>536</v>
      </c>
      <c r="B113" s="13">
        <v>1810</v>
      </c>
      <c r="C113" s="8" t="s">
        <v>553</v>
      </c>
      <c r="D113" s="8"/>
      <c r="E113" s="8" t="s">
        <v>213</v>
      </c>
      <c r="F113" s="8" t="s">
        <v>3</v>
      </c>
      <c r="G113" s="8"/>
      <c r="H113" s="9" t="s">
        <v>732</v>
      </c>
      <c r="I113" s="9" t="str">
        <f>LOOKUP(S113,{1,2,3,4,5},{"Negligible","Marginal","Significant","Critical","Crisis"})</f>
        <v>Negligible</v>
      </c>
      <c r="J113" s="9" t="str">
        <f>LOOKUP(T113,'Ranking Lookup'!$A$3:$B$27)</f>
        <v>Low</v>
      </c>
      <c r="K113" s="8" t="s">
        <v>36</v>
      </c>
      <c r="L113" s="84">
        <v>50</v>
      </c>
      <c r="M113" s="123">
        <v>0</v>
      </c>
      <c r="N113" s="78" t="s">
        <v>728</v>
      </c>
      <c r="Q113" s="52">
        <f>LOOKUP(L113,{0,100,500,1000,5000},{1,2,3,4,5})</f>
        <v>1</v>
      </c>
      <c r="R113" s="52">
        <f>LOOKUP(M113,{0,0.5,1,3,6},{1,2,3,4,5})</f>
        <v>1</v>
      </c>
      <c r="S113" s="52">
        <f>MAX(Q113:R113)</f>
        <v>1</v>
      </c>
      <c r="T113" s="52" t="str">
        <f>CONCATENATE(H113,S113)</f>
        <v>L1</v>
      </c>
      <c r="U113" s="52">
        <f>LOOKUP(H113,'Ranking Lookup'!$A$30:$B$34)*S113</f>
        <v>4</v>
      </c>
    </row>
    <row r="114" spans="1:14" s="76" customFormat="1" ht="15.75">
      <c r="A114" s="75"/>
      <c r="B114" s="75"/>
      <c r="C114" s="37"/>
      <c r="D114" s="37"/>
      <c r="E114" s="37"/>
      <c r="F114" s="37"/>
      <c r="G114" s="37"/>
      <c r="H114" s="77"/>
      <c r="I114" s="75"/>
      <c r="J114" s="75"/>
      <c r="L114" s="86"/>
      <c r="M114" s="128"/>
      <c r="N114" s="138"/>
    </row>
    <row r="115" spans="1:14" s="76" customFormat="1" ht="15.75">
      <c r="A115" s="75"/>
      <c r="B115" s="75"/>
      <c r="C115" s="37"/>
      <c r="D115" s="37"/>
      <c r="E115" s="37"/>
      <c r="F115" s="37"/>
      <c r="G115" s="37"/>
      <c r="H115" s="77"/>
      <c r="I115" s="75"/>
      <c r="J115" s="75"/>
      <c r="L115" s="86"/>
      <c r="M115" s="128"/>
      <c r="N115" s="138"/>
    </row>
    <row r="116" spans="1:20" s="76" customFormat="1" ht="15.75">
      <c r="A116" s="75"/>
      <c r="B116" s="75"/>
      <c r="C116" s="37"/>
      <c r="D116" s="37"/>
      <c r="E116" s="37"/>
      <c r="F116" s="37"/>
      <c r="G116" s="37"/>
      <c r="H116" s="77"/>
      <c r="I116" s="75"/>
      <c r="J116" s="75"/>
      <c r="L116" s="86"/>
      <c r="M116" s="128"/>
      <c r="N116" s="138"/>
      <c r="Q116" s="40"/>
      <c r="R116" s="40"/>
      <c r="S116" s="40"/>
      <c r="T116" s="40"/>
    </row>
    <row r="117" spans="6:7" ht="15.75">
      <c r="F117" s="37"/>
      <c r="G117" s="37"/>
    </row>
    <row r="118" spans="6:7" ht="15.75">
      <c r="F118" s="37"/>
      <c r="G118" s="37"/>
    </row>
    <row r="119" spans="6:7" ht="15.75">
      <c r="F119" s="37"/>
      <c r="G119" s="37"/>
    </row>
    <row r="120" spans="6:7" ht="15.75">
      <c r="F120" s="37"/>
      <c r="G120" s="37"/>
    </row>
    <row r="121" spans="6:7" ht="15.75">
      <c r="F121" s="37"/>
      <c r="G121" s="37"/>
    </row>
    <row r="122" spans="6:7" ht="15.75">
      <c r="F122" s="37"/>
      <c r="G122" s="37"/>
    </row>
    <row r="123" spans="6:7" ht="15.75">
      <c r="F123" s="37"/>
      <c r="G123" s="37"/>
    </row>
    <row r="124" spans="6:7" ht="15">
      <c r="F124" s="37"/>
      <c r="G124" s="37"/>
    </row>
    <row r="125" spans="6:7" ht="15">
      <c r="F125" s="37"/>
      <c r="G125" s="37"/>
    </row>
    <row r="126" spans="6:7" ht="15">
      <c r="F126" s="37"/>
      <c r="G126" s="37"/>
    </row>
    <row r="127" spans="6:7" ht="15">
      <c r="F127" s="37"/>
      <c r="G127" s="37"/>
    </row>
    <row r="128" spans="6:7" ht="15">
      <c r="F128" s="37"/>
      <c r="G128" s="37"/>
    </row>
    <row r="129" spans="6:7" ht="15">
      <c r="F129" s="37"/>
      <c r="G129" s="37"/>
    </row>
    <row r="130" spans="6:7" ht="15">
      <c r="F130" s="37"/>
      <c r="G130" s="37"/>
    </row>
    <row r="131" spans="6:7" ht="15">
      <c r="F131" s="37"/>
      <c r="G131" s="37"/>
    </row>
    <row r="132" spans="6:7" ht="15">
      <c r="F132" s="37"/>
      <c r="G132" s="37"/>
    </row>
    <row r="133" spans="6:7" ht="15">
      <c r="F133" s="37"/>
      <c r="G133" s="37"/>
    </row>
    <row r="134" spans="6:7" ht="15">
      <c r="F134" s="37"/>
      <c r="G134" s="37"/>
    </row>
    <row r="135" spans="6:7" ht="15">
      <c r="F135" s="37"/>
      <c r="G135" s="37"/>
    </row>
    <row r="136" spans="6:7" ht="15">
      <c r="F136" s="37"/>
      <c r="G136" s="37"/>
    </row>
    <row r="137" spans="6:7" ht="15">
      <c r="F137" s="37"/>
      <c r="G137" s="37"/>
    </row>
    <row r="138" spans="6:7" ht="15">
      <c r="F138" s="37"/>
      <c r="G138" s="37"/>
    </row>
    <row r="139" spans="6:7" ht="15">
      <c r="F139" s="37"/>
      <c r="G139" s="37"/>
    </row>
    <row r="140" spans="6:7" ht="15">
      <c r="F140" s="37"/>
      <c r="G140" s="37"/>
    </row>
    <row r="141" spans="6:7" ht="15">
      <c r="F141" s="37"/>
      <c r="G141" s="37"/>
    </row>
    <row r="142" spans="6:7" ht="15">
      <c r="F142" s="37"/>
      <c r="G142" s="37"/>
    </row>
    <row r="143" spans="6:7" ht="15">
      <c r="F143" s="37"/>
      <c r="G143" s="37"/>
    </row>
    <row r="144" spans="6:7" ht="15">
      <c r="F144" s="37"/>
      <c r="G144" s="37"/>
    </row>
    <row r="145" spans="6:7" ht="15">
      <c r="F145" s="37"/>
      <c r="G145" s="37"/>
    </row>
    <row r="146" spans="6:7" ht="15">
      <c r="F146" s="37"/>
      <c r="G146" s="37"/>
    </row>
    <row r="147" spans="6:7" ht="15">
      <c r="F147" s="37"/>
      <c r="G147" s="37"/>
    </row>
    <row r="148" spans="6:7" ht="15">
      <c r="F148" s="37"/>
      <c r="G148" s="37"/>
    </row>
    <row r="149" spans="6:7" ht="15">
      <c r="F149" s="37"/>
      <c r="G149" s="37"/>
    </row>
    <row r="150" spans="6:7" ht="15">
      <c r="F150" s="37"/>
      <c r="G150" s="37"/>
    </row>
    <row r="151" spans="6:7" ht="15">
      <c r="F151" s="37"/>
      <c r="G151" s="37"/>
    </row>
    <row r="152" spans="6:7" ht="15">
      <c r="F152" s="37"/>
      <c r="G152" s="37"/>
    </row>
    <row r="153" spans="6:7" ht="15">
      <c r="F153" s="37"/>
      <c r="G153" s="37"/>
    </row>
    <row r="154" spans="6:7" ht="15">
      <c r="F154" s="37"/>
      <c r="G154" s="37"/>
    </row>
    <row r="155" spans="6:7" ht="15">
      <c r="F155" s="37"/>
      <c r="G155" s="37"/>
    </row>
    <row r="156" spans="6:7" ht="15">
      <c r="F156" s="37"/>
      <c r="G156" s="37"/>
    </row>
  </sheetData>
  <sheetProtection/>
  <mergeCells count="2">
    <mergeCell ref="I1:J1"/>
    <mergeCell ref="Q2:S2"/>
  </mergeCells>
  <printOptions/>
  <pageMargins left="0.75" right="0.75" top="0.75" bottom="0.75" header="0.5" footer="0.5"/>
  <pageSetup fitToHeight="0" fitToWidth="1" horizontalDpi="600" verticalDpi="600" orientation="landscape" paperSize="17" scale="40"/>
  <headerFooter alignWithMargins="0">
    <oddHeader>&amp;C&amp;"Arial,Bold"&amp;14NCSX Risk Register</oddHeader>
    <oddFooter>&amp;R&amp;"Arial,Bold"&amp;12&amp;F   Page &amp;P
&amp;D</oddFooter>
  </headerFooter>
  <rowBreaks count="5" manualBreakCount="5">
    <brk id="16" max="255" man="1"/>
    <brk id="24" max="255" man="1"/>
    <brk id="35" max="12" man="1"/>
    <brk id="71" max="13" man="1"/>
    <brk id="87" max="13"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7"/>
  <sheetViews>
    <sheetView zoomScale="75" zoomScaleNormal="75" zoomScaleSheetLayoutView="100" zoomScalePageLayoutView="0" workbookViewId="0" topLeftCell="F33">
      <selection activeCell="K61" sqref="K61"/>
    </sheetView>
  </sheetViews>
  <sheetFormatPr defaultColWidth="9.140625" defaultRowHeight="12.75"/>
  <cols>
    <col min="1" max="1" width="11.7109375" style="38" customWidth="1"/>
    <col min="2" max="2" width="11.421875" style="38" customWidth="1"/>
    <col min="3" max="3" width="43.7109375" style="39" customWidth="1"/>
    <col min="4" max="4" width="32.140625" style="39" customWidth="1"/>
    <col min="5" max="5" width="18.28125" style="39" customWidth="1"/>
    <col min="6" max="6" width="27.8515625" style="39" customWidth="1"/>
    <col min="7" max="7" width="32.421875" style="39" customWidth="1"/>
    <col min="8" max="8" width="16.140625" style="38" customWidth="1"/>
    <col min="9" max="9" width="18.421875" style="38" customWidth="1"/>
    <col min="10" max="10" width="13.28125" style="38" customWidth="1"/>
    <col min="11" max="11" width="23.140625" style="40" customWidth="1"/>
    <col min="12" max="12" width="11.28125" style="40" bestFit="1" customWidth="1"/>
    <col min="13" max="13" width="10.7109375" style="40" bestFit="1" customWidth="1"/>
    <col min="14" max="14" width="11.28125" style="40" bestFit="1" customWidth="1"/>
    <col min="15" max="16" width="10.7109375" style="40" bestFit="1" customWidth="1"/>
    <col min="17" max="16384" width="9.140625" style="40" customWidth="1"/>
  </cols>
  <sheetData>
    <row r="1" spans="1:13" s="29" customFormat="1" ht="85.5" customHeight="1">
      <c r="A1" s="1"/>
      <c r="B1" s="2"/>
      <c r="C1" s="3"/>
      <c r="D1" s="3"/>
      <c r="E1" s="3"/>
      <c r="F1" s="4"/>
      <c r="G1" s="3"/>
      <c r="H1" s="46" t="s">
        <v>228</v>
      </c>
      <c r="I1" s="242" t="s">
        <v>161</v>
      </c>
      <c r="J1" s="243"/>
      <c r="K1" s="3"/>
      <c r="L1" s="28"/>
      <c r="M1" s="58"/>
    </row>
    <row r="2" spans="1:13" s="30" customFormat="1" ht="54.75">
      <c r="A2" s="43" t="s">
        <v>63</v>
      </c>
      <c r="B2" s="28" t="s">
        <v>704</v>
      </c>
      <c r="C2" s="28" t="s">
        <v>64</v>
      </c>
      <c r="D2" s="28" t="s">
        <v>274</v>
      </c>
      <c r="E2" s="44" t="s">
        <v>723</v>
      </c>
      <c r="F2" s="45" t="s">
        <v>152</v>
      </c>
      <c r="G2" s="28" t="s">
        <v>394</v>
      </c>
      <c r="H2" s="5" t="s">
        <v>65</v>
      </c>
      <c r="I2" s="5" t="s">
        <v>66</v>
      </c>
      <c r="J2" s="28" t="s">
        <v>67</v>
      </c>
      <c r="K2" s="47" t="s">
        <v>68</v>
      </c>
      <c r="L2" s="57" t="s">
        <v>283</v>
      </c>
      <c r="M2" s="57" t="s">
        <v>62</v>
      </c>
    </row>
    <row r="3" spans="1:27" s="30" customFormat="1" ht="15">
      <c r="A3" s="100" t="s">
        <v>393</v>
      </c>
      <c r="B3" s="28"/>
      <c r="C3" s="28"/>
      <c r="D3" s="28"/>
      <c r="E3" s="44"/>
      <c r="F3" s="45"/>
      <c r="G3" s="28"/>
      <c r="H3" s="5"/>
      <c r="I3" s="5"/>
      <c r="J3" s="28"/>
      <c r="K3" s="47"/>
      <c r="L3" s="5"/>
      <c r="M3" s="5"/>
      <c r="N3" s="55"/>
      <c r="O3" s="55"/>
      <c r="P3" s="55"/>
      <c r="Q3" s="55"/>
      <c r="R3" s="55"/>
      <c r="S3" s="55"/>
      <c r="T3" s="55"/>
      <c r="U3" s="55"/>
      <c r="V3" s="55"/>
      <c r="W3" s="55"/>
      <c r="X3" s="55"/>
      <c r="Y3" s="55"/>
      <c r="Z3" s="55"/>
      <c r="AA3" s="55"/>
    </row>
    <row r="4" spans="1:27" s="30" customFormat="1" ht="15">
      <c r="A4" s="43"/>
      <c r="B4" s="28"/>
      <c r="C4" s="56" t="s">
        <v>82</v>
      </c>
      <c r="D4" s="28"/>
      <c r="E4" s="44"/>
      <c r="F4" s="45"/>
      <c r="G4" s="28"/>
      <c r="H4" s="5"/>
      <c r="I4" s="5"/>
      <c r="J4" s="28"/>
      <c r="K4" s="47"/>
      <c r="L4" s="5"/>
      <c r="M4" s="6"/>
      <c r="N4" s="55"/>
      <c r="O4" s="55"/>
      <c r="P4" s="55"/>
      <c r="Q4" s="55"/>
      <c r="R4" s="55"/>
      <c r="S4" s="55"/>
      <c r="T4" s="55"/>
      <c r="U4" s="55"/>
      <c r="V4" s="55"/>
      <c r="W4" s="55"/>
      <c r="X4" s="55"/>
      <c r="Y4" s="55"/>
      <c r="Z4" s="55"/>
      <c r="AA4" s="55"/>
    </row>
    <row r="5" spans="1:27" s="50" customFormat="1" ht="45">
      <c r="A5" s="7">
        <v>19</v>
      </c>
      <c r="B5" s="13"/>
      <c r="C5" s="8" t="s">
        <v>12</v>
      </c>
      <c r="D5" s="15" t="s">
        <v>78</v>
      </c>
      <c r="E5" s="15"/>
      <c r="F5" s="8"/>
      <c r="G5" s="8"/>
      <c r="H5" s="9"/>
      <c r="I5" s="9"/>
      <c r="J5" s="9"/>
      <c r="K5" s="8"/>
      <c r="L5" s="11"/>
      <c r="M5" s="12"/>
      <c r="N5" s="54"/>
      <c r="O5" s="31"/>
      <c r="P5" s="31"/>
      <c r="Q5" s="31"/>
      <c r="R5" s="31"/>
      <c r="S5" s="31"/>
      <c r="T5" s="31"/>
      <c r="U5" s="31"/>
      <c r="V5" s="31"/>
      <c r="W5" s="31"/>
      <c r="X5" s="31"/>
      <c r="Y5" s="31"/>
      <c r="Z5" s="31"/>
      <c r="AA5" s="31"/>
    </row>
    <row r="6" spans="1:27" s="53" customFormat="1" ht="93.75" customHeight="1">
      <c r="A6" s="24" t="s">
        <v>198</v>
      </c>
      <c r="B6" s="25" t="s">
        <v>15</v>
      </c>
      <c r="C6" s="23" t="s">
        <v>16</v>
      </c>
      <c r="D6" s="19" t="s">
        <v>607</v>
      </c>
      <c r="E6" s="19"/>
      <c r="F6" s="19" t="s">
        <v>608</v>
      </c>
      <c r="G6" s="99" t="s">
        <v>76</v>
      </c>
      <c r="H6" s="18" t="s">
        <v>652</v>
      </c>
      <c r="I6" s="18" t="s">
        <v>710</v>
      </c>
      <c r="J6" s="18" t="s">
        <v>711</v>
      </c>
      <c r="K6" s="19" t="s">
        <v>14</v>
      </c>
      <c r="L6" s="20">
        <v>0</v>
      </c>
      <c r="M6" s="21">
        <v>0.5</v>
      </c>
      <c r="N6" s="33"/>
      <c r="O6" s="33"/>
      <c r="P6" s="33"/>
      <c r="Q6" s="33"/>
      <c r="R6" s="33"/>
      <c r="S6" s="33"/>
      <c r="T6" s="33"/>
      <c r="U6" s="33"/>
      <c r="V6" s="33"/>
      <c r="W6" s="33"/>
      <c r="X6" s="33"/>
      <c r="Y6" s="33"/>
      <c r="Z6" s="33"/>
      <c r="AA6" s="33"/>
    </row>
    <row r="7" spans="1:27" s="51" customFormat="1" ht="105">
      <c r="A7" s="24" t="s">
        <v>199</v>
      </c>
      <c r="B7" s="25" t="s">
        <v>653</v>
      </c>
      <c r="C7" s="23" t="s">
        <v>654</v>
      </c>
      <c r="D7" s="19" t="s">
        <v>700</v>
      </c>
      <c r="E7" s="19"/>
      <c r="F7" s="19" t="s">
        <v>655</v>
      </c>
      <c r="G7" s="99" t="s">
        <v>76</v>
      </c>
      <c r="H7" s="18" t="s">
        <v>19</v>
      </c>
      <c r="I7" s="18" t="s">
        <v>710</v>
      </c>
      <c r="J7" s="18" t="s">
        <v>711</v>
      </c>
      <c r="K7" s="19" t="s">
        <v>14</v>
      </c>
      <c r="L7" s="20">
        <v>0</v>
      </c>
      <c r="M7" s="21">
        <v>0.5</v>
      </c>
      <c r="N7" s="34"/>
      <c r="O7" s="34"/>
      <c r="P7" s="34"/>
      <c r="Q7" s="34"/>
      <c r="R7" s="34"/>
      <c r="S7" s="34"/>
      <c r="T7" s="34"/>
      <c r="U7" s="34"/>
      <c r="V7" s="34"/>
      <c r="W7" s="34"/>
      <c r="X7" s="34"/>
      <c r="Y7" s="34"/>
      <c r="Z7" s="34"/>
      <c r="AA7" s="34"/>
    </row>
    <row r="8" spans="1:27" s="51" customFormat="1" ht="105">
      <c r="A8" s="24" t="s">
        <v>200</v>
      </c>
      <c r="B8" s="25" t="s">
        <v>656</v>
      </c>
      <c r="C8" s="23" t="s">
        <v>657</v>
      </c>
      <c r="D8" s="19" t="s">
        <v>168</v>
      </c>
      <c r="E8" s="19"/>
      <c r="F8" s="19" t="s">
        <v>624</v>
      </c>
      <c r="G8" s="99" t="s">
        <v>76</v>
      </c>
      <c r="H8" s="18" t="s">
        <v>652</v>
      </c>
      <c r="I8" s="18" t="s">
        <v>710</v>
      </c>
      <c r="J8" s="18" t="s">
        <v>711</v>
      </c>
      <c r="K8" s="19" t="s">
        <v>14</v>
      </c>
      <c r="L8" s="20">
        <v>0</v>
      </c>
      <c r="M8" s="21">
        <v>0.5</v>
      </c>
      <c r="N8" s="34"/>
      <c r="O8" s="34"/>
      <c r="P8" s="34"/>
      <c r="Q8" s="34"/>
      <c r="R8" s="34"/>
      <c r="S8" s="34"/>
      <c r="T8" s="34"/>
      <c r="U8" s="34"/>
      <c r="V8" s="34"/>
      <c r="W8" s="34"/>
      <c r="X8" s="34"/>
      <c r="Y8" s="34"/>
      <c r="Z8" s="34"/>
      <c r="AA8" s="34"/>
    </row>
    <row r="9" spans="1:13" s="32" customFormat="1" ht="120">
      <c r="A9" s="24" t="s">
        <v>201</v>
      </c>
      <c r="B9" s="18" t="s">
        <v>562</v>
      </c>
      <c r="C9" s="23" t="s">
        <v>680</v>
      </c>
      <c r="D9" s="19" t="s">
        <v>681</v>
      </c>
      <c r="E9" s="19"/>
      <c r="F9" s="19" t="s">
        <v>682</v>
      </c>
      <c r="G9" s="121" t="s">
        <v>45</v>
      </c>
      <c r="H9" s="18" t="s">
        <v>19</v>
      </c>
      <c r="I9" s="18" t="s">
        <v>710</v>
      </c>
      <c r="J9" s="18" t="s">
        <v>711</v>
      </c>
      <c r="K9" s="19" t="s">
        <v>14</v>
      </c>
      <c r="L9" s="20">
        <v>0</v>
      </c>
      <c r="M9" s="21">
        <v>0.5</v>
      </c>
    </row>
    <row r="10" spans="1:27" s="8" customFormat="1" ht="60">
      <c r="A10" s="18">
        <v>38</v>
      </c>
      <c r="B10" s="18" t="s">
        <v>557</v>
      </c>
      <c r="C10" s="19" t="s">
        <v>266</v>
      </c>
      <c r="D10" s="19" t="s">
        <v>162</v>
      </c>
      <c r="E10" s="48"/>
      <c r="F10" s="19" t="s">
        <v>337</v>
      </c>
      <c r="G10" s="121" t="s">
        <v>139</v>
      </c>
      <c r="H10" s="18" t="s">
        <v>652</v>
      </c>
      <c r="I10" s="18" t="s">
        <v>733</v>
      </c>
      <c r="J10" s="18" t="s">
        <v>559</v>
      </c>
      <c r="K10" s="19" t="s">
        <v>336</v>
      </c>
      <c r="L10" s="20">
        <v>100</v>
      </c>
      <c r="M10" s="21">
        <v>3</v>
      </c>
      <c r="N10" s="22"/>
      <c r="O10" s="22"/>
      <c r="P10" s="22"/>
      <c r="Q10" s="22"/>
      <c r="R10" s="22"/>
      <c r="S10" s="22"/>
      <c r="T10" s="22"/>
      <c r="U10" s="22"/>
      <c r="V10" s="22"/>
      <c r="W10" s="22"/>
      <c r="X10" s="22"/>
      <c r="Y10" s="22"/>
      <c r="Z10" s="22"/>
      <c r="AA10" s="22"/>
    </row>
    <row r="11" spans="1:13" s="22" customFormat="1" ht="105">
      <c r="A11" s="18">
        <v>34</v>
      </c>
      <c r="B11" s="18" t="s">
        <v>25</v>
      </c>
      <c r="C11" s="19" t="s">
        <v>312</v>
      </c>
      <c r="D11" s="19" t="s">
        <v>132</v>
      </c>
      <c r="E11" s="48"/>
      <c r="F11" s="8"/>
      <c r="G11" s="121" t="s">
        <v>558</v>
      </c>
      <c r="H11" s="42"/>
      <c r="I11" s="18" t="s">
        <v>733</v>
      </c>
      <c r="J11" s="18" t="s">
        <v>559</v>
      </c>
      <c r="K11" s="19" t="s">
        <v>311</v>
      </c>
      <c r="L11" s="20">
        <v>1000</v>
      </c>
      <c r="M11" s="21">
        <v>5</v>
      </c>
    </row>
    <row r="12" spans="1:13" s="31" customFormat="1" ht="90">
      <c r="A12" s="24">
        <v>1</v>
      </c>
      <c r="B12" s="26" t="s">
        <v>69</v>
      </c>
      <c r="C12" s="19" t="s">
        <v>70</v>
      </c>
      <c r="D12" s="19" t="s">
        <v>707</v>
      </c>
      <c r="E12" s="19"/>
      <c r="F12" s="19" t="s">
        <v>708</v>
      </c>
      <c r="G12" s="99" t="s">
        <v>270</v>
      </c>
      <c r="H12" s="18" t="s">
        <v>709</v>
      </c>
      <c r="I12" s="18" t="s">
        <v>710</v>
      </c>
      <c r="J12" s="27" t="s">
        <v>711</v>
      </c>
      <c r="K12" s="19" t="s">
        <v>712</v>
      </c>
      <c r="L12" s="20">
        <v>400</v>
      </c>
      <c r="M12" s="21">
        <v>0</v>
      </c>
    </row>
    <row r="13" spans="1:13" s="31" customFormat="1" ht="180">
      <c r="A13" s="24">
        <v>4</v>
      </c>
      <c r="B13" s="25" t="s">
        <v>323</v>
      </c>
      <c r="C13" s="19" t="s">
        <v>324</v>
      </c>
      <c r="D13" s="19" t="s">
        <v>317</v>
      </c>
      <c r="E13" s="19"/>
      <c r="F13" s="19" t="s">
        <v>318</v>
      </c>
      <c r="G13" s="99" t="s">
        <v>48</v>
      </c>
      <c r="H13" s="49" t="s">
        <v>19</v>
      </c>
      <c r="I13" s="49" t="s">
        <v>319</v>
      </c>
      <c r="J13" s="27" t="s">
        <v>320</v>
      </c>
      <c r="K13" s="19" t="s">
        <v>729</v>
      </c>
      <c r="L13" s="20">
        <v>600</v>
      </c>
      <c r="M13" s="21">
        <v>2</v>
      </c>
    </row>
    <row r="14" spans="1:13" s="31" customFormat="1" ht="15">
      <c r="A14" s="100" t="s">
        <v>391</v>
      </c>
      <c r="B14" s="101"/>
      <c r="C14" s="102"/>
      <c r="D14" s="102"/>
      <c r="E14" s="102"/>
      <c r="F14" s="102"/>
      <c r="G14" s="122"/>
      <c r="H14" s="103"/>
      <c r="I14" s="103"/>
      <c r="J14" s="104"/>
      <c r="K14" s="102"/>
      <c r="L14" s="105"/>
      <c r="M14" s="106"/>
    </row>
    <row r="15" spans="1:28" s="35" customFormat="1" ht="240">
      <c r="A15" s="70" t="s">
        <v>85</v>
      </c>
      <c r="B15" s="119">
        <v>1810</v>
      </c>
      <c r="C15" s="120" t="s">
        <v>366</v>
      </c>
      <c r="D15" s="102" t="s">
        <v>367</v>
      </c>
      <c r="E15" s="102" t="s">
        <v>696</v>
      </c>
      <c r="F15" s="102" t="s">
        <v>24</v>
      </c>
      <c r="G15" s="122" t="s">
        <v>348</v>
      </c>
      <c r="H15" s="90" t="s">
        <v>605</v>
      </c>
      <c r="I15" s="16" t="s">
        <v>733</v>
      </c>
      <c r="J15" s="16" t="s">
        <v>320</v>
      </c>
      <c r="K15" s="73" t="s">
        <v>368</v>
      </c>
      <c r="L15" s="83">
        <v>600</v>
      </c>
      <c r="M15" s="88">
        <v>3</v>
      </c>
      <c r="N15" s="81" t="s">
        <v>690</v>
      </c>
      <c r="O15" s="22"/>
      <c r="P15" s="31"/>
      <c r="Q15" s="31"/>
      <c r="R15" s="31"/>
      <c r="S15" s="31"/>
      <c r="T15" s="31"/>
      <c r="U15" s="31"/>
      <c r="V15" s="31"/>
      <c r="W15" s="31"/>
      <c r="X15" s="31"/>
      <c r="Y15" s="31"/>
      <c r="Z15" s="31"/>
      <c r="AA15" s="31"/>
      <c r="AB15" s="31"/>
    </row>
    <row r="16" spans="1:15" s="35" customFormat="1" ht="150">
      <c r="A16" s="60" t="s">
        <v>86</v>
      </c>
      <c r="B16" s="18">
        <v>1810</v>
      </c>
      <c r="C16" s="19" t="s">
        <v>365</v>
      </c>
      <c r="D16" s="19" t="s">
        <v>683</v>
      </c>
      <c r="E16" s="19" t="s">
        <v>684</v>
      </c>
      <c r="F16" s="19" t="s">
        <v>24</v>
      </c>
      <c r="G16" s="99" t="s">
        <v>353</v>
      </c>
      <c r="H16" s="14" t="s">
        <v>709</v>
      </c>
      <c r="I16" s="14" t="s">
        <v>20</v>
      </c>
      <c r="J16" s="10" t="s">
        <v>711</v>
      </c>
      <c r="K16" s="72" t="s">
        <v>381</v>
      </c>
      <c r="L16" s="84">
        <v>600</v>
      </c>
      <c r="M16" s="89">
        <v>2</v>
      </c>
      <c r="N16" s="81" t="s">
        <v>650</v>
      </c>
      <c r="O16" s="36"/>
    </row>
    <row r="17" spans="1:14" s="36" customFormat="1" ht="75">
      <c r="A17" s="60" t="s">
        <v>87</v>
      </c>
      <c r="B17" s="18">
        <v>1810</v>
      </c>
      <c r="C17" s="19" t="s">
        <v>384</v>
      </c>
      <c r="D17" s="19" t="s">
        <v>385</v>
      </c>
      <c r="E17" s="19" t="s">
        <v>696</v>
      </c>
      <c r="F17" s="19" t="s">
        <v>24</v>
      </c>
      <c r="G17" s="121" t="s">
        <v>566</v>
      </c>
      <c r="H17" s="9" t="s">
        <v>33</v>
      </c>
      <c r="I17" s="9" t="s">
        <v>33</v>
      </c>
      <c r="J17" s="9" t="s">
        <v>33</v>
      </c>
      <c r="K17" s="71" t="s">
        <v>606</v>
      </c>
      <c r="L17" s="91" t="s">
        <v>33</v>
      </c>
      <c r="M17" s="92" t="s">
        <v>33</v>
      </c>
      <c r="N17" s="81" t="s">
        <v>650</v>
      </c>
    </row>
    <row r="18" spans="1:14" s="22" customFormat="1" ht="60">
      <c r="A18" s="60" t="s">
        <v>88</v>
      </c>
      <c r="B18" s="18">
        <v>1810</v>
      </c>
      <c r="C18" s="19" t="s">
        <v>287</v>
      </c>
      <c r="D18" s="23" t="s">
        <v>33</v>
      </c>
      <c r="E18" s="23"/>
      <c r="F18" s="19" t="s">
        <v>24</v>
      </c>
      <c r="G18" s="121" t="s">
        <v>401</v>
      </c>
      <c r="H18" s="9" t="s">
        <v>33</v>
      </c>
      <c r="I18" s="9" t="s">
        <v>33</v>
      </c>
      <c r="J18" s="9" t="s">
        <v>33</v>
      </c>
      <c r="K18" s="17" t="s">
        <v>33</v>
      </c>
      <c r="L18" s="91" t="s">
        <v>33</v>
      </c>
      <c r="M18" s="92" t="s">
        <v>33</v>
      </c>
      <c r="N18" s="80" t="s">
        <v>691</v>
      </c>
    </row>
    <row r="19" spans="1:14" s="36" customFormat="1" ht="75.75" thickBot="1">
      <c r="A19" s="60" t="s">
        <v>622</v>
      </c>
      <c r="B19" s="18">
        <v>1810</v>
      </c>
      <c r="C19" s="19" t="s">
        <v>603</v>
      </c>
      <c r="D19" s="23" t="s">
        <v>263</v>
      </c>
      <c r="E19" s="19" t="s">
        <v>696</v>
      </c>
      <c r="F19" s="19" t="s">
        <v>24</v>
      </c>
      <c r="G19" s="121" t="s">
        <v>502</v>
      </c>
      <c r="H19" s="9" t="s">
        <v>284</v>
      </c>
      <c r="I19" s="18"/>
      <c r="J19" s="18"/>
      <c r="K19" s="8" t="s">
        <v>501</v>
      </c>
      <c r="L19" s="84"/>
      <c r="M19" s="89"/>
      <c r="N19" s="80"/>
    </row>
    <row r="20" spans="1:15" s="52" customFormat="1" ht="105">
      <c r="A20" s="74" t="s">
        <v>392</v>
      </c>
      <c r="B20" s="111">
        <v>7503</v>
      </c>
      <c r="C20" s="112" t="s">
        <v>346</v>
      </c>
      <c r="D20" s="113" t="s">
        <v>347</v>
      </c>
      <c r="E20" s="112" t="s">
        <v>643</v>
      </c>
      <c r="F20" s="112" t="s">
        <v>644</v>
      </c>
      <c r="G20" s="118" t="s">
        <v>595</v>
      </c>
      <c r="H20" s="114" t="s">
        <v>19</v>
      </c>
      <c r="I20" s="115" t="s">
        <v>710</v>
      </c>
      <c r="J20" s="115" t="s">
        <v>711</v>
      </c>
      <c r="K20" s="113" t="s">
        <v>338</v>
      </c>
      <c r="L20" s="116">
        <v>200</v>
      </c>
      <c r="M20" s="117">
        <v>0</v>
      </c>
      <c r="N20" s="81"/>
      <c r="O20" s="78"/>
    </row>
    <row r="21" ht="15">
      <c r="A21" s="100" t="s">
        <v>389</v>
      </c>
    </row>
    <row r="22" spans="1:20" s="36" customFormat="1" ht="45">
      <c r="A22" s="68" t="s">
        <v>9</v>
      </c>
      <c r="B22" s="23" t="s">
        <v>666</v>
      </c>
      <c r="C22" s="23" t="s">
        <v>225</v>
      </c>
      <c r="D22" s="23" t="s">
        <v>667</v>
      </c>
      <c r="E22" s="107"/>
      <c r="F22" s="23" t="s">
        <v>148</v>
      </c>
      <c r="G22" s="121" t="s">
        <v>354</v>
      </c>
      <c r="H22" s="108" t="s">
        <v>652</v>
      </c>
      <c r="I22" s="49" t="str">
        <f>LOOKUP(S22,{1,2,3,4,5},{"Negligible","Marginal","Significant","Critical","Crisis"})</f>
        <v>Negligible</v>
      </c>
      <c r="J22" s="27" t="s">
        <v>711</v>
      </c>
      <c r="K22" s="19" t="s">
        <v>672</v>
      </c>
      <c r="L22" s="109">
        <v>30</v>
      </c>
      <c r="M22" s="110">
        <v>0</v>
      </c>
      <c r="Q22" s="52">
        <f>LOOKUP(L22,{0,100,500,1000,5000},{1,2,3,4,5})</f>
        <v>1</v>
      </c>
      <c r="R22" s="52">
        <f>LOOKUP(M22,{0,0.5,1,3,6},{1,2,3,4,5})</f>
        <v>1</v>
      </c>
      <c r="S22" s="52">
        <f aca="true" t="shared" si="0" ref="S22:S31">MAX(Q22:R22)</f>
        <v>1</v>
      </c>
      <c r="T22" s="52" t="str">
        <f aca="true" t="shared" si="1" ref="T22:T31">CONCATENATE(H22,S22)</f>
        <v>VL1</v>
      </c>
    </row>
    <row r="23" spans="1:20" s="22" customFormat="1" ht="90">
      <c r="A23" s="62" t="s">
        <v>157</v>
      </c>
      <c r="B23" s="18">
        <v>1815</v>
      </c>
      <c r="C23" s="19" t="s">
        <v>706</v>
      </c>
      <c r="D23" s="23" t="s">
        <v>516</v>
      </c>
      <c r="E23" s="19" t="s">
        <v>727</v>
      </c>
      <c r="F23" s="19" t="s">
        <v>153</v>
      </c>
      <c r="G23" s="99" t="s">
        <v>390</v>
      </c>
      <c r="H23" s="18" t="s">
        <v>284</v>
      </c>
      <c r="I23" s="18" t="str">
        <f>LOOKUP(S23,{1,2,3,4,5},{"Negligible","Marginal","Significant","Critical","Crisis"})</f>
        <v>Negligible</v>
      </c>
      <c r="J23" s="18" t="s">
        <v>711</v>
      </c>
      <c r="K23" s="19"/>
      <c r="L23" s="130"/>
      <c r="M23" s="110"/>
      <c r="Q23" s="52">
        <f>LOOKUP(L23,{0,100,500,1000,5000},{1,2,3,4,5})</f>
        <v>1</v>
      </c>
      <c r="R23" s="52">
        <f>LOOKUP(M23,{0,0.5,1,3,6},{1,2,3,4,5})</f>
        <v>1</v>
      </c>
      <c r="S23" s="52">
        <f t="shared" si="0"/>
        <v>1</v>
      </c>
      <c r="T23" s="52" t="str">
        <f t="shared" si="1"/>
        <v>NC1</v>
      </c>
    </row>
    <row r="24" spans="1:20" s="22" customFormat="1" ht="90.75" thickBot="1">
      <c r="A24" s="64" t="s">
        <v>524</v>
      </c>
      <c r="B24" s="18" t="s">
        <v>582</v>
      </c>
      <c r="C24" s="19" t="s">
        <v>223</v>
      </c>
      <c r="D24" s="19" t="s">
        <v>499</v>
      </c>
      <c r="E24" s="19" t="s">
        <v>500</v>
      </c>
      <c r="F24" s="19" t="s">
        <v>24</v>
      </c>
      <c r="G24" s="99" t="s">
        <v>360</v>
      </c>
      <c r="H24" s="18" t="s">
        <v>19</v>
      </c>
      <c r="I24" s="18" t="str">
        <f>LOOKUP(S24,{1,2,3,4,5},{"Negligible","Marginal","Significant","Critical","Crisis"})</f>
        <v>Negligible</v>
      </c>
      <c r="J24" s="18" t="s">
        <v>711</v>
      </c>
      <c r="K24" s="131"/>
      <c r="L24" s="131"/>
      <c r="M24" s="132"/>
      <c r="Q24" s="52">
        <f>LOOKUP(L24,{0,100,500,1000,5000},{1,2,3,4,5})</f>
        <v>1</v>
      </c>
      <c r="R24" s="52">
        <f>LOOKUP(M24,{0,0.5,1,3,6},{1,2,3,4,5})</f>
        <v>1</v>
      </c>
      <c r="S24" s="52">
        <f t="shared" si="0"/>
        <v>1</v>
      </c>
      <c r="T24" s="52" t="str">
        <f t="shared" si="1"/>
        <v>VU1</v>
      </c>
    </row>
    <row r="25" spans="1:20" s="52" customFormat="1" ht="105">
      <c r="A25" s="65" t="s">
        <v>113</v>
      </c>
      <c r="B25" s="24">
        <v>1352</v>
      </c>
      <c r="C25" s="19" t="s">
        <v>560</v>
      </c>
      <c r="D25" s="19" t="s">
        <v>514</v>
      </c>
      <c r="E25" s="19" t="s">
        <v>5</v>
      </c>
      <c r="F25" s="19" t="s">
        <v>72</v>
      </c>
      <c r="G25" s="99" t="s">
        <v>361</v>
      </c>
      <c r="H25" s="18" t="s">
        <v>19</v>
      </c>
      <c r="I25" s="18" t="str">
        <f>LOOKUP(S25,{1,2,3,4,5},{"Negligible","Marginal","Significant","Critical","Crisis"})</f>
        <v>Marginal</v>
      </c>
      <c r="J25" s="18" t="s">
        <v>711</v>
      </c>
      <c r="K25" s="19" t="s">
        <v>623</v>
      </c>
      <c r="L25" s="130">
        <v>300</v>
      </c>
      <c r="M25" s="133">
        <v>0</v>
      </c>
      <c r="N25" s="78"/>
      <c r="Q25" s="52">
        <f>LOOKUP(L25,{0,100,500,1000,5000},{1,2,3,4,5})</f>
        <v>2</v>
      </c>
      <c r="R25" s="52">
        <f>LOOKUP(M25,{0,0.5,1,3,6},{1,2,3,4,5})</f>
        <v>1</v>
      </c>
      <c r="S25" s="52">
        <f t="shared" si="0"/>
        <v>2</v>
      </c>
      <c r="T25" s="52" t="str">
        <f t="shared" si="1"/>
        <v>VU2</v>
      </c>
    </row>
    <row r="26" spans="1:20" s="22" customFormat="1" ht="90">
      <c r="A26" s="65" t="s">
        <v>114</v>
      </c>
      <c r="B26" s="18">
        <v>1701</v>
      </c>
      <c r="C26" s="19" t="s">
        <v>725</v>
      </c>
      <c r="D26" s="23" t="s">
        <v>227</v>
      </c>
      <c r="E26" s="19" t="s">
        <v>726</v>
      </c>
      <c r="F26" s="134" t="s">
        <v>154</v>
      </c>
      <c r="G26" s="121" t="s">
        <v>362</v>
      </c>
      <c r="H26" s="18" t="s">
        <v>709</v>
      </c>
      <c r="I26" s="18" t="str">
        <f>LOOKUP(S26,{1,2,3,4,5},{"Negligible","Marginal","Significant","Critical","Crisis"})</f>
        <v>Negligible</v>
      </c>
      <c r="J26" s="18" t="s">
        <v>711</v>
      </c>
      <c r="K26" s="23"/>
      <c r="L26" s="130"/>
      <c r="M26" s="135"/>
      <c r="Q26" s="52">
        <f>LOOKUP(L26,{0,100,500,1000,5000},{1,2,3,4,5})</f>
        <v>1</v>
      </c>
      <c r="R26" s="52">
        <f>LOOKUP(M26,{0,0.5,1,3,6},{1,2,3,4,5})</f>
        <v>1</v>
      </c>
      <c r="S26" s="52">
        <f t="shared" si="0"/>
        <v>1</v>
      </c>
      <c r="T26" s="52" t="str">
        <f t="shared" si="1"/>
        <v>U1</v>
      </c>
    </row>
    <row r="27" spans="1:27" s="36" customFormat="1" ht="45">
      <c r="A27" s="65" t="s">
        <v>115</v>
      </c>
      <c r="B27" s="18">
        <v>2201</v>
      </c>
      <c r="C27" s="19" t="s">
        <v>49</v>
      </c>
      <c r="D27" s="23" t="s">
        <v>50</v>
      </c>
      <c r="E27" s="19" t="s">
        <v>51</v>
      </c>
      <c r="F27" s="134" t="s">
        <v>52</v>
      </c>
      <c r="G27" s="121" t="s">
        <v>584</v>
      </c>
      <c r="H27" s="18" t="s">
        <v>284</v>
      </c>
      <c r="I27" s="18" t="str">
        <f>LOOKUP(S27,{1,2,3,4,5},{"Negligible","Marginal","Significant","Critical","Crisis"})</f>
        <v>Negligible</v>
      </c>
      <c r="J27" s="18" t="s">
        <v>711</v>
      </c>
      <c r="K27" s="17"/>
      <c r="L27" s="84"/>
      <c r="M27" s="123"/>
      <c r="N27" s="79"/>
      <c r="O27" s="22"/>
      <c r="P27" s="22"/>
      <c r="Q27" s="52">
        <f>LOOKUP(L27,{0,100,500,1000,5000},{1,2,3,4,5})</f>
        <v>1</v>
      </c>
      <c r="R27" s="52">
        <f>LOOKUP(M27,{0,0.5,1,3,6},{1,2,3,4,5})</f>
        <v>1</v>
      </c>
      <c r="S27" s="52">
        <f>MAX(Q27:R27)</f>
        <v>1</v>
      </c>
      <c r="T27" s="52" t="str">
        <f>CONCATENATE(H27,S27)</f>
        <v>NC1</v>
      </c>
      <c r="U27" s="22"/>
      <c r="V27" s="22"/>
      <c r="W27" s="22"/>
      <c r="X27" s="22"/>
      <c r="Y27" s="22"/>
      <c r="Z27" s="22"/>
      <c r="AA27" s="22"/>
    </row>
    <row r="28" spans="1:20" s="36" customFormat="1" ht="96" customHeight="1">
      <c r="A28" s="68" t="s">
        <v>11</v>
      </c>
      <c r="B28" s="18">
        <v>1354</v>
      </c>
      <c r="C28" s="19" t="s">
        <v>8</v>
      </c>
      <c r="D28" s="19" t="s">
        <v>255</v>
      </c>
      <c r="E28" s="19" t="s">
        <v>686</v>
      </c>
      <c r="F28" s="19" t="s">
        <v>163</v>
      </c>
      <c r="G28" s="99" t="s">
        <v>297</v>
      </c>
      <c r="H28" s="18" t="s">
        <v>709</v>
      </c>
      <c r="I28" s="18" t="str">
        <f>LOOKUP(S28,{1,2,3,4,5},{"Negligible","Marginal","Significant","Critical","Crisis"})</f>
        <v>Negligible</v>
      </c>
      <c r="J28" s="18" t="s">
        <v>711</v>
      </c>
      <c r="K28" s="19"/>
      <c r="L28" s="109"/>
      <c r="M28" s="136"/>
      <c r="Q28" s="52">
        <f>LOOKUP(L28,{0,100,500,1000,5000},{1,2,3,4,5})</f>
        <v>1</v>
      </c>
      <c r="R28" s="52">
        <f>LOOKUP(M28,{0,0.5,1,3,6},{1,2,3,4,5})</f>
        <v>1</v>
      </c>
      <c r="S28" s="52">
        <f t="shared" si="0"/>
        <v>1</v>
      </c>
      <c r="T28" s="52" t="str">
        <f t="shared" si="1"/>
        <v>U1</v>
      </c>
    </row>
    <row r="29" spans="1:20" s="35" customFormat="1" ht="45">
      <c r="A29" s="68" t="s">
        <v>170</v>
      </c>
      <c r="B29" s="18">
        <v>1701</v>
      </c>
      <c r="C29" s="19" t="s">
        <v>235</v>
      </c>
      <c r="D29" s="19" t="s">
        <v>236</v>
      </c>
      <c r="E29" s="19" t="s">
        <v>233</v>
      </c>
      <c r="F29" s="19" t="s">
        <v>154</v>
      </c>
      <c r="G29" s="137" t="s">
        <v>299</v>
      </c>
      <c r="H29" s="18" t="s">
        <v>732</v>
      </c>
      <c r="I29" s="18" t="str">
        <f>LOOKUP(S29,{1,2,3,4,5},{"Negligible","Marginal","Significant","Critical","Crisis"})</f>
        <v>Negligible</v>
      </c>
      <c r="J29" s="18" t="s">
        <v>711</v>
      </c>
      <c r="K29" s="19" t="s">
        <v>237</v>
      </c>
      <c r="L29" s="130"/>
      <c r="M29" s="135"/>
      <c r="N29" s="36"/>
      <c r="Q29" s="52">
        <f>LOOKUP(L29,{0,100,500,1000,5000},{1,2,3,4,5})</f>
        <v>1</v>
      </c>
      <c r="R29" s="52">
        <f>LOOKUP(M29,{0,0.5,1,3,6},{1,2,3,4,5})</f>
        <v>1</v>
      </c>
      <c r="S29" s="52">
        <f t="shared" si="0"/>
        <v>1</v>
      </c>
      <c r="T29" s="52" t="str">
        <f t="shared" si="1"/>
        <v>L1</v>
      </c>
    </row>
    <row r="30" spans="1:20" s="35" customFormat="1" ht="45">
      <c r="A30" s="68" t="s">
        <v>171</v>
      </c>
      <c r="B30" s="18">
        <v>62</v>
      </c>
      <c r="C30" s="19" t="s">
        <v>238</v>
      </c>
      <c r="D30" s="19" t="s">
        <v>239</v>
      </c>
      <c r="E30" s="19" t="s">
        <v>233</v>
      </c>
      <c r="F30" s="19" t="s">
        <v>154</v>
      </c>
      <c r="G30" s="121" t="s">
        <v>300</v>
      </c>
      <c r="H30" s="18" t="s">
        <v>732</v>
      </c>
      <c r="I30" s="18" t="str">
        <f>LOOKUP(S30,{1,2,3,4,5},{"Negligible","Marginal","Significant","Critical","Crisis"})</f>
        <v>Negligible</v>
      </c>
      <c r="J30" s="18" t="s">
        <v>711</v>
      </c>
      <c r="K30" s="19" t="s">
        <v>169</v>
      </c>
      <c r="L30" s="130"/>
      <c r="M30" s="135"/>
      <c r="N30" s="36"/>
      <c r="Q30" s="52">
        <f>LOOKUP(L30,{0,100,500,1000,5000},{1,2,3,4,5})</f>
        <v>1</v>
      </c>
      <c r="R30" s="52">
        <f>LOOKUP(M30,{0,0.5,1,3,6},{1,2,3,4,5})</f>
        <v>1</v>
      </c>
      <c r="S30" s="52">
        <f t="shared" si="0"/>
        <v>1</v>
      </c>
      <c r="T30" s="52" t="str">
        <f t="shared" si="1"/>
        <v>L1</v>
      </c>
    </row>
    <row r="31" spans="1:20" s="35" customFormat="1" ht="60">
      <c r="A31" s="68" t="s">
        <v>175</v>
      </c>
      <c r="B31" s="24" t="s">
        <v>172</v>
      </c>
      <c r="C31" s="19" t="s">
        <v>173</v>
      </c>
      <c r="D31" s="19"/>
      <c r="E31" s="19" t="s">
        <v>174</v>
      </c>
      <c r="F31" s="19"/>
      <c r="G31" s="121" t="s">
        <v>351</v>
      </c>
      <c r="H31" s="18" t="s">
        <v>709</v>
      </c>
      <c r="I31" s="18" t="str">
        <f>LOOKUP(S31,{1,2,3,4,5},{"Negligible","Marginal","Significant","Critical","Crisis"})</f>
        <v>Negligible</v>
      </c>
      <c r="J31" s="18" t="s">
        <v>711</v>
      </c>
      <c r="K31" s="8"/>
      <c r="L31" s="84"/>
      <c r="M31" s="123"/>
      <c r="N31" s="36"/>
      <c r="Q31" s="52">
        <f>LOOKUP(L31,{0,100,500,1000,5000},{1,2,3,4,5})</f>
        <v>1</v>
      </c>
      <c r="R31" s="52">
        <f>LOOKUP(M31,{0,0.5,1,3,6},{1,2,3,4,5})</f>
        <v>1</v>
      </c>
      <c r="S31" s="52">
        <f t="shared" si="0"/>
        <v>1</v>
      </c>
      <c r="T31" s="52" t="str">
        <f t="shared" si="1"/>
        <v>U1</v>
      </c>
    </row>
    <row r="32" spans="1:27" s="35" customFormat="1" ht="53.25" customHeight="1">
      <c r="A32" s="62" t="s">
        <v>193</v>
      </c>
      <c r="B32" s="18">
        <v>1815</v>
      </c>
      <c r="C32" s="19" t="s">
        <v>627</v>
      </c>
      <c r="D32" s="23" t="s">
        <v>176</v>
      </c>
      <c r="E32" s="23" t="s">
        <v>177</v>
      </c>
      <c r="F32" s="19" t="s">
        <v>644</v>
      </c>
      <c r="G32" s="121" t="s">
        <v>628</v>
      </c>
      <c r="H32" s="24" t="s">
        <v>19</v>
      </c>
      <c r="I32" s="18" t="str">
        <f>LOOKUP(S32,{1,2,3,4,5},{"Negligible","Marginal","Significant","Critical","Crisis"})</f>
        <v>Marginal</v>
      </c>
      <c r="J32" s="18" t="s">
        <v>711</v>
      </c>
      <c r="K32" s="23"/>
      <c r="L32" s="130">
        <v>150</v>
      </c>
      <c r="M32" s="135">
        <v>0</v>
      </c>
      <c r="N32" s="79"/>
      <c r="O32" s="31"/>
      <c r="P32" s="31"/>
      <c r="Q32" s="52">
        <f>LOOKUP(L32,{0,100,500,1000,5000},{1,2,3,4,5})</f>
        <v>2</v>
      </c>
      <c r="R32" s="52">
        <f>LOOKUP(M32,{0,0.5,1,3,6},{1,2,3,4,5})</f>
        <v>1</v>
      </c>
      <c r="S32" s="52">
        <f>MAX(Q32:R32)</f>
        <v>2</v>
      </c>
      <c r="T32" s="52" t="str">
        <f>CONCATENATE(H32,S32)</f>
        <v>VU2</v>
      </c>
      <c r="U32" s="31"/>
      <c r="V32" s="31"/>
      <c r="W32" s="31"/>
      <c r="X32" s="31"/>
      <c r="Y32" s="31"/>
      <c r="Z32" s="31"/>
      <c r="AA32" s="31"/>
    </row>
    <row r="33" spans="1:21" s="35" customFormat="1" ht="75">
      <c r="A33" s="68" t="s">
        <v>495</v>
      </c>
      <c r="B33" s="209">
        <v>1701</v>
      </c>
      <c r="C33" s="210" t="s">
        <v>534</v>
      </c>
      <c r="D33" s="210" t="s">
        <v>232</v>
      </c>
      <c r="E33" s="210" t="s">
        <v>233</v>
      </c>
      <c r="F33" s="210" t="s">
        <v>154</v>
      </c>
      <c r="G33" s="121" t="s">
        <v>533</v>
      </c>
      <c r="H33" s="209" t="s">
        <v>709</v>
      </c>
      <c r="I33" s="209" t="str">
        <f>LOOKUP(S33,{1,2,3,4,5},{"Negligible","Marginal","Significant","Critical","Crisis"})</f>
        <v>Negligible</v>
      </c>
      <c r="J33" s="209" t="str">
        <f>LOOKUP(T33,'Ranking Lookup'!$A$3:$B$27)</f>
        <v>Low</v>
      </c>
      <c r="K33" s="210" t="s">
        <v>234</v>
      </c>
      <c r="L33" s="84"/>
      <c r="M33" s="89"/>
      <c r="N33" s="36"/>
      <c r="Q33" s="52">
        <f>LOOKUP(L33,{0,100,500,1000,5000},{1,2,3,4,5})</f>
        <v>1</v>
      </c>
      <c r="R33" s="52">
        <f>LOOKUP(M33,{0,0.5,1,3,6},{1,2,3,4,5})</f>
        <v>1</v>
      </c>
      <c r="S33" s="52">
        <f>MAX(Q33:R33)</f>
        <v>1</v>
      </c>
      <c r="T33" s="52" t="str">
        <f>CONCATENATE(H33,S33)</f>
        <v>U1</v>
      </c>
      <c r="U33" s="52">
        <f>LOOKUP(H33,'Ranking Lookup'!$A$30:$B$34)*S33</f>
        <v>3</v>
      </c>
    </row>
    <row r="34" spans="6:7" ht="15">
      <c r="F34" s="37"/>
      <c r="G34" s="37"/>
    </row>
    <row r="35" spans="6:7" ht="15">
      <c r="F35" s="37"/>
      <c r="G35" s="37"/>
    </row>
    <row r="36" spans="6:7" ht="15">
      <c r="F36" s="37"/>
      <c r="G36" s="37"/>
    </row>
    <row r="37" spans="6:7" ht="15">
      <c r="F37" s="37"/>
      <c r="G37" s="37"/>
    </row>
  </sheetData>
  <sheetProtection/>
  <mergeCells count="1">
    <mergeCell ref="I1:J1"/>
  </mergeCells>
  <printOptions/>
  <pageMargins left="0.75" right="0.75" top="0.75" bottom="0.75" header="0.5" footer="0.5"/>
  <pageSetup fitToHeight="0" fitToWidth="1" horizontalDpi="600" verticalDpi="600" orientation="landscape" paperSize="17" scale="74"/>
  <headerFooter alignWithMargins="0">
    <oddHeader>&amp;C&amp;"Arial,Bold"&amp;14NCSX Risk Register</oddHeader>
    <oddFooter>&amp;R&amp;"Arial,Bold"&amp;12&amp;F   Page &amp;P
&amp;D</oddFooter>
  </headerFooter>
  <drawing r:id="rId1"/>
</worksheet>
</file>

<file path=xl/worksheets/sheet4.xml><?xml version="1.0" encoding="utf-8"?>
<worksheet xmlns="http://schemas.openxmlformats.org/spreadsheetml/2006/main" xmlns:r="http://schemas.openxmlformats.org/officeDocument/2006/relationships">
  <dimension ref="A1:B34"/>
  <sheetViews>
    <sheetView workbookViewId="0" topLeftCell="A1">
      <selection activeCell="A30" sqref="A30:B34"/>
    </sheetView>
  </sheetViews>
  <sheetFormatPr defaultColWidth="11.421875" defaultRowHeight="12.75"/>
  <cols>
    <col min="1" max="16384" width="8.8515625" style="0" customWidth="1"/>
  </cols>
  <sheetData>
    <row r="1" ht="12">
      <c r="A1" t="s">
        <v>89</v>
      </c>
    </row>
    <row r="3" spans="1:2" ht="12">
      <c r="A3" t="s">
        <v>90</v>
      </c>
      <c r="B3" t="s">
        <v>711</v>
      </c>
    </row>
    <row r="4" spans="1:2" ht="12">
      <c r="A4" t="s">
        <v>91</v>
      </c>
      <c r="B4" t="s">
        <v>320</v>
      </c>
    </row>
    <row r="5" spans="1:2" ht="12">
      <c r="A5" t="s">
        <v>92</v>
      </c>
      <c r="B5" t="s">
        <v>320</v>
      </c>
    </row>
    <row r="6" spans="1:2" ht="12">
      <c r="A6" t="s">
        <v>93</v>
      </c>
      <c r="B6" t="s">
        <v>559</v>
      </c>
    </row>
    <row r="7" spans="1:2" ht="12">
      <c r="A7" t="s">
        <v>94</v>
      </c>
      <c r="B7" t="s">
        <v>559</v>
      </c>
    </row>
    <row r="8" spans="1:2" ht="12">
      <c r="A8" t="s">
        <v>95</v>
      </c>
      <c r="B8" t="s">
        <v>711</v>
      </c>
    </row>
    <row r="9" spans="1:2" ht="12">
      <c r="A9" t="s">
        <v>96</v>
      </c>
      <c r="B9" t="s">
        <v>711</v>
      </c>
    </row>
    <row r="10" spans="1:2" ht="12">
      <c r="A10" t="s">
        <v>97</v>
      </c>
      <c r="B10" t="s">
        <v>711</v>
      </c>
    </row>
    <row r="11" spans="1:2" ht="12">
      <c r="A11" t="s">
        <v>98</v>
      </c>
      <c r="B11" t="s">
        <v>711</v>
      </c>
    </row>
    <row r="12" spans="1:2" ht="12">
      <c r="A12" t="s">
        <v>99</v>
      </c>
      <c r="B12" t="s">
        <v>711</v>
      </c>
    </row>
    <row r="13" spans="1:2" ht="12">
      <c r="A13" t="s">
        <v>100</v>
      </c>
      <c r="B13" t="s">
        <v>711</v>
      </c>
    </row>
    <row r="14" spans="1:2" ht="12">
      <c r="A14" t="s">
        <v>101</v>
      </c>
      <c r="B14" t="s">
        <v>711</v>
      </c>
    </row>
    <row r="15" spans="1:2" ht="12">
      <c r="A15" t="s">
        <v>102</v>
      </c>
      <c r="B15" t="s">
        <v>320</v>
      </c>
    </row>
    <row r="16" spans="1:2" ht="12">
      <c r="A16" t="s">
        <v>103</v>
      </c>
      <c r="B16" t="s">
        <v>320</v>
      </c>
    </row>
    <row r="17" spans="1:2" ht="12">
      <c r="A17" t="s">
        <v>104</v>
      </c>
      <c r="B17" t="s">
        <v>559</v>
      </c>
    </row>
    <row r="18" spans="1:2" ht="12">
      <c r="A18" t="s">
        <v>105</v>
      </c>
      <c r="B18" t="s">
        <v>711</v>
      </c>
    </row>
    <row r="19" spans="1:2" ht="12">
      <c r="A19" t="s">
        <v>106</v>
      </c>
      <c r="B19" t="s">
        <v>320</v>
      </c>
    </row>
    <row r="20" spans="1:2" ht="12">
      <c r="A20" t="s">
        <v>179</v>
      </c>
      <c r="B20" t="s">
        <v>559</v>
      </c>
    </row>
    <row r="21" spans="1:2" ht="12">
      <c r="A21" t="s">
        <v>180</v>
      </c>
      <c r="B21" t="s">
        <v>559</v>
      </c>
    </row>
    <row r="22" spans="1:2" ht="12">
      <c r="A22" t="s">
        <v>181</v>
      </c>
      <c r="B22" t="s">
        <v>559</v>
      </c>
    </row>
    <row r="23" spans="1:2" ht="12">
      <c r="A23" t="s">
        <v>182</v>
      </c>
      <c r="B23" t="s">
        <v>711</v>
      </c>
    </row>
    <row r="24" spans="1:2" ht="12">
      <c r="A24" t="s">
        <v>183</v>
      </c>
      <c r="B24" t="s">
        <v>711</v>
      </c>
    </row>
    <row r="25" spans="1:2" ht="12">
      <c r="A25" t="s">
        <v>184</v>
      </c>
      <c r="B25" t="s">
        <v>711</v>
      </c>
    </row>
    <row r="26" spans="1:2" ht="12">
      <c r="A26" t="s">
        <v>185</v>
      </c>
      <c r="B26" t="s">
        <v>320</v>
      </c>
    </row>
    <row r="27" spans="1:2" ht="12">
      <c r="A27" t="s">
        <v>186</v>
      </c>
      <c r="B27" t="s">
        <v>559</v>
      </c>
    </row>
    <row r="30" spans="1:2" ht="12">
      <c r="A30" t="s">
        <v>732</v>
      </c>
      <c r="B30">
        <v>4</v>
      </c>
    </row>
    <row r="31" spans="1:2" ht="12">
      <c r="A31" t="s">
        <v>284</v>
      </c>
      <c r="B31">
        <v>1</v>
      </c>
    </row>
    <row r="32" spans="1:2" ht="12">
      <c r="A32" t="s">
        <v>709</v>
      </c>
      <c r="B32">
        <v>3</v>
      </c>
    </row>
    <row r="33" spans="1:2" ht="12">
      <c r="A33" t="s">
        <v>652</v>
      </c>
      <c r="B33">
        <v>5</v>
      </c>
    </row>
    <row r="34" spans="1:2" ht="12">
      <c r="A34" t="s">
        <v>19</v>
      </c>
      <c r="B34">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bsimmons</dc:creator>
  <cp:keywords/>
  <dc:description/>
  <cp:lastModifiedBy>Hutch Neilson</cp:lastModifiedBy>
  <cp:lastPrinted>2008-04-24T20:29:03Z</cp:lastPrinted>
  <dcterms:created xsi:type="dcterms:W3CDTF">2007-10-24T19:23:02Z</dcterms:created>
  <dcterms:modified xsi:type="dcterms:W3CDTF">2008-04-25T09:59:41Z</dcterms:modified>
  <cp:category/>
  <cp:version/>
  <cp:contentType/>
  <cp:contentStatus/>
</cp:coreProperties>
</file>