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9320" windowHeight="5175" activeTab="0"/>
  </bookViews>
  <sheets>
    <sheet name="Input Data" sheetId="1" r:id="rId1"/>
    <sheet name="offsets" sheetId="2" r:id="rId2"/>
    <sheet name="Adjustments" sheetId="3" r:id="rId3"/>
    <sheet name="Super Point Data" sheetId="4" r:id="rId4"/>
    <sheet name="Stability Checks" sheetId="5" r:id="rId5"/>
  </sheets>
  <definedNames/>
  <calcPr fullCalcOnLoad="1"/>
</workbook>
</file>

<file path=xl/sharedStrings.xml><?xml version="1.0" encoding="utf-8"?>
<sst xmlns="http://schemas.openxmlformats.org/spreadsheetml/2006/main" count="383" uniqueCount="99">
  <si>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</si>
  <si>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</si>
  <si>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</si>
  <si>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</si>
  <si>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</si>
  <si>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</si>
  <si>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</si>
  <si>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</si>
  <si>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</si>
  <si>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</si>
  <si>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</si>
  <si>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</si>
  <si>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</si>
  <si>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</si>
  <si>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</si>
  <si>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</si>
  <si>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</si>
  <si>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</si>
  <si>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</si>
  <si>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</si>
  <si>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</si>
  <si>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</si>
  <si>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</si>
  <si>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</si>
  <si>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</si>
  <si>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</si>
  <si>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</si>
  <si>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</si>
  <si>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</si>
  <si>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</si>
  <si>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</si>
  <si>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</si>
  <si>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</si>
  <si>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</si>
  <si>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</si>
  <si>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</si>
  <si>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</si>
  <si>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</si>
  <si>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</si>
  <si>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</si>
  <si>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</si>
  <si>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</si>
  <si>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</si>
  <si>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</si>
  <si>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</si>
  <si>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</si>
  <si>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</si>
  <si>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</si>
  <si>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</si>
  <si>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</si>
  <si>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</si>
  <si>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</si>
  <si>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</si>
  <si>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</si>
  <si>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</si>
  <si>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</si>
  <si>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</si>
  <si>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</si>
  <si>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</si>
  <si>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</si>
  <si>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</si>
  <si>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</si>
  <si>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</si>
  <si>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</si>
  <si>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</si>
  <si>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</si>
  <si>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</si>
  <si>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</si>
  <si>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</si>
  <si>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</si>
  <si>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</si>
  <si>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</si>
  <si>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</si>
  <si>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HOW TO USE THIS SHEET: Cut and paste data into X,Y, Z columns. Select ALL the Columns and The (ROWS +1), Press the Summation Button, on the next available enter averaging formula.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</si>
  <si>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</si>
  <si>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</si>
  <si>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</si>
  <si>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</si>
  <si>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</si>
  <si>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</si>
  <si>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</si>
  <si>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</si>
  <si>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</si>
  <si>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</si>
  <si>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</si>
  <si>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</si>
  <si>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</si>
  <si>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</si>
  <si>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</si>
  <si>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</si>
  <si>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</si>
  <si>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</si>
  <si>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</si>
  <si>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</si>
  <si>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gamma dot offset</t>
  </si>
  <si>
    <t>initial</t>
  </si>
  <si>
    <t>warp 1</t>
  </si>
  <si>
    <t xml:space="preserve">warp 2 </t>
  </si>
  <si>
    <t>warp 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</si>
</sst>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3" borderId="13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164" fontId="0" fillId="5" borderId="33" xfId="0" applyNumberFormat="1" applyFill="1" applyBorder="1" applyAlignment="1">
      <alignment horizontal="center"/>
    </xf>
    <xf numFmtId="164" fontId="0" fillId="5" borderId="27" xfId="0" applyNumberFormat="1" applyFill="1" applyBorder="1" applyAlignment="1" quotePrefix="1">
      <alignment horizontal="center"/>
    </xf>
    <xf numFmtId="164" fontId="0" fillId="5" borderId="33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27" xfId="0" applyNumberFormat="1" applyFill="1" applyBorder="1" applyAlignment="1">
      <alignment horizontal="center"/>
    </xf>
    <xf numFmtId="164" fontId="0" fillId="2" borderId="24" xfId="0" applyNumberFormat="1" applyFill="1" applyBorder="1" applyAlignment="1" quotePrefix="1">
      <alignment horizontal="center"/>
    </xf>
    <xf numFmtId="164" fontId="0" fillId="2" borderId="3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29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7" xfId="0" applyNumberFormat="1" applyBorder="1" applyAlignment="1" quotePrefix="1">
      <alignment horizontal="center"/>
    </xf>
    <xf numFmtId="164" fontId="0" fillId="0" borderId="28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38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38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2" xfId="0" applyNumberFormat="1" applyFont="1" applyFill="1" applyBorder="1" applyAlignment="1" quotePrefix="1">
      <alignment horizontal="center"/>
    </xf>
    <xf numFmtId="164" fontId="8" fillId="0" borderId="53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2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38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2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38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2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38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2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2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38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2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2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38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2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2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38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2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2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38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2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2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38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2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2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38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2" xfId="0" applyNumberFormat="1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2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38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2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2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38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2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2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38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2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2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38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2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2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38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2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17" borderId="5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60" xfId="0" applyFont="1" applyFill="1" applyBorder="1" applyAlignment="1">
      <alignment/>
    </xf>
    <xf numFmtId="164" fontId="8" fillId="17" borderId="12" xfId="0" applyNumberFormat="1" applyFont="1" applyFill="1" applyBorder="1" applyAlignment="1">
      <alignment horizontal="center"/>
    </xf>
    <xf numFmtId="0" fontId="8" fillId="17" borderId="13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38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2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164" fontId="1" fillId="5" borderId="63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0" fontId="9" fillId="1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1" borderId="0" xfId="0" applyFill="1" applyAlignment="1">
      <alignment/>
    </xf>
    <xf numFmtId="0" fontId="9" fillId="11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0" fillId="19" borderId="0" xfId="0" applyFill="1" applyAlignment="1">
      <alignment/>
    </xf>
    <xf numFmtId="0" fontId="9" fillId="19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5" xfId="0" applyNumberFormat="1" applyBorder="1" applyAlignment="1">
      <alignment horizontal="right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164" fontId="0" fillId="0" borderId="71" xfId="0" applyNumberFormat="1" applyBorder="1" applyAlignment="1">
      <alignment horizontal="right"/>
    </xf>
    <xf numFmtId="164" fontId="0" fillId="0" borderId="72" xfId="0" applyNumberFormat="1" applyBorder="1" applyAlignment="1">
      <alignment horizontal="center"/>
    </xf>
    <xf numFmtId="0" fontId="7" fillId="21" borderId="1" xfId="0" applyFont="1" applyFill="1" applyBorder="1" applyAlignment="1">
      <alignment/>
    </xf>
    <xf numFmtId="0" fontId="4" fillId="21" borderId="2" xfId="0" applyFont="1" applyFill="1" applyBorder="1" applyAlignment="1">
      <alignment/>
    </xf>
    <xf numFmtId="0" fontId="4" fillId="21" borderId="3" xfId="0" applyFont="1" applyFill="1" applyBorder="1" applyAlignment="1">
      <alignment/>
    </xf>
    <xf numFmtId="0" fontId="0" fillId="21" borderId="8" xfId="0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12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3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2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38" xfId="0" applyNumberFormat="1" applyFill="1" applyBorder="1" applyAlignment="1">
      <alignment/>
    </xf>
    <xf numFmtId="166" fontId="0" fillId="13" borderId="13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4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4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67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38" xfId="0" applyNumberFormat="1" applyFill="1" applyBorder="1" applyAlignment="1">
      <alignment/>
    </xf>
    <xf numFmtId="0" fontId="0" fillId="5" borderId="70" xfId="0" applyFill="1" applyBorder="1" applyAlignment="1">
      <alignment/>
    </xf>
    <xf numFmtId="164" fontId="0" fillId="5" borderId="13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4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3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4" xfId="0" applyNumberFormat="1" applyFill="1" applyBorder="1" applyAlignment="1" quotePrefix="1">
      <alignment horizontal="center"/>
    </xf>
    <xf numFmtId="166" fontId="0" fillId="0" borderId="31" xfId="0" applyNumberFormat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166" fontId="0" fillId="5" borderId="53" xfId="0" applyNumberForma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1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0" fillId="5" borderId="6" xfId="0" applyNumberFormat="1" applyFill="1" applyBorder="1" applyAlignment="1">
      <alignment/>
    </xf>
    <xf numFmtId="166" fontId="0" fillId="5" borderId="38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21" borderId="6" xfId="0" applyNumberFormat="1" applyFill="1" applyBorder="1" applyAlignment="1" quotePrefix="1">
      <alignment/>
    </xf>
    <xf numFmtId="0" fontId="0" fillId="0" borderId="76" xfId="0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166" fontId="4" fillId="0" borderId="78" xfId="0" applyNumberFormat="1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0" fillId="0" borderId="69" xfId="0" applyBorder="1" applyAlignment="1">
      <alignment/>
    </xf>
    <xf numFmtId="166" fontId="0" fillId="5" borderId="79" xfId="0" applyNumberFormat="1" applyFill="1" applyBorder="1" applyAlignment="1">
      <alignment horizontal="center"/>
    </xf>
    <xf numFmtId="0" fontId="0" fillId="0" borderId="67" xfId="0" applyBorder="1" applyAlignment="1">
      <alignment/>
    </xf>
    <xf numFmtId="0" fontId="0" fillId="0" borderId="53" xfId="0" applyBorder="1" applyAlignment="1">
      <alignment/>
    </xf>
    <xf numFmtId="166" fontId="0" fillId="0" borderId="73" xfId="0" applyNumberFormat="1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31" xfId="0" applyFill="1" applyBorder="1" applyAlignment="1">
      <alignment/>
    </xf>
    <xf numFmtId="0" fontId="4" fillId="0" borderId="50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4" fillId="0" borderId="1" xfId="0" applyFont="1" applyFill="1" applyBorder="1" applyAlignment="1">
      <alignment horizontal="right"/>
    </xf>
    <xf numFmtId="166" fontId="0" fillId="0" borderId="32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81" xfId="0" applyFont="1" applyFill="1" applyBorder="1" applyAlignment="1">
      <alignment horizontal="center"/>
    </xf>
    <xf numFmtId="164" fontId="1" fillId="0" borderId="0" xfId="0" applyNumberFormat="1" applyFont="1" applyAlignment="1">
      <alignment vertical="center"/>
    </xf>
    <xf numFmtId="0" fontId="8" fillId="3" borderId="0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9" xfId="0" applyBorder="1" applyAlignment="1">
      <alignment horizontal="center"/>
    </xf>
    <xf numFmtId="166" fontId="0" fillId="0" borderId="36" xfId="0" applyNumberFormat="1" applyBorder="1" applyAlignment="1">
      <alignment horizontal="right"/>
    </xf>
    <xf numFmtId="166" fontId="0" fillId="0" borderId="66" xfId="0" applyNumberFormat="1" applyBorder="1" applyAlignment="1">
      <alignment horizontal="right"/>
    </xf>
    <xf numFmtId="166" fontId="0" fillId="0" borderId="36" xfId="0" applyNumberFormat="1" applyFill="1" applyBorder="1" applyAlignment="1">
      <alignment horizontal="right"/>
    </xf>
    <xf numFmtId="166" fontId="0" fillId="0" borderId="50" xfId="0" applyNumberFormat="1" applyBorder="1" applyAlignment="1">
      <alignment horizontal="right"/>
    </xf>
    <xf numFmtId="166" fontId="0" fillId="0" borderId="67" xfId="0" applyNumberFormat="1" applyBorder="1" applyAlignment="1">
      <alignment horizontal="right"/>
    </xf>
    <xf numFmtId="166" fontId="0" fillId="0" borderId="64" xfId="0" applyNumberFormat="1" applyBorder="1" applyAlignment="1">
      <alignment horizontal="right"/>
    </xf>
    <xf numFmtId="166" fontId="0" fillId="0" borderId="39" xfId="0" applyNumberFormat="1" applyBorder="1" applyAlignment="1">
      <alignment horizontal="right"/>
    </xf>
    <xf numFmtId="166" fontId="0" fillId="0" borderId="69" xfId="0" applyNumberFormat="1" applyBorder="1" applyAlignment="1">
      <alignment horizontal="right"/>
    </xf>
    <xf numFmtId="166" fontId="0" fillId="0" borderId="39" xfId="0" applyNumberFormat="1" applyFill="1" applyBorder="1" applyAlignment="1">
      <alignment horizontal="right"/>
    </xf>
    <xf numFmtId="166" fontId="0" fillId="13" borderId="67" xfId="0" applyNumberFormat="1" applyFill="1" applyBorder="1" applyAlignment="1">
      <alignment horizontal="right"/>
    </xf>
    <xf numFmtId="166" fontId="0" fillId="0" borderId="67" xfId="0" applyNumberFormat="1" applyFill="1" applyBorder="1" applyAlignment="1">
      <alignment horizontal="right"/>
    </xf>
    <xf numFmtId="166" fontId="0" fillId="0" borderId="39" xfId="0" applyNumberFormat="1" applyBorder="1" applyAlignment="1" quotePrefix="1">
      <alignment horizontal="right"/>
    </xf>
    <xf numFmtId="0" fontId="0" fillId="0" borderId="39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67" xfId="0" applyBorder="1" applyAlignment="1">
      <alignment horizontal="right"/>
    </xf>
    <xf numFmtId="166" fontId="0" fillId="13" borderId="39" xfId="0" applyNumberFormat="1" applyFill="1" applyBorder="1" applyAlignment="1">
      <alignment horizontal="right"/>
    </xf>
    <xf numFmtId="166" fontId="6" fillId="5" borderId="10" xfId="0" applyNumberFormat="1" applyFont="1" applyFill="1" applyBorder="1" applyAlignment="1">
      <alignment horizontal="center"/>
    </xf>
    <xf numFmtId="166" fontId="6" fillId="5" borderId="6" xfId="0" applyNumberFormat="1" applyFont="1" applyFill="1" applyBorder="1" applyAlignment="1">
      <alignment horizontal="center"/>
    </xf>
    <xf numFmtId="166" fontId="6" fillId="5" borderId="38" xfId="0" applyNumberFormat="1" applyFont="1" applyFill="1" applyBorder="1" applyAlignment="1">
      <alignment horizontal="center"/>
    </xf>
    <xf numFmtId="166" fontId="6" fillId="5" borderId="13" xfId="0" applyNumberFormat="1" applyFont="1" applyFill="1" applyBorder="1" applyAlignment="1">
      <alignment horizontal="center"/>
    </xf>
    <xf numFmtId="166" fontId="6" fillId="5" borderId="7" xfId="0" applyNumberFormat="1" applyFont="1" applyFill="1" applyBorder="1" applyAlignment="1">
      <alignment horizontal="center"/>
    </xf>
    <xf numFmtId="166" fontId="6" fillId="5" borderId="1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>
                <c:ptCount val="6"/>
                <c:pt idx="0">
                  <c:v>0.002619281608676083</c:v>
                </c:pt>
                <c:pt idx="1">
                  <c:v>0.0011757728391987854</c:v>
                </c:pt>
                <c:pt idx="2">
                  <c:v>0.0013967161390056049</c:v>
                </c:pt>
                <c:pt idx="3">
                  <c:v>0.0012034496807196149</c:v>
                </c:pt>
                <c:pt idx="4">
                  <c:v>0</c:v>
                </c:pt>
                <c:pt idx="5">
                  <c:v>0.0012034496807196149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>
                <c:ptCount val="6"/>
                <c:pt idx="0">
                  <c:v>0.002866801299066246</c:v>
                </c:pt>
                <c:pt idx="1">
                  <c:v>0.003171346493305194</c:v>
                </c:pt>
                <c:pt idx="2">
                  <c:v>0.0006775481634200275</c:v>
                </c:pt>
                <c:pt idx="3">
                  <c:v>0.002078973560305286</c:v>
                </c:pt>
                <c:pt idx="4">
                  <c:v>0</c:v>
                </c:pt>
                <c:pt idx="5">
                  <c:v>0.002078973560305286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>
                <c:ptCount val="6"/>
                <c:pt idx="0">
                  <c:v>0.0004068034553865729</c:v>
                </c:pt>
                <c:pt idx="1">
                  <c:v>0.0007690267126267969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>
                <c:ptCount val="6"/>
                <c:pt idx="0">
                  <c:v>0.004538371985283618</c:v>
                </c:pt>
                <c:pt idx="1">
                  <c:v>0.003120705182176664</c:v>
                </c:pt>
                <c:pt idx="2">
                  <c:v>0.0034107001110150748</c:v>
                </c:pt>
                <c:pt idx="3">
                  <c:v>0.002812986292059172</c:v>
                </c:pt>
                <c:pt idx="4">
                  <c:v>0</c:v>
                </c:pt>
                <c:pt idx="5">
                  <c:v>0.002812986292059172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>
                <c:ptCount val="6"/>
                <c:pt idx="0">
                  <c:v>0.0024414519949180757</c:v>
                </c:pt>
                <c:pt idx="1">
                  <c:v>0.0022750275352780847</c:v>
                </c:pt>
                <c:pt idx="2">
                  <c:v>0.0032684976485484185</c:v>
                </c:pt>
                <c:pt idx="3">
                  <c:v>0.0006007335924174129</c:v>
                </c:pt>
                <c:pt idx="4">
                  <c:v>0</c:v>
                </c:pt>
                <c:pt idx="5">
                  <c:v>0.0006007335924174129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>
                <c:ptCount val="6"/>
                <c:pt idx="0">
                  <c:v>0.009503243790679461</c:v>
                </c:pt>
                <c:pt idx="1">
                  <c:v>0.006028387394264145</c:v>
                </c:pt>
                <c:pt idx="2">
                  <c:v>0.005475090103478353</c:v>
                </c:pt>
                <c:pt idx="3">
                  <c:v>0.00419817311829207</c:v>
                </c:pt>
                <c:pt idx="4">
                  <c:v>0</c:v>
                </c:pt>
                <c:pt idx="5">
                  <c:v>0.00419817311829207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>
                <c:ptCount val="6"/>
                <c:pt idx="0">
                  <c:v>0.008192203136700549</c:v>
                </c:pt>
                <c:pt idx="1">
                  <c:v>0.0065038962831280855</c:v>
                </c:pt>
                <c:pt idx="2">
                  <c:v>0.0073044025250990074</c:v>
                </c:pt>
                <c:pt idx="3">
                  <c:v>0.004537322441361624</c:v>
                </c:pt>
                <c:pt idx="4">
                  <c:v>0</c:v>
                </c:pt>
                <c:pt idx="5">
                  <c:v>0.004537322441361624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>
                <c:ptCount val="6"/>
                <c:pt idx="0">
                  <c:v>0.004165582663454792</c:v>
                </c:pt>
                <c:pt idx="1">
                  <c:v>0</c:v>
                </c:pt>
                <c:pt idx="2">
                  <c:v>0.009157816432490584</c:v>
                </c:pt>
                <c:pt idx="3">
                  <c:v>0.004198635419207619</c:v>
                </c:pt>
                <c:pt idx="4">
                  <c:v>0</c:v>
                </c:pt>
                <c:pt idx="5">
                  <c:v>0.004198635419207619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>
                <c:ptCount val="6"/>
                <c:pt idx="0">
                  <c:v>0</c:v>
                </c:pt>
                <c:pt idx="1">
                  <c:v>0.002551418117827442</c:v>
                </c:pt>
                <c:pt idx="2">
                  <c:v>0.0031317078039760915</c:v>
                </c:pt>
                <c:pt idx="3">
                  <c:v>0.00043139640284817204</c:v>
                </c:pt>
                <c:pt idx="4">
                  <c:v>0</c:v>
                </c:pt>
                <c:pt idx="5">
                  <c:v>0.00043139640284817204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>
                <c:ptCount val="6"/>
                <c:pt idx="0">
                  <c:v>0.007110938735316097</c:v>
                </c:pt>
                <c:pt idx="1">
                  <c:v>0.0027814775023831118</c:v>
                </c:pt>
                <c:pt idx="2">
                  <c:v>0.001136564330844081</c:v>
                </c:pt>
                <c:pt idx="3">
                  <c:v>0.0025035130626109847</c:v>
                </c:pt>
                <c:pt idx="4">
                  <c:v>0</c:v>
                </c:pt>
                <c:pt idx="5">
                  <c:v>0.0025035130626109847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>
                <c:ptCount val="6"/>
                <c:pt idx="0">
                  <c:v>0.005230584833685187</c:v>
                </c:pt>
                <c:pt idx="1">
                  <c:v>0.0035471322575235387</c:v>
                </c:pt>
                <c:pt idx="2">
                  <c:v>0.004369880407234655</c:v>
                </c:pt>
                <c:pt idx="3">
                  <c:v>0.0028206479462277445</c:v>
                </c:pt>
                <c:pt idx="4">
                  <c:v>0</c:v>
                </c:pt>
                <c:pt idx="5">
                  <c:v>0.0028206479462277445</c:v>
                </c:pt>
              </c:numCache>
            </c:numRef>
          </c:val>
          <c:smooth val="0"/>
        </c:ser>
        <c:marker val="1"/>
        <c:axId val="29973402"/>
        <c:axId val="2114075"/>
      </c:lineChart>
      <c:catAx>
        <c:axId val="29973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4075"/>
        <c:crosses val="autoZero"/>
        <c:auto val="1"/>
        <c:lblOffset val="100"/>
        <c:noMultiLvlLbl val="0"/>
      </c:catAx>
      <c:valAx>
        <c:axId val="2114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73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 topLeftCell="A1">
      <selection activeCell="F50" sqref="F50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  <col min="16" max="16" width="9.57421875" style="0" bestFit="1" customWidth="1"/>
  </cols>
  <sheetData>
    <row r="1" spans="1:9" ht="30.75" customHeight="1" thickBot="1">
      <c r="A1" s="77" t="s">
        <v>43</v>
      </c>
      <c r="B1" s="76"/>
      <c r="C1" s="76"/>
      <c r="D1" s="76"/>
      <c r="E1" s="76"/>
      <c r="F1" s="76"/>
      <c r="I1" s="1"/>
    </row>
    <row r="2" spans="1:14" ht="13.5" thickBot="1">
      <c r="A2" s="5" t="s">
        <v>44</v>
      </c>
      <c r="B2" s="6"/>
      <c r="C2" s="6"/>
      <c r="D2" s="6"/>
      <c r="E2" s="6"/>
      <c r="F2" s="6"/>
      <c r="G2" s="6"/>
      <c r="H2" s="7"/>
      <c r="I2" s="3"/>
      <c r="J2" s="3"/>
      <c r="K2" s="3"/>
      <c r="L2" s="431">
        <v>79.7692</v>
      </c>
      <c r="M2" s="431">
        <v>-40.6014</v>
      </c>
      <c r="N2" s="431">
        <v>-1.7461</v>
      </c>
    </row>
    <row r="3" spans="1:14" ht="12.75">
      <c r="A3" s="80"/>
      <c r="B3" s="87" t="s">
        <v>1</v>
      </c>
      <c r="C3" s="88" t="s">
        <v>2</v>
      </c>
      <c r="D3" s="89" t="s">
        <v>3</v>
      </c>
      <c r="E3" s="87" t="s">
        <v>12</v>
      </c>
      <c r="F3" s="88" t="s">
        <v>13</v>
      </c>
      <c r="G3" s="88" t="s">
        <v>34</v>
      </c>
      <c r="H3" s="90" t="s">
        <v>33</v>
      </c>
      <c r="I3" s="16"/>
      <c r="J3" s="3"/>
      <c r="K3" s="3"/>
      <c r="L3" s="431">
        <v>76.7512</v>
      </c>
      <c r="M3" s="431">
        <v>-37.0189</v>
      </c>
      <c r="N3" s="431">
        <v>-25.0018</v>
      </c>
    </row>
    <row r="4" spans="1:14" ht="13.5" thickBot="1">
      <c r="A4" s="97" t="s">
        <v>0</v>
      </c>
      <c r="B4" s="91"/>
      <c r="C4" s="92"/>
      <c r="D4" s="93"/>
      <c r="E4" s="91"/>
      <c r="F4" s="92"/>
      <c r="G4" s="94">
        <f>IF(D5&gt;-1,D5,"")</f>
      </c>
      <c r="H4" s="95"/>
      <c r="I4" s="469"/>
      <c r="J4" s="3"/>
      <c r="K4" s="469"/>
      <c r="L4" s="468">
        <v>96.1272</v>
      </c>
      <c r="M4" s="468">
        <v>-15.6549</v>
      </c>
      <c r="N4" s="468">
        <v>-24.4919</v>
      </c>
    </row>
    <row r="5" spans="1:15" ht="12.75">
      <c r="A5" s="96">
        <v>1</v>
      </c>
      <c r="B5">
        <v>79.7692</v>
      </c>
      <c r="C5">
        <v>-40.6014</v>
      </c>
      <c r="D5">
        <v>-1.7461</v>
      </c>
      <c r="E5" s="85">
        <f aca="true" t="shared" si="0" ref="E5:E17">57.3*ATAN2(B5-60,C5)</f>
        <v>-64.04283479562737</v>
      </c>
      <c r="F5" s="86">
        <f aca="true" t="shared" si="1" ref="F5:F19">57.3*ATAN2(B5,D5)</f>
        <v>-1.2540624054546174</v>
      </c>
      <c r="G5" s="83">
        <f>SUMPRODUCT(G$24:I$24,B5:D5)</f>
        <v>1.7461</v>
      </c>
      <c r="H5" s="84">
        <f>SUMPRODUCT(G$23:I$23,B5:D5)</f>
        <v>25.64187593181966</v>
      </c>
      <c r="I5" s="470"/>
      <c r="J5" s="3"/>
      <c r="K5" s="469"/>
      <c r="L5" s="431">
        <v>98.7904</v>
      </c>
      <c r="M5" s="431">
        <v>15.6838</v>
      </c>
      <c r="N5" s="431">
        <v>-9.1765</v>
      </c>
      <c r="O5" s="3"/>
    </row>
    <row r="6" spans="1:15" ht="12.75">
      <c r="A6" s="81">
        <v>2</v>
      </c>
      <c r="B6">
        <v>76.7512</v>
      </c>
      <c r="C6">
        <v>-37.0189</v>
      </c>
      <c r="D6">
        <v>-25.0018</v>
      </c>
      <c r="E6" s="85">
        <f t="shared" si="0"/>
        <v>-65.65789442765181</v>
      </c>
      <c r="F6" s="86">
        <f t="shared" si="1"/>
        <v>-18.0444138618184</v>
      </c>
      <c r="G6" s="22">
        <f aca="true" t="shared" si="2" ref="G6:G17">SUMPRODUCT(G$24:I$24,B6:D6)</f>
        <v>25.0018</v>
      </c>
      <c r="H6" s="78">
        <f aca="true" t="shared" si="3" ref="H6:H17">SUMPRODUCT(G$23:I$23,B6:D6)</f>
        <v>2.7564494580519394</v>
      </c>
      <c r="I6" s="470"/>
      <c r="J6" s="3"/>
      <c r="K6" s="3"/>
      <c r="L6" s="431">
        <v>79.7088</v>
      </c>
      <c r="M6" s="431">
        <v>30.9411</v>
      </c>
      <c r="N6" s="431">
        <v>-27.5135</v>
      </c>
      <c r="O6" s="3"/>
    </row>
    <row r="7" spans="1:15" ht="12.75">
      <c r="A7" s="81">
        <v>3</v>
      </c>
      <c r="B7">
        <v>96.1272</v>
      </c>
      <c r="C7">
        <v>-15.6549</v>
      </c>
      <c r="D7">
        <v>-24.4919</v>
      </c>
      <c r="E7" s="85">
        <f t="shared" si="0"/>
        <v>-23.430124827991573</v>
      </c>
      <c r="F7" s="86">
        <f t="shared" si="1"/>
        <v>-14.295111205932288</v>
      </c>
      <c r="G7" s="22">
        <f t="shared" si="2"/>
        <v>24.4919</v>
      </c>
      <c r="H7" s="78">
        <f t="shared" si="3"/>
        <v>9.86258102246883</v>
      </c>
      <c r="I7" s="470"/>
      <c r="J7" s="3"/>
      <c r="K7" s="3"/>
      <c r="L7" s="431">
        <v>88.2348</v>
      </c>
      <c r="M7" s="431">
        <v>33.4586</v>
      </c>
      <c r="N7" s="431">
        <v>-3.2322</v>
      </c>
      <c r="O7" s="3"/>
    </row>
    <row r="8" spans="1:14" ht="12.75">
      <c r="A8" s="81">
        <v>4</v>
      </c>
      <c r="B8">
        <v>98.7904</v>
      </c>
      <c r="C8">
        <v>15.6838</v>
      </c>
      <c r="D8">
        <v>-9.1765</v>
      </c>
      <c r="E8" s="85">
        <f t="shared" si="0"/>
        <v>22.016173245000367</v>
      </c>
      <c r="F8" s="86">
        <f t="shared" si="1"/>
        <v>-5.30728634699754</v>
      </c>
      <c r="G8" s="22">
        <f t="shared" si="2"/>
        <v>9.1765</v>
      </c>
      <c r="H8" s="78">
        <f t="shared" si="3"/>
        <v>25.165217432558258</v>
      </c>
      <c r="I8" s="470"/>
      <c r="K8" s="14"/>
      <c r="L8" s="387">
        <v>58.2322</v>
      </c>
      <c r="M8" s="387">
        <v>48.5937</v>
      </c>
      <c r="N8" s="387">
        <v>-9.7523</v>
      </c>
    </row>
    <row r="9" spans="1:14" ht="12.75">
      <c r="A9" s="81">
        <v>5</v>
      </c>
      <c r="B9">
        <v>79.7088</v>
      </c>
      <c r="C9">
        <v>30.9411</v>
      </c>
      <c r="D9">
        <v>-27.5135</v>
      </c>
      <c r="E9" s="85">
        <f t="shared" si="0"/>
        <v>57.50799604897559</v>
      </c>
      <c r="F9" s="86">
        <f t="shared" si="1"/>
        <v>-19.04480650940151</v>
      </c>
      <c r="G9" s="22">
        <f t="shared" si="2"/>
        <v>27.5135</v>
      </c>
      <c r="H9" s="78">
        <f t="shared" si="3"/>
        <v>1.407782278323971</v>
      </c>
      <c r="I9" s="470"/>
      <c r="K9" s="14"/>
      <c r="L9" s="387">
        <v>41.6065</v>
      </c>
      <c r="M9" s="387">
        <v>49.9905</v>
      </c>
      <c r="N9" s="387">
        <v>-6.2829</v>
      </c>
    </row>
    <row r="10" spans="1:14" ht="12.75">
      <c r="A10" s="81">
        <v>6</v>
      </c>
      <c r="B10">
        <v>88.2348</v>
      </c>
      <c r="C10">
        <v>33.4586</v>
      </c>
      <c r="D10">
        <v>-3.2322</v>
      </c>
      <c r="E10" s="85">
        <f t="shared" si="0"/>
        <v>49.843564392632835</v>
      </c>
      <c r="F10" s="86">
        <f t="shared" si="1"/>
        <v>-2.0980643134146155</v>
      </c>
      <c r="G10" s="22">
        <f t="shared" si="2"/>
        <v>3.2322</v>
      </c>
      <c r="H10" s="78">
        <f t="shared" si="3"/>
        <v>27.140804453407505</v>
      </c>
      <c r="I10" s="470"/>
      <c r="K10" s="14"/>
      <c r="L10" s="387">
        <v>21.3958</v>
      </c>
      <c r="M10" s="387">
        <v>29.1604</v>
      </c>
      <c r="N10" s="387">
        <v>-3.7846</v>
      </c>
    </row>
    <row r="11" spans="1:14" ht="12.75">
      <c r="A11" s="81">
        <v>7</v>
      </c>
      <c r="B11">
        <v>58.2322</v>
      </c>
      <c r="C11">
        <v>48.5937</v>
      </c>
      <c r="D11">
        <v>-9.7523</v>
      </c>
      <c r="E11" s="85">
        <f t="shared" si="0"/>
        <v>92.09023890912779</v>
      </c>
      <c r="F11" s="86">
        <f t="shared" si="1"/>
        <v>-9.507947181524775</v>
      </c>
      <c r="G11" s="22">
        <f t="shared" si="2"/>
        <v>9.7523</v>
      </c>
      <c r="H11" s="78">
        <f t="shared" si="3"/>
        <v>10.75242104447859</v>
      </c>
      <c r="I11" s="470"/>
      <c r="K11" s="14"/>
      <c r="L11" s="468">
        <v>35.2895</v>
      </c>
      <c r="M11" s="468">
        <v>-2.2294</v>
      </c>
      <c r="N11" s="468">
        <v>-8.9735</v>
      </c>
    </row>
    <row r="12" spans="1:14" ht="12.75">
      <c r="A12" s="81">
        <v>8</v>
      </c>
      <c r="B12">
        <v>41.6065</v>
      </c>
      <c r="C12">
        <v>49.9905</v>
      </c>
      <c r="D12">
        <v>-6.2829</v>
      </c>
      <c r="E12" s="85">
        <f t="shared" si="0"/>
        <v>110.20870030385356</v>
      </c>
      <c r="F12" s="86">
        <f t="shared" si="1"/>
        <v>-8.587853736030455</v>
      </c>
      <c r="G12" s="22">
        <f t="shared" si="2"/>
        <v>6.2829</v>
      </c>
      <c r="H12" s="78">
        <f t="shared" si="3"/>
        <v>8.32626632614365</v>
      </c>
      <c r="I12" s="470"/>
      <c r="K12" s="14"/>
      <c r="L12" s="468">
        <v>23.1781</v>
      </c>
      <c r="M12" s="468">
        <v>-25.0226</v>
      </c>
      <c r="N12" s="468">
        <v>-2.602</v>
      </c>
    </row>
    <row r="13" spans="1:14" ht="12.75">
      <c r="A13" s="81">
        <v>9</v>
      </c>
      <c r="B13">
        <v>21.3958</v>
      </c>
      <c r="C13">
        <v>29.1604</v>
      </c>
      <c r="D13">
        <v>-3.7846</v>
      </c>
      <c r="E13" s="85">
        <f t="shared" si="0"/>
        <v>142.94427550123086</v>
      </c>
      <c r="F13" s="86">
        <f t="shared" si="1"/>
        <v>-10.031754179894985</v>
      </c>
      <c r="G13" s="22">
        <f t="shared" si="2"/>
        <v>3.7846</v>
      </c>
      <c r="H13" s="78">
        <f t="shared" si="3"/>
        <v>3.7614338899409936</v>
      </c>
      <c r="I13" s="470"/>
      <c r="L13">
        <v>34.0791</v>
      </c>
      <c r="M13">
        <v>-45.8046</v>
      </c>
      <c r="N13">
        <v>-3.0653</v>
      </c>
    </row>
    <row r="14" spans="1:8" ht="12.75">
      <c r="A14" s="81">
        <v>10</v>
      </c>
      <c r="B14">
        <v>35.2895</v>
      </c>
      <c r="C14">
        <v>-2.2294</v>
      </c>
      <c r="D14">
        <v>-8.9735</v>
      </c>
      <c r="E14" s="85">
        <f t="shared" si="0"/>
        <v>-174.8575682141465</v>
      </c>
      <c r="F14" s="86">
        <f t="shared" si="1"/>
        <v>-14.26799288867875</v>
      </c>
      <c r="G14" s="22">
        <f t="shared" si="2"/>
        <v>8.9735</v>
      </c>
      <c r="H14" s="78">
        <f t="shared" si="3"/>
        <v>3.6373881152688377</v>
      </c>
    </row>
    <row r="15" spans="1:8" ht="12.75">
      <c r="A15" s="81">
        <v>11</v>
      </c>
      <c r="B15">
        <v>23.1781</v>
      </c>
      <c r="C15">
        <v>-25.0226</v>
      </c>
      <c r="D15">
        <v>-2.602</v>
      </c>
      <c r="E15" s="85">
        <f t="shared" si="0"/>
        <v>-145.81237641836</v>
      </c>
      <c r="F15" s="86">
        <f t="shared" si="1"/>
        <v>-6.405743740934257</v>
      </c>
      <c r="G15" s="22">
        <f t="shared" si="2"/>
        <v>2.602</v>
      </c>
      <c r="H15" s="78">
        <f t="shared" si="3"/>
        <v>5.482296884731749</v>
      </c>
    </row>
    <row r="16" spans="1:9" ht="12.75">
      <c r="A16" s="81">
        <v>12</v>
      </c>
      <c r="B16">
        <v>34.0791</v>
      </c>
      <c r="C16">
        <v>-45.8046</v>
      </c>
      <c r="D16">
        <v>-3.0653</v>
      </c>
      <c r="E16" s="85">
        <f t="shared" si="0"/>
        <v>-119.51439723196277</v>
      </c>
      <c r="F16" s="86">
        <f t="shared" si="1"/>
        <v>-5.140109506257161</v>
      </c>
      <c r="G16" s="22">
        <f t="shared" si="2"/>
        <v>3.0653</v>
      </c>
      <c r="H16" s="78">
        <f t="shared" si="3"/>
        <v>8.77529887591475</v>
      </c>
      <c r="I16" s="469"/>
    </row>
    <row r="17" spans="1:9" ht="13.5" thickBot="1">
      <c r="A17" s="81">
        <v>13</v>
      </c>
      <c r="B17" s="476"/>
      <c r="C17" s="477"/>
      <c r="D17" s="478"/>
      <c r="E17" s="85">
        <f t="shared" si="0"/>
        <v>180.01325905069513</v>
      </c>
      <c r="F17" s="86" t="e">
        <f t="shared" si="1"/>
        <v>#DIV/0!</v>
      </c>
      <c r="G17" s="22">
        <f t="shared" si="2"/>
        <v>0</v>
      </c>
      <c r="H17" s="78">
        <f t="shared" si="3"/>
        <v>0</v>
      </c>
      <c r="I17" s="469"/>
    </row>
    <row r="18" spans="1:14" ht="13.5" thickBot="1">
      <c r="A18" s="81">
        <v>14</v>
      </c>
      <c r="B18" s="476"/>
      <c r="C18" s="477"/>
      <c r="D18" s="478"/>
      <c r="E18" s="85">
        <f>57.3*ATAN2(B18-60,C18)</f>
        <v>180.01325905069513</v>
      </c>
      <c r="F18" s="86" t="e">
        <f t="shared" si="1"/>
        <v>#DIV/0!</v>
      </c>
      <c r="G18" s="22">
        <f>SUMPRODUCT(G$24:I$24,B18:D18)</f>
        <v>0</v>
      </c>
      <c r="H18" s="78">
        <f>SUMPRODUCT(G$23:I$23,B18:D18)</f>
        <v>0</v>
      </c>
      <c r="I18" s="469"/>
      <c r="J18" s="24" t="s">
        <v>46</v>
      </c>
      <c r="K18" s="25"/>
      <c r="L18" s="25"/>
      <c r="M18" s="25"/>
      <c r="N18" s="357" t="s">
        <v>53</v>
      </c>
    </row>
    <row r="19" spans="1:14" ht="13.5" thickBot="1">
      <c r="A19" s="82">
        <v>15</v>
      </c>
      <c r="B19" s="479"/>
      <c r="C19" s="480"/>
      <c r="D19" s="481"/>
      <c r="E19" s="85">
        <f>57.3*ATAN2(B19-60,C19)</f>
        <v>180.01325905069513</v>
      </c>
      <c r="F19" s="86" t="e">
        <f t="shared" si="1"/>
        <v>#DIV/0!</v>
      </c>
      <c r="G19" s="23">
        <f>SUMPRODUCT(G$24:I$24,B19:D19)</f>
        <v>0</v>
      </c>
      <c r="H19" s="79">
        <f>SUMPRODUCT(G$23:I$23,B19:D19)</f>
        <v>0</v>
      </c>
      <c r="I19" s="469"/>
      <c r="J19" s="323" t="s">
        <v>47</v>
      </c>
      <c r="K19" s="324">
        <v>1</v>
      </c>
      <c r="L19" s="329">
        <v>20</v>
      </c>
      <c r="M19" s="329">
        <v>0</v>
      </c>
      <c r="N19" s="321"/>
    </row>
    <row r="20" spans="10:15" ht="12.75">
      <c r="J20" s="327" t="s">
        <v>48</v>
      </c>
      <c r="K20" s="328"/>
      <c r="L20" s="329">
        <v>40</v>
      </c>
      <c r="M20" s="329">
        <v>20</v>
      </c>
      <c r="N20" s="321">
        <f>IF(AND(K19=1,ISBLANK(K20),ISBLANK(K21)),20,IF(AND(K20=1,ISBLANK(K19),ISBLANK(K21)),40,IF(AND(K21=1,ISBLANK(K19),ISBLANK(K20)),60)))</f>
        <v>20</v>
      </c>
      <c r="O20" t="s">
        <v>81</v>
      </c>
    </row>
    <row r="21" spans="10:15" ht="13.5" thickBot="1">
      <c r="J21" s="330" t="s">
        <v>49</v>
      </c>
      <c r="K21" s="331"/>
      <c r="L21" s="329">
        <v>60</v>
      </c>
      <c r="M21" s="329">
        <v>40</v>
      </c>
      <c r="N21" s="321">
        <f>IF(AND(K19=1,ISBLANK(K20),ISBLANK(K21)),0,IF(AND(K20=1,ISBLANK(K19),ISBLANK(K21)),20,IF(AND(K21=1,ISBLANK(K19),ISBLANK(K20)),40)))</f>
        <v>0</v>
      </c>
      <c r="O21" t="s">
        <v>78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4" t="s">
        <v>50</v>
      </c>
      <c r="K22" s="25"/>
      <c r="L22" s="25"/>
      <c r="M22" s="25"/>
      <c r="N22" s="26"/>
    </row>
    <row r="23" spans="1:15" ht="12.75">
      <c r="A23" s="27"/>
      <c r="B23" s="28" t="s">
        <v>1</v>
      </c>
      <c r="C23" s="28" t="s">
        <v>2</v>
      </c>
      <c r="D23" s="31" t="s">
        <v>3</v>
      </c>
      <c r="F23" s="33" t="s">
        <v>31</v>
      </c>
      <c r="G23" s="34">
        <f>SIN(N20*ACOS(-1)/180)</f>
        <v>0.3420201433256687</v>
      </c>
      <c r="H23" s="34">
        <v>0</v>
      </c>
      <c r="I23" s="35">
        <f>COS(N20*ACOS(-1)/180)</f>
        <v>0.9396926207859084</v>
      </c>
      <c r="J23" s="323" t="s">
        <v>52</v>
      </c>
      <c r="K23" s="324">
        <v>1</v>
      </c>
      <c r="L23" s="320"/>
      <c r="M23" s="320"/>
      <c r="N23" s="355" t="str">
        <f>IF(AND(K23=1,ISBLANK(K24)),"G",IF(AND(K24=1,ISBLANK(K23)),"H"))</f>
        <v>G</v>
      </c>
      <c r="O23" t="s">
        <v>79</v>
      </c>
    </row>
    <row r="24" spans="1:15" ht="13.5" thickBot="1">
      <c r="A24" s="29">
        <v>1</v>
      </c>
      <c r="B24" s="437">
        <v>55.26063</v>
      </c>
      <c r="C24" s="437">
        <v>-46.49048</v>
      </c>
      <c r="D24" s="438">
        <v>-43.49382</v>
      </c>
      <c r="F24" s="36" t="s">
        <v>14</v>
      </c>
      <c r="G24" s="37">
        <f>SIN(N21*ACOS(-1)/180)</f>
        <v>0</v>
      </c>
      <c r="H24" s="37">
        <v>0</v>
      </c>
      <c r="I24" s="38">
        <f>N24*COS(N21*ACOS(-1)/180)</f>
        <v>-1</v>
      </c>
      <c r="J24" s="325" t="s">
        <v>51</v>
      </c>
      <c r="K24" s="326"/>
      <c r="L24" s="322"/>
      <c r="M24" s="322"/>
      <c r="N24" s="356">
        <f>IF(AND(K23=1,ISBLANK(K24)),-1,IF(AND(K24=1,ISBLANK(K23)),1))</f>
        <v>-1</v>
      </c>
      <c r="O24" t="s">
        <v>80</v>
      </c>
    </row>
    <row r="25" spans="1:11" ht="12.75">
      <c r="A25" s="29">
        <v>2</v>
      </c>
      <c r="B25" s="437">
        <v>135.99098</v>
      </c>
      <c r="C25" s="437">
        <v>-22.64474</v>
      </c>
      <c r="D25" s="438">
        <v>-43.25852</v>
      </c>
      <c r="J25" s="14"/>
      <c r="K25" s="14"/>
    </row>
    <row r="26" spans="1:11" ht="13.5" thickBot="1">
      <c r="A26" s="32">
        <v>3</v>
      </c>
      <c r="B26" s="439">
        <v>139.7868</v>
      </c>
      <c r="C26" s="439">
        <v>-102.86999</v>
      </c>
      <c r="D26" s="440">
        <v>-42.89597</v>
      </c>
      <c r="J26" s="14"/>
      <c r="K26" s="14"/>
    </row>
    <row r="27" ht="13.5" thickBot="1">
      <c r="M27" s="332"/>
    </row>
    <row r="28" spans="1:15" ht="12.75">
      <c r="A28" s="21" t="s">
        <v>45</v>
      </c>
      <c r="B28" s="17"/>
      <c r="C28" s="17"/>
      <c r="D28" s="18"/>
      <c r="E28" s="70" t="s">
        <v>42</v>
      </c>
      <c r="G28" s="1"/>
      <c r="H28" s="387"/>
      <c r="I28" s="432"/>
      <c r="J28" s="428"/>
      <c r="K28" s="387" t="s">
        <v>95</v>
      </c>
      <c r="L28" s="387"/>
      <c r="M28" s="387"/>
      <c r="O28" t="s">
        <v>96</v>
      </c>
    </row>
    <row r="29" spans="1:17" ht="13.5" thickBot="1">
      <c r="A29" s="30"/>
      <c r="B29" s="19"/>
      <c r="C29" s="19"/>
      <c r="D29" s="20"/>
      <c r="E29" s="14"/>
      <c r="F29" s="15"/>
      <c r="G29" s="3"/>
      <c r="H29" s="387"/>
      <c r="K29">
        <v>153.51548</v>
      </c>
      <c r="L29">
        <v>-81.88121</v>
      </c>
      <c r="M29">
        <v>-40.9184</v>
      </c>
      <c r="O29">
        <v>153.50851</v>
      </c>
      <c r="P29">
        <v>-81.88063</v>
      </c>
      <c r="Q29">
        <v>-40.91645</v>
      </c>
    </row>
    <row r="30" spans="1:19" ht="12.75">
      <c r="A30" s="434" t="s">
        <v>15</v>
      </c>
      <c r="B30" s="73" t="s">
        <v>16</v>
      </c>
      <c r="C30" s="74" t="s">
        <v>17</v>
      </c>
      <c r="D30" s="75" t="s">
        <v>18</v>
      </c>
      <c r="E30" s="14"/>
      <c r="F30" s="15"/>
      <c r="G30" s="470"/>
      <c r="H30" s="387"/>
      <c r="K30">
        <v>149.13114</v>
      </c>
      <c r="L30">
        <v>-79.87712</v>
      </c>
      <c r="M30">
        <v>-17.68956</v>
      </c>
      <c r="N30" s="387"/>
      <c r="O30">
        <v>149.13082</v>
      </c>
      <c r="P30">
        <v>-79.87659</v>
      </c>
      <c r="Q30">
        <v>-17.68933</v>
      </c>
      <c r="R30" s="387"/>
      <c r="S30" s="387"/>
    </row>
    <row r="31" spans="1:19" ht="12.75">
      <c r="A31" s="435">
        <v>1</v>
      </c>
      <c r="B31" s="473">
        <v>153.5208</v>
      </c>
      <c r="C31" s="474">
        <v>-81.87979</v>
      </c>
      <c r="D31" s="475">
        <v>-40.91267</v>
      </c>
      <c r="E31" s="14" t="b">
        <f>AND(ISBLANK(B31),ISBLANK(C31),ISBLANK(D31))</f>
        <v>0</v>
      </c>
      <c r="F31" s="15"/>
      <c r="G31" s="470"/>
      <c r="K31">
        <v>134.0379</v>
      </c>
      <c r="L31">
        <v>-104.44716</v>
      </c>
      <c r="M31">
        <v>-18.1541</v>
      </c>
      <c r="O31">
        <v>134.03734</v>
      </c>
      <c r="P31">
        <v>-104.44864</v>
      </c>
      <c r="Q31">
        <v>-18.15392</v>
      </c>
      <c r="S31" s="387"/>
    </row>
    <row r="32" spans="1:19" ht="12.75">
      <c r="A32" s="435">
        <v>2</v>
      </c>
      <c r="B32" s="473">
        <v>149.13207</v>
      </c>
      <c r="C32" s="474">
        <v>-79.87487</v>
      </c>
      <c r="D32" s="475">
        <v>-17.68448</v>
      </c>
      <c r="E32" s="14" t="b">
        <f aca="true" t="shared" si="4" ref="E32:E45">AND(ISBLANK(B32),ISBLANK(C32),ISBLANK(D32))</f>
        <v>0</v>
      </c>
      <c r="F32" s="15"/>
      <c r="G32" s="470"/>
      <c r="K32">
        <v>104.7539</v>
      </c>
      <c r="L32">
        <v>-115.81663</v>
      </c>
      <c r="M32">
        <v>-33.54751</v>
      </c>
      <c r="O32">
        <v>104.75212</v>
      </c>
      <c r="P32">
        <v>-115.82394</v>
      </c>
      <c r="Q32">
        <v>-33.54553</v>
      </c>
      <c r="R32" s="387"/>
      <c r="S32" s="387"/>
    </row>
    <row r="33" spans="1:19" ht="12.75">
      <c r="A33" s="435">
        <v>3</v>
      </c>
      <c r="B33" s="473">
        <v>134.03873</v>
      </c>
      <c r="C33" s="474">
        <v>-104.44756</v>
      </c>
      <c r="D33" s="475">
        <v>-18.14939</v>
      </c>
      <c r="E33" s="14" t="b">
        <f t="shared" si="4"/>
        <v>0</v>
      </c>
      <c r="F33" s="15"/>
      <c r="G33" s="470"/>
      <c r="K33">
        <v>84.69908</v>
      </c>
      <c r="L33">
        <v>-101.67567</v>
      </c>
      <c r="M33">
        <v>-15.35323</v>
      </c>
      <c r="O33">
        <v>84.7013</v>
      </c>
      <c r="P33">
        <v>-101.67245</v>
      </c>
      <c r="Q33">
        <v>-15.35253</v>
      </c>
      <c r="R33" s="387"/>
      <c r="S33" s="387"/>
    </row>
    <row r="34" spans="1:19" ht="12.75">
      <c r="A34" s="435">
        <v>4</v>
      </c>
      <c r="B34" s="473">
        <v>104.75038</v>
      </c>
      <c r="C34" s="474">
        <v>-115.81</v>
      </c>
      <c r="D34" s="475">
        <v>-33.54153</v>
      </c>
      <c r="E34" s="14" t="b">
        <f t="shared" si="4"/>
        <v>0</v>
      </c>
      <c r="F34" s="15"/>
      <c r="G34" s="470"/>
      <c r="K34">
        <v>84.75794</v>
      </c>
      <c r="L34">
        <v>-110.67044</v>
      </c>
      <c r="M34">
        <v>-39.60292</v>
      </c>
      <c r="O34">
        <v>84.76304</v>
      </c>
      <c r="P34">
        <v>-110.66709</v>
      </c>
      <c r="Q34">
        <v>-39.5989</v>
      </c>
      <c r="S34" s="387"/>
    </row>
    <row r="35" spans="1:19" ht="12.75">
      <c r="A35" s="435">
        <v>5</v>
      </c>
      <c r="B35" s="473">
        <v>84.69985</v>
      </c>
      <c r="C35" s="474">
        <v>-101.66133</v>
      </c>
      <c r="D35" s="475">
        <v>-15.34715</v>
      </c>
      <c r="E35" s="14" t="b">
        <f t="shared" si="4"/>
        <v>0</v>
      </c>
      <c r="F35" s="15"/>
      <c r="G35" s="470"/>
      <c r="K35">
        <v>61.83055</v>
      </c>
      <c r="L35">
        <v>-86.05672</v>
      </c>
      <c r="M35">
        <v>-33.28383</v>
      </c>
      <c r="O35">
        <v>61.83051</v>
      </c>
      <c r="P35">
        <v>-86.05525</v>
      </c>
      <c r="Q35">
        <v>-33.28161</v>
      </c>
      <c r="R35" s="387"/>
      <c r="S35" s="387"/>
    </row>
    <row r="36" spans="1:18" ht="12.75">
      <c r="A36" s="435">
        <v>6</v>
      </c>
      <c r="B36" s="473">
        <v>84.76062</v>
      </c>
      <c r="C36" s="474">
        <v>-110.65554</v>
      </c>
      <c r="D36" s="475">
        <v>-39.59337</v>
      </c>
      <c r="E36" s="14" t="b">
        <f t="shared" si="4"/>
        <v>0</v>
      </c>
      <c r="F36" s="15"/>
      <c r="G36" s="470"/>
      <c r="K36">
        <v>55.86628</v>
      </c>
      <c r="L36">
        <v>-70.49313</v>
      </c>
      <c r="M36">
        <v>-36.84151</v>
      </c>
      <c r="O36">
        <v>55.86975</v>
      </c>
      <c r="P36">
        <v>-70.49119</v>
      </c>
      <c r="Q36">
        <v>-36.8368</v>
      </c>
      <c r="R36" s="387"/>
    </row>
    <row r="37" spans="1:19" ht="12.75">
      <c r="A37" s="435">
        <v>7</v>
      </c>
      <c r="B37" s="473">
        <v>61.82736</v>
      </c>
      <c r="C37" s="474">
        <v>-86.04525</v>
      </c>
      <c r="D37" s="475">
        <v>-33.27594</v>
      </c>
      <c r="E37" s="14" t="b">
        <f t="shared" si="4"/>
        <v>0</v>
      </c>
      <c r="F37" s="15"/>
      <c r="G37" s="470"/>
      <c r="K37">
        <v>70.2301</v>
      </c>
      <c r="L37">
        <v>-45.28797</v>
      </c>
      <c r="M37">
        <v>-39.3844</v>
      </c>
      <c r="O37">
        <v>70.22774</v>
      </c>
      <c r="P37">
        <v>-45.28639</v>
      </c>
      <c r="Q37">
        <v>-39.38643</v>
      </c>
      <c r="R37" s="387"/>
      <c r="S37" s="387"/>
    </row>
    <row r="38" spans="1:19" ht="12.75">
      <c r="A38" s="435">
        <v>8</v>
      </c>
      <c r="B38" s="473">
        <v>55.85383</v>
      </c>
      <c r="C38" s="474">
        <v>-70.48555</v>
      </c>
      <c r="D38" s="475">
        <v>-36.83733</v>
      </c>
      <c r="E38" s="14" t="b">
        <f t="shared" si="4"/>
        <v>0</v>
      </c>
      <c r="F38" s="14"/>
      <c r="G38" s="470"/>
      <c r="K38">
        <v>104.22523</v>
      </c>
      <c r="L38">
        <v>-49.8424</v>
      </c>
      <c r="M38">
        <v>-34.0402</v>
      </c>
      <c r="O38">
        <v>104.22448</v>
      </c>
      <c r="P38">
        <v>-49.84132</v>
      </c>
      <c r="Q38">
        <v>-34.03534</v>
      </c>
      <c r="R38" s="387"/>
      <c r="S38" s="387"/>
    </row>
    <row r="39" spans="1:15" ht="12.75">
      <c r="A39" s="435">
        <v>9</v>
      </c>
      <c r="B39" s="473">
        <v>70.23527</v>
      </c>
      <c r="C39" s="474">
        <v>-45.27449</v>
      </c>
      <c r="D39" s="475">
        <v>-39.38057</v>
      </c>
      <c r="E39" s="14" t="b">
        <f t="shared" si="4"/>
        <v>0</v>
      </c>
      <c r="F39" s="14"/>
      <c r="K39" s="468"/>
      <c r="O39" s="503"/>
    </row>
    <row r="40" spans="1:15" ht="12.75">
      <c r="A40" s="435">
        <v>10</v>
      </c>
      <c r="B40" s="473">
        <v>104.22964</v>
      </c>
      <c r="C40" s="474">
        <v>-49.8345</v>
      </c>
      <c r="D40" s="475">
        <v>-34.03131</v>
      </c>
      <c r="E40" s="14" t="b">
        <f t="shared" si="4"/>
        <v>0</v>
      </c>
      <c r="F40" s="14"/>
      <c r="K40" t="s">
        <v>97</v>
      </c>
      <c r="O40" s="503" t="s">
        <v>98</v>
      </c>
    </row>
    <row r="41" spans="1:17" ht="12.75">
      <c r="A41" s="435">
        <v>11</v>
      </c>
      <c r="B41" s="473"/>
      <c r="C41" s="474"/>
      <c r="D41" s="475"/>
      <c r="E41" s="14" t="b">
        <f t="shared" si="4"/>
        <v>1</v>
      </c>
      <c r="F41" s="14"/>
      <c r="K41">
        <v>153.52148</v>
      </c>
      <c r="L41">
        <v>-81.87999</v>
      </c>
      <c r="M41">
        <v>-40.91402</v>
      </c>
      <c r="O41">
        <v>153.5208</v>
      </c>
      <c r="P41">
        <v>-81.87979</v>
      </c>
      <c r="Q41">
        <v>-40.91267</v>
      </c>
    </row>
    <row r="42" spans="1:17" ht="12.75">
      <c r="A42" s="435">
        <v>12</v>
      </c>
      <c r="B42" s="473"/>
      <c r="C42" s="474"/>
      <c r="D42" s="475"/>
      <c r="E42" s="14" t="b">
        <f t="shared" si="4"/>
        <v>1</v>
      </c>
      <c r="F42" s="14"/>
      <c r="K42">
        <v>149.13402</v>
      </c>
      <c r="L42">
        <v>-79.87506</v>
      </c>
      <c r="M42">
        <v>-17.68423</v>
      </c>
      <c r="O42">
        <v>149.13207</v>
      </c>
      <c r="P42">
        <v>-79.87487</v>
      </c>
      <c r="Q42">
        <v>-17.68448</v>
      </c>
    </row>
    <row r="43" spans="1:17" ht="12.75">
      <c r="A43" s="435">
        <v>13</v>
      </c>
      <c r="B43" s="528"/>
      <c r="C43" s="529"/>
      <c r="D43" s="530"/>
      <c r="E43" s="14" t="b">
        <f t="shared" si="4"/>
        <v>1</v>
      </c>
      <c r="F43" s="14"/>
      <c r="G43" s="3"/>
      <c r="K43">
        <v>134.0366</v>
      </c>
      <c r="L43">
        <v>-104.4451</v>
      </c>
      <c r="M43">
        <v>-18.15057</v>
      </c>
      <c r="O43">
        <v>134.03873</v>
      </c>
      <c r="P43">
        <v>-104.44756</v>
      </c>
      <c r="Q43">
        <v>-18.14939</v>
      </c>
    </row>
    <row r="44" spans="1:17" ht="12.75">
      <c r="A44" s="435">
        <v>14</v>
      </c>
      <c r="B44" s="528"/>
      <c r="C44" s="529"/>
      <c r="D44" s="530"/>
      <c r="E44" s="14" t="b">
        <f t="shared" si="4"/>
        <v>1</v>
      </c>
      <c r="F44" s="14"/>
      <c r="G44" s="3"/>
      <c r="K44">
        <v>104.75217</v>
      </c>
      <c r="L44">
        <v>-115.80784</v>
      </c>
      <c r="M44">
        <v>-33.54329</v>
      </c>
      <c r="O44">
        <v>104.75038</v>
      </c>
      <c r="P44">
        <v>-115.81</v>
      </c>
      <c r="Q44">
        <v>-33.54153</v>
      </c>
    </row>
    <row r="45" spans="1:17" ht="13.5" thickBot="1">
      <c r="A45" s="436">
        <v>15</v>
      </c>
      <c r="B45" s="531"/>
      <c r="C45" s="532"/>
      <c r="D45" s="533"/>
      <c r="E45" s="14" t="b">
        <f t="shared" si="4"/>
        <v>1</v>
      </c>
      <c r="F45" s="14"/>
      <c r="G45" s="3"/>
      <c r="K45">
        <v>84.70082</v>
      </c>
      <c r="L45">
        <v>-101.6623</v>
      </c>
      <c r="M45">
        <v>-15.35097</v>
      </c>
      <c r="O45">
        <v>84.69985</v>
      </c>
      <c r="P45">
        <v>-101.66133</v>
      </c>
      <c r="Q45">
        <v>-15.34715</v>
      </c>
    </row>
    <row r="46" spans="1:17" ht="12.75">
      <c r="A46" s="14"/>
      <c r="B46" s="14"/>
      <c r="C46" s="14"/>
      <c r="D46" s="14"/>
      <c r="E46" s="14"/>
      <c r="F46" s="14"/>
      <c r="G46" s="3"/>
      <c r="K46">
        <v>84.76531</v>
      </c>
      <c r="L46">
        <v>-110.6527</v>
      </c>
      <c r="M46">
        <v>-39.5958</v>
      </c>
      <c r="O46">
        <v>84.76062</v>
      </c>
      <c r="P46">
        <v>-110.65554</v>
      </c>
      <c r="Q46">
        <v>-39.59337</v>
      </c>
    </row>
    <row r="47" spans="7:17" ht="12.75">
      <c r="G47" s="3"/>
      <c r="K47">
        <v>61.8341</v>
      </c>
      <c r="L47">
        <v>-86.04278</v>
      </c>
      <c r="M47">
        <v>-33.27985</v>
      </c>
      <c r="O47">
        <v>61.82736</v>
      </c>
      <c r="P47">
        <v>-86.04525</v>
      </c>
      <c r="Q47">
        <v>-33.27594</v>
      </c>
    </row>
    <row r="48" spans="4:17" ht="12.75">
      <c r="D48" s="14"/>
      <c r="E48" s="14"/>
      <c r="F48" s="14"/>
      <c r="G48" s="14"/>
      <c r="K48">
        <v>55.86091</v>
      </c>
      <c r="L48">
        <v>-70.48556</v>
      </c>
      <c r="M48">
        <v>-36.84342</v>
      </c>
      <c r="O48">
        <v>55.85383</v>
      </c>
      <c r="P48">
        <v>-70.48555</v>
      </c>
      <c r="Q48">
        <v>-36.83733</v>
      </c>
    </row>
    <row r="49" spans="1:17" ht="12.75">
      <c r="A49" s="3"/>
      <c r="B49" s="3"/>
      <c r="C49" s="3"/>
      <c r="D49" s="441"/>
      <c r="E49" s="441"/>
      <c r="F49" s="441"/>
      <c r="G49" s="3"/>
      <c r="H49" s="387"/>
      <c r="I49" s="387"/>
      <c r="J49" s="387"/>
      <c r="K49">
        <v>70.23388</v>
      </c>
      <c r="L49">
        <v>-45.27371</v>
      </c>
      <c r="M49">
        <v>-39.38444</v>
      </c>
      <c r="N49" s="387"/>
      <c r="O49">
        <v>70.23527</v>
      </c>
      <c r="P49">
        <v>-45.27449</v>
      </c>
      <c r="Q49">
        <v>-39.38057</v>
      </c>
    </row>
    <row r="50" spans="1:17" ht="12.75">
      <c r="A50" s="3"/>
      <c r="B50" s="3"/>
      <c r="C50" s="3"/>
      <c r="D50" s="441"/>
      <c r="E50" s="441"/>
      <c r="F50" s="441"/>
      <c r="G50" s="3"/>
      <c r="H50" s="14"/>
      <c r="K50">
        <v>104.23108</v>
      </c>
      <c r="L50">
        <v>-49.83622</v>
      </c>
      <c r="M50">
        <v>-34.03109</v>
      </c>
      <c r="N50" s="387"/>
      <c r="O50">
        <v>104.22964</v>
      </c>
      <c r="P50">
        <v>-49.8345</v>
      </c>
      <c r="Q50">
        <v>-34.03131</v>
      </c>
    </row>
    <row r="51" spans="1:18" ht="12.75">
      <c r="A51" s="3"/>
      <c r="B51" s="3"/>
      <c r="C51" s="3"/>
      <c r="D51" s="471"/>
      <c r="E51" s="471"/>
      <c r="F51" s="471"/>
      <c r="G51" s="3"/>
      <c r="H51" s="14"/>
      <c r="M51" s="387"/>
      <c r="N51" s="3"/>
      <c r="O51" s="3"/>
      <c r="P51" s="3"/>
      <c r="Q51" s="3"/>
      <c r="R51" s="3"/>
    </row>
    <row r="52" spans="1:18" ht="12.75">
      <c r="A52" s="3"/>
      <c r="B52" s="3"/>
      <c r="C52" s="3"/>
      <c r="D52" s="471"/>
      <c r="E52" s="471"/>
      <c r="F52" s="471"/>
      <c r="G52" s="3"/>
      <c r="H52" s="430"/>
      <c r="N52" s="3"/>
      <c r="O52" s="3"/>
      <c r="P52" s="3"/>
      <c r="Q52" s="429"/>
      <c r="R52" s="3"/>
    </row>
    <row r="53" spans="1:18" ht="12.75">
      <c r="A53" s="432"/>
      <c r="B53" s="472"/>
      <c r="C53" s="431"/>
      <c r="D53" s="471"/>
      <c r="E53" s="471"/>
      <c r="F53" s="471"/>
      <c r="G53" s="3"/>
      <c r="H53" s="3"/>
      <c r="N53" s="3"/>
      <c r="O53" s="3"/>
      <c r="P53" s="3"/>
      <c r="Q53" s="429"/>
      <c r="R53" s="3"/>
    </row>
    <row r="54" spans="1:18" ht="12.75">
      <c r="A54" s="432"/>
      <c r="B54" s="472"/>
      <c r="C54" s="431"/>
      <c r="D54" s="471"/>
      <c r="E54" s="471"/>
      <c r="F54" s="471"/>
      <c r="G54" s="3"/>
      <c r="H54" s="3"/>
      <c r="N54" s="3"/>
      <c r="O54" s="3"/>
      <c r="P54" s="3"/>
      <c r="Q54" s="429"/>
      <c r="R54" s="3"/>
    </row>
    <row r="55" spans="1:18" ht="12.75">
      <c r="A55" s="432"/>
      <c r="B55" s="472"/>
      <c r="C55" s="431"/>
      <c r="D55" s="471"/>
      <c r="E55" s="471"/>
      <c r="F55" s="471"/>
      <c r="G55" s="3"/>
      <c r="H55" s="3"/>
      <c r="N55" s="3"/>
      <c r="O55" s="3"/>
      <c r="P55" s="3"/>
      <c r="Q55" s="429"/>
      <c r="R55" s="3"/>
    </row>
    <row r="56" spans="1:18" ht="12.75">
      <c r="A56" s="432"/>
      <c r="B56" s="472"/>
      <c r="C56" s="431"/>
      <c r="D56" s="471"/>
      <c r="E56" s="471"/>
      <c r="F56" s="471"/>
      <c r="G56" s="3"/>
      <c r="H56" s="3"/>
      <c r="L56" s="3"/>
      <c r="M56" s="3"/>
      <c r="N56" s="3"/>
      <c r="O56" s="3"/>
      <c r="P56" s="3"/>
      <c r="Q56" s="429"/>
      <c r="R56" s="3"/>
    </row>
    <row r="57" spans="1:18" ht="12.75">
      <c r="A57" s="432"/>
      <c r="B57" s="472"/>
      <c r="C57" s="431"/>
      <c r="D57" s="471"/>
      <c r="E57" s="471"/>
      <c r="F57" s="471"/>
      <c r="G57" s="3"/>
      <c r="H57" s="3"/>
      <c r="L57" s="3"/>
      <c r="M57" s="3"/>
      <c r="N57" s="3"/>
      <c r="O57" s="3"/>
      <c r="P57" s="3"/>
      <c r="Q57" s="429"/>
      <c r="R57" s="3"/>
    </row>
    <row r="58" spans="1:18" ht="12.75">
      <c r="A58" s="432"/>
      <c r="B58" s="472"/>
      <c r="C58" s="431"/>
      <c r="D58" s="471"/>
      <c r="E58" s="471"/>
      <c r="F58" s="471"/>
      <c r="G58" s="3"/>
      <c r="H58" s="3"/>
      <c r="L58" s="3"/>
      <c r="M58" s="3"/>
      <c r="N58" s="3"/>
      <c r="O58" s="3"/>
      <c r="P58" s="3"/>
      <c r="Q58" s="429"/>
      <c r="R58" s="3"/>
    </row>
    <row r="59" spans="1:18" ht="12.75">
      <c r="A59" s="432"/>
      <c r="B59" s="472"/>
      <c r="C59" s="431"/>
      <c r="D59" s="431"/>
      <c r="E59" s="431"/>
      <c r="F59" s="3"/>
      <c r="G59" s="3"/>
      <c r="H59" s="3"/>
      <c r="L59" s="3"/>
      <c r="M59" s="3"/>
      <c r="N59" s="3"/>
      <c r="O59" s="3"/>
      <c r="P59" s="3"/>
      <c r="Q59" s="429"/>
      <c r="R59" s="3"/>
    </row>
    <row r="60" spans="1:18" ht="12.75">
      <c r="A60" s="432"/>
      <c r="B60" s="472"/>
      <c r="C60" s="431"/>
      <c r="D60" s="431"/>
      <c r="E60" s="431"/>
      <c r="F60" s="3"/>
      <c r="G60" s="3"/>
      <c r="H60" s="3"/>
      <c r="L60" s="3"/>
      <c r="M60" s="3"/>
      <c r="N60" s="3"/>
      <c r="O60" s="3"/>
      <c r="P60" s="3"/>
      <c r="Q60" s="429"/>
      <c r="R60" s="3"/>
    </row>
    <row r="61" spans="1:18" ht="12.75">
      <c r="A61" s="432"/>
      <c r="B61" s="472"/>
      <c r="C61" s="431"/>
      <c r="D61" s="432"/>
      <c r="E61" s="432"/>
      <c r="F61" s="1"/>
      <c r="G61" s="3"/>
      <c r="H61" s="3"/>
      <c r="L61" s="3"/>
      <c r="M61" s="3"/>
      <c r="N61" s="3"/>
      <c r="O61" s="3"/>
      <c r="P61" s="3"/>
      <c r="Q61" s="429"/>
      <c r="R61" s="3"/>
    </row>
    <row r="62" spans="1:18" ht="12.75">
      <c r="A62" s="432"/>
      <c r="B62" s="472"/>
      <c r="C62" s="431"/>
      <c r="D62" s="431"/>
      <c r="E62" s="431"/>
      <c r="F62" s="3"/>
      <c r="G62" s="3"/>
      <c r="H62" s="3"/>
      <c r="L62" s="3"/>
      <c r="M62" s="3"/>
      <c r="N62" s="3"/>
      <c r="O62" s="3"/>
      <c r="P62" s="3"/>
      <c r="Q62" s="429"/>
      <c r="R62" s="3"/>
    </row>
    <row r="63" spans="1:18" ht="12.75">
      <c r="A63" s="432"/>
      <c r="B63" s="472"/>
      <c r="C63" s="431"/>
      <c r="D63" s="431"/>
      <c r="E63" s="431"/>
      <c r="F63" s="3"/>
      <c r="G63" s="3"/>
      <c r="H63" s="3"/>
      <c r="L63" s="3"/>
      <c r="M63" s="3"/>
      <c r="N63" s="3"/>
      <c r="O63" s="3"/>
      <c r="P63" s="3"/>
      <c r="Q63" s="429"/>
      <c r="R63" s="3"/>
    </row>
    <row r="64" spans="1:18" ht="12.75">
      <c r="A64" s="432"/>
      <c r="B64" s="472"/>
      <c r="C64" s="431"/>
      <c r="D64" s="432"/>
      <c r="E64" s="432"/>
      <c r="F64" s="1"/>
      <c r="G64" s="3"/>
      <c r="H64" s="3"/>
      <c r="L64" s="3"/>
      <c r="M64" s="3"/>
      <c r="N64" s="3"/>
      <c r="O64" s="3"/>
      <c r="P64" s="3"/>
      <c r="Q64" s="429"/>
      <c r="R64" s="3"/>
    </row>
    <row r="65" spans="1:18" ht="12.75">
      <c r="A65" s="432"/>
      <c r="B65" s="472"/>
      <c r="C65" s="431"/>
      <c r="D65" s="431"/>
      <c r="E65" s="431"/>
      <c r="F65" s="3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432"/>
      <c r="B66" s="472"/>
      <c r="C66" s="431"/>
      <c r="D66" s="431"/>
      <c r="E66" s="431"/>
      <c r="F66" s="3"/>
      <c r="G66" s="3"/>
      <c r="H66" s="3"/>
      <c r="L66" s="3"/>
      <c r="M66" s="3"/>
      <c r="N66" s="3"/>
      <c r="O66" s="3"/>
      <c r="P66" s="3"/>
      <c r="Q66" s="3"/>
      <c r="R66" s="3"/>
    </row>
    <row r="67" spans="1:18" ht="12.75">
      <c r="A67" s="432"/>
      <c r="B67" s="472"/>
      <c r="C67" s="431"/>
      <c r="D67" s="432"/>
      <c r="E67" s="432"/>
      <c r="F67" s="1"/>
      <c r="G67" s="3"/>
      <c r="H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31"/>
      <c r="E68" s="3"/>
      <c r="F68" s="3"/>
      <c r="G68" s="3"/>
      <c r="H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31"/>
      <c r="E69" s="3"/>
      <c r="F69" s="3"/>
      <c r="G69" s="3"/>
      <c r="H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59"/>
      <c r="E71" s="14"/>
      <c r="F71" s="14"/>
      <c r="G71" s="3"/>
      <c r="H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59"/>
      <c r="E72" s="14"/>
      <c r="F72" s="14"/>
      <c r="G72" s="3"/>
      <c r="H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59"/>
      <c r="E74" s="14"/>
      <c r="F74" s="14"/>
      <c r="G74" s="3"/>
      <c r="H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59"/>
      <c r="E75" s="14"/>
      <c r="F75" s="14"/>
      <c r="G75" s="3"/>
      <c r="H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I76" s="3"/>
      <c r="J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K81" s="3"/>
      <c r="L81" s="3"/>
      <c r="M81" s="3"/>
      <c r="N81" s="3"/>
      <c r="O81" s="3"/>
      <c r="P81" s="3"/>
      <c r="Q81" s="3"/>
      <c r="R81" s="3"/>
    </row>
    <row r="82" spans="11:13" ht="12.75">
      <c r="K82" s="3"/>
      <c r="L82" s="3"/>
      <c r="M82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D4" sqref="D4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  <col min="11" max="11" width="15.140625" style="0" bestFit="1" customWidth="1"/>
  </cols>
  <sheetData>
    <row r="1" spans="1:5" ht="28.5" customHeight="1" thickBot="1">
      <c r="A1" s="77" t="s">
        <v>43</v>
      </c>
      <c r="B1" s="76"/>
      <c r="C1" s="76"/>
      <c r="D1" s="76"/>
      <c r="E1" s="76"/>
    </row>
    <row r="2" spans="1:10" ht="10.5" customHeight="1">
      <c r="A2" s="333" t="s">
        <v>36</v>
      </c>
      <c r="B2" s="334"/>
      <c r="C2" s="334"/>
      <c r="D2" s="334"/>
      <c r="E2" s="335"/>
      <c r="F2" s="336"/>
      <c r="G2" s="336"/>
      <c r="H2" s="337" t="s">
        <v>28</v>
      </c>
      <c r="I2" s="338"/>
      <c r="J2" s="339"/>
    </row>
    <row r="3" spans="1:10" ht="10.5" customHeight="1">
      <c r="A3" s="340" t="s">
        <v>0</v>
      </c>
      <c r="B3" s="340" t="s">
        <v>1</v>
      </c>
      <c r="C3" s="340" t="s">
        <v>2</v>
      </c>
      <c r="D3" s="340" t="s">
        <v>3</v>
      </c>
      <c r="E3" s="335"/>
      <c r="F3" s="341" t="s">
        <v>37</v>
      </c>
      <c r="G3" s="342">
        <f>B4*(C5*D6-D5*C6)-C4*(B5*D6-D5*B6)+D4*(B5*C6-C5*B6)</f>
        <v>288469.5193213646</v>
      </c>
      <c r="H3" s="343" t="s">
        <v>4</v>
      </c>
      <c r="I3" s="344" t="s">
        <v>5</v>
      </c>
      <c r="J3" s="345" t="s">
        <v>6</v>
      </c>
    </row>
    <row r="4" spans="1:10" ht="10.5" customHeight="1">
      <c r="A4" s="340">
        <v>1</v>
      </c>
      <c r="B4" s="504">
        <f>'Input Data'!B24</f>
        <v>55.26063</v>
      </c>
      <c r="C4" s="504">
        <f>'Input Data'!C24</f>
        <v>-46.49048</v>
      </c>
      <c r="D4" s="504">
        <f>'Input Data'!D24</f>
        <v>-43.49382</v>
      </c>
      <c r="E4" s="314"/>
      <c r="F4" s="341" t="s">
        <v>38</v>
      </c>
      <c r="G4" s="342">
        <f>(C5*D6-D5*C6)-(C4*D6-D4*C6)+(C4*D5-D4*C5)</f>
        <v>27.52227436200019</v>
      </c>
      <c r="H4" s="346">
        <f>G4/G3</f>
        <v>9.54079114727524E-05</v>
      </c>
      <c r="I4" s="347">
        <f>H4*J$4</f>
        <v>0.004190839804765984</v>
      </c>
      <c r="J4" s="348">
        <f>1/SQRT(SUMSQ(H4:H6))</f>
        <v>43.92549569605502</v>
      </c>
    </row>
    <row r="5" spans="1:10" ht="10.5" customHeight="1">
      <c r="A5" s="340">
        <v>2</v>
      </c>
      <c r="B5" s="504">
        <f>'Input Data'!B25</f>
        <v>135.99098</v>
      </c>
      <c r="C5" s="504">
        <f>'Input Data'!C25</f>
        <v>-22.64474</v>
      </c>
      <c r="D5" s="504">
        <f>'Input Data'!D25</f>
        <v>-43.25852</v>
      </c>
      <c r="E5" s="314"/>
      <c r="F5" s="341" t="s">
        <v>39</v>
      </c>
      <c r="G5" s="342">
        <f>-(B5*D6-D5*B6)+(B4*D6-D4*B6)-(B4*D5-D4*B5)</f>
        <v>-28.375631946501017</v>
      </c>
      <c r="H5" s="346">
        <f>G5/G3</f>
        <v>-9.83661359205498E-05</v>
      </c>
      <c r="I5" s="347">
        <f>H5*J$4</f>
        <v>-0.004320781280015674</v>
      </c>
      <c r="J5" s="349"/>
    </row>
    <row r="6" spans="1:10" ht="10.5" customHeight="1" thickBot="1">
      <c r="A6" s="340">
        <v>3</v>
      </c>
      <c r="B6" s="504">
        <f>'Input Data'!B26</f>
        <v>139.7868</v>
      </c>
      <c r="C6" s="504">
        <f>'Input Data'!C26</f>
        <v>-102.86999</v>
      </c>
      <c r="D6" s="504">
        <f>'Input Data'!D26</f>
        <v>-42.89597</v>
      </c>
      <c r="E6" s="314"/>
      <c r="F6" s="341" t="s">
        <v>40</v>
      </c>
      <c r="G6" s="342">
        <f>(B5*C6-C5*B6)-(B4*C6-C4*B6)+(B4*C5-C4*B5)</f>
        <v>-6567.126648144301</v>
      </c>
      <c r="H6" s="350">
        <f>G6/G3</f>
        <v>-0.022765409196762672</v>
      </c>
      <c r="I6" s="351">
        <f>H6*J$4</f>
        <v>-0.9999818836913302</v>
      </c>
      <c r="J6" s="352"/>
    </row>
    <row r="7" spans="1:10" ht="10.5" customHeight="1" thickBo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0.5" customHeight="1" thickBot="1">
      <c r="A8" s="353" t="s">
        <v>41</v>
      </c>
      <c r="B8" s="354"/>
      <c r="C8" s="335"/>
      <c r="D8" s="335"/>
      <c r="E8" s="335"/>
      <c r="F8" s="336"/>
      <c r="G8" s="336"/>
      <c r="H8" s="336"/>
      <c r="I8" s="336"/>
      <c r="J8" s="336"/>
    </row>
    <row r="9" spans="1:12" ht="10.5" customHeight="1">
      <c r="A9" s="98" t="s">
        <v>0</v>
      </c>
      <c r="B9" s="99" t="s">
        <v>16</v>
      </c>
      <c r="C9" s="99" t="s">
        <v>17</v>
      </c>
      <c r="D9" s="99" t="s">
        <v>18</v>
      </c>
      <c r="E9" s="100"/>
      <c r="F9" s="101" t="s">
        <v>7</v>
      </c>
      <c r="G9" s="101" t="s">
        <v>8</v>
      </c>
      <c r="H9" s="101" t="s">
        <v>9</v>
      </c>
      <c r="I9" s="101" t="s">
        <v>10</v>
      </c>
      <c r="J9" s="102" t="s">
        <v>11</v>
      </c>
      <c r="K9" s="507" t="s">
        <v>94</v>
      </c>
      <c r="L9" s="509" t="s">
        <v>19</v>
      </c>
    </row>
    <row r="10" spans="1:12" ht="10.5" customHeight="1">
      <c r="A10" s="103">
        <v>1</v>
      </c>
      <c r="B10" s="104">
        <f>'Input Data'!B31</f>
        <v>153.5208</v>
      </c>
      <c r="C10" s="104">
        <f>'Input Data'!C31</f>
        <v>-81.87979</v>
      </c>
      <c r="D10" s="104">
        <f>'Input Data'!D31</f>
        <v>-40.91267</v>
      </c>
      <c r="E10" s="105" t="s">
        <v>1</v>
      </c>
      <c r="F10" s="106">
        <f>C10*I$6-D10*I$5</f>
        <v>81.70153194179909</v>
      </c>
      <c r="G10" s="106">
        <f>I$5*F12-I$6*F11</f>
        <v>153.34516569834972</v>
      </c>
      <c r="H10" s="106">
        <f>J$4*I$4</f>
        <v>0.1840847158071043</v>
      </c>
      <c r="I10" s="106">
        <f>G10+H10</f>
        <v>153.52925041415682</v>
      </c>
      <c r="J10" s="107">
        <f>B10-I10</f>
        <v>-0.008450414156811803</v>
      </c>
      <c r="L10" s="505"/>
    </row>
    <row r="11" spans="1:12" ht="10.5" customHeight="1" thickBot="1">
      <c r="A11" s="239"/>
      <c r="B11" s="240"/>
      <c r="C11" s="240"/>
      <c r="D11" s="241"/>
      <c r="E11" s="105" t="s">
        <v>2</v>
      </c>
      <c r="F11" s="106">
        <f>-(B10*I$6-I$4*D10)</f>
        <v>153.3465603238447</v>
      </c>
      <c r="G11" s="106">
        <f>-(I$4*F12-I$6*F10)</f>
        <v>-81.69870996877665</v>
      </c>
      <c r="H11" s="106">
        <f>J$4*I$5</f>
        <v>-0.1897924595189236</v>
      </c>
      <c r="I11" s="106">
        <f>G11+H11</f>
        <v>-81.88850242829558</v>
      </c>
      <c r="J11" s="108">
        <f>C10-I11</f>
        <v>0.008712428295581276</v>
      </c>
      <c r="L11" s="505"/>
    </row>
    <row r="12" spans="1:12" ht="10.5" customHeight="1" thickBot="1">
      <c r="A12" s="242"/>
      <c r="B12" s="243"/>
      <c r="C12" s="243"/>
      <c r="D12" s="244"/>
      <c r="E12" s="109" t="s">
        <v>3</v>
      </c>
      <c r="F12" s="110">
        <f>B10*I$5-I$4*C10</f>
        <v>-0.32018471559515055</v>
      </c>
      <c r="G12" s="110">
        <f>I$4*F11-I$5*F10</f>
        <v>0.9956653186918447</v>
      </c>
      <c r="H12" s="110">
        <f>J$4*I$6</f>
        <v>-43.92469992821652</v>
      </c>
      <c r="I12" s="111">
        <f>G12+H12</f>
        <v>-42.92903460952468</v>
      </c>
      <c r="J12" s="112">
        <f>IF('Input Data'!E31=TRUE,"",(D10-I12))</f>
        <v>2.016364609524679</v>
      </c>
      <c r="K12" s="508">
        <f>J10*I$4+J11*I$5+J12*I$6</f>
        <v>-2.01640113927012</v>
      </c>
      <c r="L12" s="508">
        <f>-K12</f>
        <v>2.01640113927012</v>
      </c>
    </row>
    <row r="13" spans="1:12" ht="10.5" customHeight="1">
      <c r="A13" s="113" t="s">
        <v>0</v>
      </c>
      <c r="B13" s="114" t="s">
        <v>16</v>
      </c>
      <c r="C13" s="114" t="s">
        <v>17</v>
      </c>
      <c r="D13" s="114" t="s">
        <v>18</v>
      </c>
      <c r="E13" s="115"/>
      <c r="F13" s="116" t="s">
        <v>7</v>
      </c>
      <c r="G13" s="116" t="s">
        <v>8</v>
      </c>
      <c r="H13" s="116" t="s">
        <v>9</v>
      </c>
      <c r="I13" s="116" t="s">
        <v>10</v>
      </c>
      <c r="J13" s="117" t="s">
        <v>11</v>
      </c>
      <c r="L13" s="505"/>
    </row>
    <row r="14" spans="1:12" ht="10.5" customHeight="1">
      <c r="A14" s="118">
        <v>2</v>
      </c>
      <c r="B14" s="119">
        <f>'Input Data'!B32</f>
        <v>149.13207</v>
      </c>
      <c r="C14" s="119">
        <f>'Input Data'!C32</f>
        <v>-79.87487</v>
      </c>
      <c r="D14" s="119">
        <f>'Input Data'!D32</f>
        <v>-17.68448</v>
      </c>
      <c r="E14" s="120" t="s">
        <v>1</v>
      </c>
      <c r="F14" s="121">
        <f>C14*I$6-D14*I$5</f>
        <v>79.79701219206932</v>
      </c>
      <c r="G14" s="121">
        <f>I$5*F16-I$6*F15</f>
        <v>149.05389294241712</v>
      </c>
      <c r="H14" s="121">
        <f>J$4*I$4</f>
        <v>0.1840847158071043</v>
      </c>
      <c r="I14" s="121">
        <f>G14+H14</f>
        <v>149.23797765822422</v>
      </c>
      <c r="J14" s="122">
        <f>B14-I14</f>
        <v>-0.10590765822422554</v>
      </c>
      <c r="L14" s="505"/>
    </row>
    <row r="15" spans="1:12" ht="10.5" customHeight="1" thickBot="1">
      <c r="A15" s="239"/>
      <c r="B15" s="240"/>
      <c r="C15" s="240"/>
      <c r="D15" s="241"/>
      <c r="E15" s="120" t="s">
        <v>2</v>
      </c>
      <c r="F15" s="121">
        <f>-(B14*I$6-I$4*D14)</f>
        <v>149.05525545467674</v>
      </c>
      <c r="G15" s="121">
        <f>-(I$4*F16-I$6*F14)</f>
        <v>-79.79426897904312</v>
      </c>
      <c r="H15" s="121">
        <f>J$4*I$5</f>
        <v>-0.1897924595189236</v>
      </c>
      <c r="I15" s="121">
        <f>G15+H15</f>
        <v>-79.98406143856205</v>
      </c>
      <c r="J15" s="123">
        <f>C14-I15</f>
        <v>0.10919143856204983</v>
      </c>
      <c r="L15" s="505"/>
    </row>
    <row r="16" spans="1:12" ht="10.5" customHeight="1" thickBot="1">
      <c r="A16" s="242"/>
      <c r="B16" s="243"/>
      <c r="C16" s="243"/>
      <c r="D16" s="244"/>
      <c r="E16" s="124" t="s">
        <v>3</v>
      </c>
      <c r="F16" s="125">
        <f>B14*I$5-I$4*C14</f>
        <v>-0.30962427170947876</v>
      </c>
      <c r="G16" s="125">
        <f>I$4*F15-I$5*F14</f>
        <v>0.9694521341496969</v>
      </c>
      <c r="H16" s="125">
        <f>J$4*I$6</f>
        <v>-43.92469992821652</v>
      </c>
      <c r="I16" s="126">
        <f>G16+H16</f>
        <v>-42.95524779406682</v>
      </c>
      <c r="J16" s="112">
        <f>IF('Input Data'!E32=TRUE,"",(D14-I16))</f>
        <v>25.27076779406682</v>
      </c>
      <c r="K16" s="508">
        <f>J14*I$4+J15*I$5+J16*I$6</f>
        <v>-25.271225615390534</v>
      </c>
      <c r="L16" s="508">
        <f>-K16</f>
        <v>25.271225615390534</v>
      </c>
    </row>
    <row r="17" spans="1:12" ht="10.5" customHeight="1">
      <c r="A17" s="127" t="s">
        <v>0</v>
      </c>
      <c r="B17" s="128" t="s">
        <v>16</v>
      </c>
      <c r="C17" s="128" t="s">
        <v>17</v>
      </c>
      <c r="D17" s="128" t="s">
        <v>18</v>
      </c>
      <c r="E17" s="129"/>
      <c r="F17" s="130" t="s">
        <v>7</v>
      </c>
      <c r="G17" s="130" t="s">
        <v>8</v>
      </c>
      <c r="H17" s="130" t="s">
        <v>9</v>
      </c>
      <c r="I17" s="130" t="s">
        <v>10</v>
      </c>
      <c r="J17" s="131" t="s">
        <v>11</v>
      </c>
      <c r="L17" s="505"/>
    </row>
    <row r="18" spans="1:12" ht="10.5" customHeight="1">
      <c r="A18" s="132">
        <v>3</v>
      </c>
      <c r="B18" s="133">
        <f>'Input Data'!B33</f>
        <v>134.03873</v>
      </c>
      <c r="C18" s="133">
        <f>'Input Data'!C33</f>
        <v>-104.44756</v>
      </c>
      <c r="D18" s="133">
        <f>'Input Data'!D33</f>
        <v>-18.14939</v>
      </c>
      <c r="E18" s="134" t="s">
        <v>1</v>
      </c>
      <c r="F18" s="135">
        <f>C18*I$6-D18*I$5</f>
        <v>104.36724825120753</v>
      </c>
      <c r="G18" s="135">
        <f>I$5*F20-I$6*F19</f>
        <v>133.95842474584578</v>
      </c>
      <c r="H18" s="135">
        <f>J$4*I$4</f>
        <v>0.1840847158071043</v>
      </c>
      <c r="I18" s="135">
        <f>G18+H18</f>
        <v>134.14250946165288</v>
      </c>
      <c r="J18" s="136">
        <f>B18-I18</f>
        <v>-0.10377946165289131</v>
      </c>
      <c r="L18" s="505"/>
    </row>
    <row r="19" spans="1:12" ht="10.5" customHeight="1" thickBot="1">
      <c r="A19" s="239"/>
      <c r="B19" s="240"/>
      <c r="C19" s="240"/>
      <c r="D19" s="241"/>
      <c r="E19" s="134" t="s">
        <v>2</v>
      </c>
      <c r="F19" s="135">
        <f>-(B18*I$6-I$4*D18)</f>
        <v>133.96024052694938</v>
      </c>
      <c r="G19" s="135">
        <f>-(I$4*F20-I$6*F18)</f>
        <v>-104.36476479545847</v>
      </c>
      <c r="H19" s="135">
        <f>J$4*I$5</f>
        <v>-0.1897924595189236</v>
      </c>
      <c r="I19" s="135">
        <f>G19+H19</f>
        <v>-104.5545572549774</v>
      </c>
      <c r="J19" s="137">
        <f>C18-I19</f>
        <v>0.10699725497740076</v>
      </c>
      <c r="L19" s="505"/>
    </row>
    <row r="20" spans="1:12" ht="10.5" customHeight="1" thickBot="1">
      <c r="A20" s="242"/>
      <c r="B20" s="243"/>
      <c r="C20" s="243"/>
      <c r="D20" s="244"/>
      <c r="E20" s="138" t="s">
        <v>3</v>
      </c>
      <c r="F20" s="139">
        <f>B18*I$5-I$4*C18</f>
        <v>-0.14142904342239193</v>
      </c>
      <c r="G20" s="139">
        <f>I$4*F19-I$5*F18</f>
        <v>1.012353960746931</v>
      </c>
      <c r="H20" s="139">
        <f>J$4*I$6</f>
        <v>-43.92469992821652</v>
      </c>
      <c r="I20" s="140">
        <f>G20+H20</f>
        <v>-42.91234596746959</v>
      </c>
      <c r="J20" s="112">
        <f>IF('Input Data'!E33=TRUE,"",(D18-I20))</f>
        <v>24.76295596746959</v>
      </c>
      <c r="K20" s="508">
        <f>J18*I$4+J19*I$5+J20*I$6</f>
        <v>-24.76340458895084</v>
      </c>
      <c r="L20" s="508">
        <f>-K20</f>
        <v>24.76340458895084</v>
      </c>
    </row>
    <row r="21" spans="1:12" ht="10.5" customHeight="1">
      <c r="A21" s="141" t="s">
        <v>0</v>
      </c>
      <c r="B21" s="142" t="s">
        <v>16</v>
      </c>
      <c r="C21" s="142" t="s">
        <v>17</v>
      </c>
      <c r="D21" s="142" t="s">
        <v>18</v>
      </c>
      <c r="E21" s="143"/>
      <c r="F21" s="144" t="s">
        <v>7</v>
      </c>
      <c r="G21" s="144" t="s">
        <v>8</v>
      </c>
      <c r="H21" s="144" t="s">
        <v>9</v>
      </c>
      <c r="I21" s="144" t="s">
        <v>10</v>
      </c>
      <c r="J21" s="145" t="s">
        <v>11</v>
      </c>
      <c r="L21" s="505"/>
    </row>
    <row r="22" spans="1:12" ht="10.5" customHeight="1">
      <c r="A22" s="146">
        <v>4</v>
      </c>
      <c r="B22" s="147">
        <f>'Input Data'!B34</f>
        <v>104.75038</v>
      </c>
      <c r="C22" s="147">
        <f>'Input Data'!C34</f>
        <v>-115.81</v>
      </c>
      <c r="D22" s="147">
        <f>'Input Data'!D34</f>
        <v>-33.54153</v>
      </c>
      <c r="E22" s="148" t="s">
        <v>1</v>
      </c>
      <c r="F22" s="149">
        <f>C22*I$6-D22*I$5</f>
        <v>115.66297633536587</v>
      </c>
      <c r="G22" s="149">
        <f>I$5*F24-I$6*F23</f>
        <v>104.60587856912497</v>
      </c>
      <c r="H22" s="149">
        <f>J$4*I$4</f>
        <v>0.1840847158071043</v>
      </c>
      <c r="I22" s="149">
        <f>G22+H22</f>
        <v>104.78996328493207</v>
      </c>
      <c r="J22" s="150">
        <f>B22-I22</f>
        <v>-0.03958328493206409</v>
      </c>
      <c r="L22" s="505"/>
    </row>
    <row r="23" spans="1:12" ht="10.5" customHeight="1" thickBot="1">
      <c r="A23" s="239"/>
      <c r="B23" s="240"/>
      <c r="C23" s="240"/>
      <c r="D23" s="241"/>
      <c r="E23" s="148" t="s">
        <v>2</v>
      </c>
      <c r="F23" s="149">
        <f>-(B22*I$6-I$4*D22)</f>
        <v>104.6079151307459</v>
      </c>
      <c r="G23" s="149">
        <f>-(I$4*F24-I$6*F22)</f>
        <v>-115.66101814754401</v>
      </c>
      <c r="H23" s="149">
        <f>J$4*I$5</f>
        <v>-0.1897924595189236</v>
      </c>
      <c r="I23" s="149">
        <f>G23+H23</f>
        <v>-115.85081060706294</v>
      </c>
      <c r="J23" s="151">
        <f>C22-I23</f>
        <v>0.040810607062937265</v>
      </c>
      <c r="L23" s="505"/>
    </row>
    <row r="24" spans="1:12" ht="10.5" customHeight="1" thickBot="1">
      <c r="A24" s="242"/>
      <c r="B24" s="243"/>
      <c r="C24" s="243"/>
      <c r="D24" s="244"/>
      <c r="E24" s="152" t="s">
        <v>3</v>
      </c>
      <c r="F24" s="153">
        <f>B22*I$5-I$4*C22</f>
        <v>0.03273767681142037</v>
      </c>
      <c r="G24" s="153">
        <f>I$4*F23-I$5*F22</f>
        <v>0.9381494375642565</v>
      </c>
      <c r="H24" s="153">
        <f>J$4*I$6</f>
        <v>-43.92469992821652</v>
      </c>
      <c r="I24" s="154">
        <f>G24+H24</f>
        <v>-42.98655049065226</v>
      </c>
      <c r="J24" s="112">
        <f>IF('Input Data'!E34=TRUE,"",(D22-I24))</f>
        <v>9.445020490652261</v>
      </c>
      <c r="K24" s="508">
        <f>J22*I$4+J23*I$5+J24*I$6</f>
        <v>-9.445191602658781</v>
      </c>
      <c r="L24" s="508">
        <f>-K24</f>
        <v>9.445191602658781</v>
      </c>
    </row>
    <row r="25" spans="1:12" ht="10.5" customHeight="1">
      <c r="A25" s="155" t="s">
        <v>0</v>
      </c>
      <c r="B25" s="156" t="s">
        <v>16</v>
      </c>
      <c r="C25" s="156" t="s">
        <v>17</v>
      </c>
      <c r="D25" s="156" t="s">
        <v>18</v>
      </c>
      <c r="E25" s="157"/>
      <c r="F25" s="158" t="s">
        <v>7</v>
      </c>
      <c r="G25" s="158" t="s">
        <v>8</v>
      </c>
      <c r="H25" s="158" t="s">
        <v>9</v>
      </c>
      <c r="I25" s="158" t="s">
        <v>10</v>
      </c>
      <c r="J25" s="159" t="s">
        <v>11</v>
      </c>
      <c r="L25" s="505"/>
    </row>
    <row r="26" spans="1:12" ht="10.5" customHeight="1">
      <c r="A26" s="160">
        <v>5</v>
      </c>
      <c r="B26" s="161">
        <f>'Input Data'!B35</f>
        <v>84.69985</v>
      </c>
      <c r="C26" s="161">
        <f>'Input Data'!C35</f>
        <v>-101.66133</v>
      </c>
      <c r="D26" s="161">
        <f>'Input Data'!D35</f>
        <v>-15.34715</v>
      </c>
      <c r="E26" s="162" t="s">
        <v>1</v>
      </c>
      <c r="F26" s="163">
        <f>C26*I$6-D26*I$5</f>
        <v>101.59317659354434</v>
      </c>
      <c r="G26" s="163">
        <f>I$5*F28-I$6*F27</f>
        <v>84.63220526982163</v>
      </c>
      <c r="H26" s="163">
        <f>J$4*I$4</f>
        <v>0.1840847158071043</v>
      </c>
      <c r="I26" s="163">
        <f>G26+H26</f>
        <v>84.81628998562873</v>
      </c>
      <c r="J26" s="164">
        <f>B26-I26</f>
        <v>-0.11643998562873037</v>
      </c>
      <c r="L26" s="505"/>
    </row>
    <row r="27" spans="1:12" ht="10.5" customHeight="1" thickBot="1">
      <c r="A27" s="239"/>
      <c r="B27" s="240"/>
      <c r="C27" s="240"/>
      <c r="D27" s="241"/>
      <c r="E27" s="162" t="s">
        <v>2</v>
      </c>
      <c r="F27" s="163">
        <f>-(B26*I$6-I$4*D26)</f>
        <v>84.6339981042634</v>
      </c>
      <c r="G27" s="163">
        <f>-(I$4*F28-I$6*F26)</f>
        <v>-101.59158787253571</v>
      </c>
      <c r="H27" s="163">
        <f>J$4*I$5</f>
        <v>-0.1897924595189236</v>
      </c>
      <c r="I27" s="163">
        <f>G27+H27</f>
        <v>-101.78138033205464</v>
      </c>
      <c r="J27" s="165">
        <f>C26-I27</f>
        <v>0.12005033205463178</v>
      </c>
      <c r="L27" s="505"/>
    </row>
    <row r="28" spans="1:12" ht="10.5" customHeight="1" thickBot="1">
      <c r="A28" s="242"/>
      <c r="B28" s="243"/>
      <c r="C28" s="243"/>
      <c r="D28" s="244"/>
      <c r="E28" s="166" t="s">
        <v>3</v>
      </c>
      <c r="F28" s="167">
        <f>B26*I$5-I$4*C26</f>
        <v>0.060076822069314695</v>
      </c>
      <c r="G28" s="167">
        <f>I$4*F27-I$5*F26</f>
        <v>0.7936494236945488</v>
      </c>
      <c r="H28" s="167">
        <f>J$4*I$6</f>
        <v>-43.92469992821652</v>
      </c>
      <c r="I28" s="168">
        <f>G28+H28</f>
        <v>-43.13105050452197</v>
      </c>
      <c r="J28" s="112">
        <f>IF('Input Data'!E35=TRUE,"",(D26-I28))</f>
        <v>27.783900504521974</v>
      </c>
      <c r="K28" s="508">
        <f>J26*I$4+J27*I$5+J28*I$6</f>
        <v>-27.784403855358423</v>
      </c>
      <c r="L28" s="508">
        <f>-K28</f>
        <v>27.784403855358423</v>
      </c>
    </row>
    <row r="29" spans="1:12" ht="10.5" customHeight="1">
      <c r="A29" s="169" t="s">
        <v>0</v>
      </c>
      <c r="B29" s="170" t="s">
        <v>16</v>
      </c>
      <c r="C29" s="170" t="s">
        <v>17</v>
      </c>
      <c r="D29" s="170" t="s">
        <v>18</v>
      </c>
      <c r="E29" s="171"/>
      <c r="F29" s="172" t="s">
        <v>7</v>
      </c>
      <c r="G29" s="172" t="s">
        <v>8</v>
      </c>
      <c r="H29" s="172" t="s">
        <v>9</v>
      </c>
      <c r="I29" s="172" t="s">
        <v>10</v>
      </c>
      <c r="J29" s="173" t="s">
        <v>11</v>
      </c>
      <c r="L29" s="505"/>
    </row>
    <row r="30" spans="1:12" ht="10.5" customHeight="1">
      <c r="A30" s="174">
        <v>6</v>
      </c>
      <c r="B30" s="175">
        <f>'Input Data'!B36</f>
        <v>84.76062</v>
      </c>
      <c r="C30" s="175">
        <f>'Input Data'!C36</f>
        <v>-110.65554</v>
      </c>
      <c r="D30" s="175">
        <f>'Input Data'!D36</f>
        <v>-39.59337</v>
      </c>
      <c r="E30" s="176" t="s">
        <v>1</v>
      </c>
      <c r="F30" s="177">
        <f>C30*I$6-D30*I$5</f>
        <v>110.4824610381726</v>
      </c>
      <c r="G30" s="177">
        <f>I$5*F32-I$6*F31</f>
        <v>84.59120115497741</v>
      </c>
      <c r="H30" s="177">
        <f>J$4*I$4</f>
        <v>0.1840847158071043</v>
      </c>
      <c r="I30" s="177">
        <f>G30+H30</f>
        <v>84.77528587078451</v>
      </c>
      <c r="J30" s="178">
        <f>B30-I30</f>
        <v>-0.01466587078451198</v>
      </c>
      <c r="L30" s="505"/>
    </row>
    <row r="31" spans="1:12" ht="10.5" customHeight="1" thickBot="1">
      <c r="A31" s="239"/>
      <c r="B31" s="240"/>
      <c r="C31" s="240"/>
      <c r="D31" s="241"/>
      <c r="E31" s="176" t="s">
        <v>2</v>
      </c>
      <c r="F31" s="177">
        <f>-(B30*I$6-I$4*D30)</f>
        <v>84.59315497944422</v>
      </c>
      <c r="G31" s="177">
        <f>-(I$4*F32-I$6*F30)</f>
        <v>-110.4808681422919</v>
      </c>
      <c r="H31" s="177">
        <f>J$4*I$5</f>
        <v>-0.1897924595189236</v>
      </c>
      <c r="I31" s="177">
        <f>G31+H31</f>
        <v>-110.67066060181082</v>
      </c>
      <c r="J31" s="179">
        <f>C30-I31</f>
        <v>0.0151206018108212</v>
      </c>
      <c r="L31" s="505"/>
    </row>
    <row r="32" spans="1:12" ht="10.5" customHeight="1" thickBot="1">
      <c r="A32" s="242"/>
      <c r="B32" s="243"/>
      <c r="C32" s="243"/>
      <c r="D32" s="244"/>
      <c r="E32" s="180" t="s">
        <v>3</v>
      </c>
      <c r="F32" s="181">
        <f>B30*I$5-I$4*C30</f>
        <v>0.09750754147135238</v>
      </c>
      <c r="G32" s="181">
        <f>I$4*F31-I$5*F30</f>
        <v>0.8318869105223898</v>
      </c>
      <c r="H32" s="181">
        <f>J$4*I$6</f>
        <v>-43.92469992821652</v>
      </c>
      <c r="I32" s="182">
        <f>G32+H32</f>
        <v>-43.09281301769413</v>
      </c>
      <c r="J32" s="112">
        <f>IF('Input Data'!E36=TRUE,"",(D30-I32))</f>
        <v>3.4994430176941265</v>
      </c>
      <c r="K32" s="508">
        <f>J30*I$4+J31*I$5+J32*I$6</f>
        <v>-3.4995064158325477</v>
      </c>
      <c r="L32" s="508">
        <f>-K32</f>
        <v>3.4995064158325477</v>
      </c>
    </row>
    <row r="33" spans="1:12" ht="10.5" customHeight="1">
      <c r="A33" s="183" t="s">
        <v>0</v>
      </c>
      <c r="B33" s="184" t="s">
        <v>16</v>
      </c>
      <c r="C33" s="184" t="s">
        <v>17</v>
      </c>
      <c r="D33" s="184" t="s">
        <v>18</v>
      </c>
      <c r="E33" s="185"/>
      <c r="F33" s="186" t="s">
        <v>7</v>
      </c>
      <c r="G33" s="186" t="s">
        <v>8</v>
      </c>
      <c r="H33" s="186" t="s">
        <v>9</v>
      </c>
      <c r="I33" s="186" t="s">
        <v>10</v>
      </c>
      <c r="J33" s="187" t="s">
        <v>11</v>
      </c>
      <c r="L33" s="505"/>
    </row>
    <row r="34" spans="1:12" ht="10.5" customHeight="1">
      <c r="A34" s="188">
        <v>7</v>
      </c>
      <c r="B34" s="189">
        <f>'Input Data'!B37</f>
        <v>61.82736</v>
      </c>
      <c r="C34" s="189">
        <f>'Input Data'!C37</f>
        <v>-86.04525</v>
      </c>
      <c r="D34" s="189">
        <f>'Input Data'!D37</f>
        <v>-33.27594</v>
      </c>
      <c r="E34" s="190" t="s">
        <v>1</v>
      </c>
      <c r="F34" s="191">
        <f>C34*I$6-D34*I$5</f>
        <v>85.89991311906451</v>
      </c>
      <c r="G34" s="191">
        <f>I$5*F36-I$6*F35</f>
        <v>61.68526442826797</v>
      </c>
      <c r="H34" s="191">
        <f>J$4*I$4</f>
        <v>0.1840847158071043</v>
      </c>
      <c r="I34" s="191">
        <f>G34+H34</f>
        <v>61.86934914407507</v>
      </c>
      <c r="J34" s="192">
        <f>B34-I34</f>
        <v>-0.04198914407507459</v>
      </c>
      <c r="L34" s="505"/>
    </row>
    <row r="35" spans="1:12" ht="10.5" customHeight="1" thickBot="1">
      <c r="A35" s="239"/>
      <c r="B35" s="240"/>
      <c r="C35" s="240"/>
      <c r="D35" s="241"/>
      <c r="E35" s="190" t="s">
        <v>2</v>
      </c>
      <c r="F35" s="191">
        <f>-(B34*I$6-I$4*D34)</f>
        <v>61.686785782569</v>
      </c>
      <c r="G35" s="191">
        <f>-(I$4*F36-I$6*F34)</f>
        <v>-85.89874860292568</v>
      </c>
      <c r="H35" s="191">
        <f>J$4*I$5</f>
        <v>-0.1897924595189236</v>
      </c>
      <c r="I35" s="191">
        <f>G35+H35</f>
        <v>-86.0885410624446</v>
      </c>
      <c r="J35" s="193">
        <f>C34-I35</f>
        <v>0.04329106244460945</v>
      </c>
      <c r="L35" s="505"/>
    </row>
    <row r="36" spans="1:13" ht="10.5" customHeight="1" thickBot="1">
      <c r="A36" s="242"/>
      <c r="B36" s="243"/>
      <c r="C36" s="243"/>
      <c r="D36" s="244"/>
      <c r="E36" s="194" t="s">
        <v>3</v>
      </c>
      <c r="F36" s="195">
        <f>B34*I$5-I$4*C34</f>
        <v>0.09345935903025043</v>
      </c>
      <c r="G36" s="195">
        <f>I$4*F35-I$5*F34</f>
        <v>0.6296741738454892</v>
      </c>
      <c r="H36" s="195">
        <f>J$4*I$6</f>
        <v>-43.92469992821652</v>
      </c>
      <c r="I36" s="196">
        <f>G36+H36</f>
        <v>-43.29502575437103</v>
      </c>
      <c r="J36" s="112">
        <f>IF('Input Data'!E37=TRUE,"",(D34-I36))</f>
        <v>10.019085754371034</v>
      </c>
      <c r="K36" s="508">
        <f>J34*I$4+J35*I$5+J36*I$6</f>
        <v>-10.019267266509479</v>
      </c>
      <c r="L36" s="508">
        <f>-K36</f>
        <v>10.019267266509479</v>
      </c>
      <c r="M36" s="505"/>
    </row>
    <row r="37" spans="1:12" ht="10.5" customHeight="1">
      <c r="A37" s="197" t="s">
        <v>0</v>
      </c>
      <c r="B37" s="198" t="s">
        <v>16</v>
      </c>
      <c r="C37" s="198" t="s">
        <v>17</v>
      </c>
      <c r="D37" s="198" t="s">
        <v>18</v>
      </c>
      <c r="E37" s="199"/>
      <c r="F37" s="200" t="s">
        <v>7</v>
      </c>
      <c r="G37" s="200" t="s">
        <v>8</v>
      </c>
      <c r="H37" s="200" t="s">
        <v>9</v>
      </c>
      <c r="I37" s="200" t="s">
        <v>10</v>
      </c>
      <c r="J37" s="201" t="s">
        <v>11</v>
      </c>
      <c r="L37" s="505"/>
    </row>
    <row r="38" spans="1:12" ht="10.5" customHeight="1">
      <c r="A38" s="202">
        <v>8</v>
      </c>
      <c r="B38" s="203">
        <f>'Input Data'!B38</f>
        <v>55.85383</v>
      </c>
      <c r="C38" s="203">
        <f>'Input Data'!C38</f>
        <v>-70.48555</v>
      </c>
      <c r="D38" s="203">
        <f>'Input Data'!D38</f>
        <v>-36.83733</v>
      </c>
      <c r="E38" s="204" t="s">
        <v>1</v>
      </c>
      <c r="F38" s="205">
        <f>C38*I$6-D38*I$5</f>
        <v>70.32510701614969</v>
      </c>
      <c r="G38" s="205">
        <f>I$5*F40-I$6*F39</f>
        <v>55.69719614803238</v>
      </c>
      <c r="H38" s="205">
        <f>J$4*I$4</f>
        <v>0.1840847158071043</v>
      </c>
      <c r="I38" s="205">
        <f>G38+H38</f>
        <v>55.881280863839486</v>
      </c>
      <c r="J38" s="206">
        <f>B38-I38</f>
        <v>-0.027450863839483475</v>
      </c>
      <c r="L38" s="505"/>
    </row>
    <row r="39" spans="1:12" ht="10.5" customHeight="1" thickBot="1">
      <c r="A39" s="239"/>
      <c r="B39" s="240"/>
      <c r="C39" s="240"/>
      <c r="D39" s="241"/>
      <c r="E39" s="204" t="s">
        <v>2</v>
      </c>
      <c r="F39" s="205">
        <f>-(B38*I$6-I$4*D38)</f>
        <v>55.698438785910035</v>
      </c>
      <c r="G39" s="205">
        <f>-(I$4*F40-I$6*F38)</f>
        <v>-70.32405954774535</v>
      </c>
      <c r="H39" s="205">
        <f>J$4*I$5</f>
        <v>-0.1897924595189236</v>
      </c>
      <c r="I39" s="205">
        <f>G39+H39</f>
        <v>-70.51385200726428</v>
      </c>
      <c r="J39" s="207">
        <f>C38-I39</f>
        <v>0.028302007264272788</v>
      </c>
      <c r="L39" s="505"/>
    </row>
    <row r="40" spans="1:12" ht="10.5" customHeight="1" thickBot="1">
      <c r="A40" s="242"/>
      <c r="B40" s="243"/>
      <c r="C40" s="243"/>
      <c r="D40" s="244"/>
      <c r="E40" s="208" t="s">
        <v>3</v>
      </c>
      <c r="F40" s="209">
        <f>B38*I$5-I$4*C38</f>
        <v>0.05406146551964516</v>
      </c>
      <c r="G40" s="209">
        <f>I$4*F39-I$5*F38</f>
        <v>0.5372826402377918</v>
      </c>
      <c r="H40" s="209">
        <f>J$4*I$6</f>
        <v>-43.92469992821652</v>
      </c>
      <c r="I40" s="210">
        <f>G40+H40</f>
        <v>-43.38741728797873</v>
      </c>
      <c r="J40" s="112">
        <f>IF('Input Data'!E38=TRUE,"",(D38-I40))</f>
        <v>6.550087287978727</v>
      </c>
      <c r="K40" s="508">
        <f>J38*I$4+J39*I$5+J40*I$6</f>
        <v>-6.5502059535316315</v>
      </c>
      <c r="L40" s="508">
        <f>-K40</f>
        <v>6.5502059535316315</v>
      </c>
    </row>
    <row r="41" spans="1:12" ht="10.5" customHeight="1">
      <c r="A41" s="211" t="s">
        <v>0</v>
      </c>
      <c r="B41" s="212" t="s">
        <v>16</v>
      </c>
      <c r="C41" s="212" t="s">
        <v>17</v>
      </c>
      <c r="D41" s="212" t="s">
        <v>18</v>
      </c>
      <c r="E41" s="213"/>
      <c r="F41" s="214" t="s">
        <v>7</v>
      </c>
      <c r="G41" s="214" t="s">
        <v>8</v>
      </c>
      <c r="H41" s="214" t="s">
        <v>9</v>
      </c>
      <c r="I41" s="214" t="s">
        <v>10</v>
      </c>
      <c r="J41" s="215" t="s">
        <v>11</v>
      </c>
      <c r="L41" s="505"/>
    </row>
    <row r="42" spans="1:12" ht="10.5" customHeight="1">
      <c r="A42" s="216">
        <v>9</v>
      </c>
      <c r="B42" s="217">
        <f>'Input Data'!B39</f>
        <v>70.23527</v>
      </c>
      <c r="C42" s="217">
        <f>'Input Data'!C39</f>
        <v>-45.27449</v>
      </c>
      <c r="D42" s="217">
        <f>'Input Data'!D39</f>
        <v>-39.38057</v>
      </c>
      <c r="E42" s="218" t="s">
        <v>1</v>
      </c>
      <c r="F42" s="219">
        <f>C42*I$6-D42*I$5</f>
        <v>45.103514963711945</v>
      </c>
      <c r="G42" s="219">
        <f>I$5*F44-I$6*F43</f>
        <v>70.06818196084335</v>
      </c>
      <c r="H42" s="219">
        <f>J$4*I$4</f>
        <v>0.1840847158071043</v>
      </c>
      <c r="I42" s="219">
        <f>G42+H42</f>
        <v>70.25226667665045</v>
      </c>
      <c r="J42" s="220">
        <f>B42-I42</f>
        <v>-0.016996676650450127</v>
      </c>
      <c r="L42" s="505"/>
    </row>
    <row r="43" spans="1:12" ht="10.5" customHeight="1" thickBot="1">
      <c r="A43" s="239"/>
      <c r="B43" s="240"/>
      <c r="C43" s="240"/>
      <c r="D43" s="241"/>
      <c r="E43" s="218" t="s">
        <v>2</v>
      </c>
      <c r="F43" s="219">
        <f>-(B42*I$6-I$4*D42)</f>
        <v>70.06895993587881</v>
      </c>
      <c r="G43" s="219">
        <f>-(I$4*F44-I$6*F42)</f>
        <v>-45.1022212172893</v>
      </c>
      <c r="H43" s="219">
        <f>J$4*I$5</f>
        <v>-0.1897924595189236</v>
      </c>
      <c r="I43" s="219">
        <f>G43+H43</f>
        <v>-45.292013676808224</v>
      </c>
      <c r="J43" s="221">
        <f>C42-I43</f>
        <v>0.01752367680822431</v>
      </c>
      <c r="L43" s="505"/>
    </row>
    <row r="44" spans="1:12" ht="10.5" customHeight="1" thickBot="1">
      <c r="A44" s="242"/>
      <c r="B44" s="243"/>
      <c r="C44" s="243"/>
      <c r="D44" s="244"/>
      <c r="E44" s="222" t="s">
        <v>3</v>
      </c>
      <c r="F44" s="223">
        <f>B42*I$5-I$4*C42</f>
        <v>-0.11373310498036696</v>
      </c>
      <c r="G44" s="223">
        <f>I$4*F43-I$5*F42</f>
        <v>0.4885302094959473</v>
      </c>
      <c r="H44" s="223">
        <f>J$4*I$6</f>
        <v>-43.92469992821652</v>
      </c>
      <c r="I44" s="224">
        <f>G44+H44</f>
        <v>-43.43616971872057</v>
      </c>
      <c r="J44" s="112">
        <f>IF('Input Data'!E39=TRUE,"",(D42-I44))</f>
        <v>4.055599718720572</v>
      </c>
      <c r="K44" s="508">
        <f>J42*I$4+J43*I$5+J44*I$6</f>
        <v>-4.055673192547991</v>
      </c>
      <c r="L44" s="508">
        <f>-K44</f>
        <v>4.055673192547991</v>
      </c>
    </row>
    <row r="45" spans="1:12" ht="10.5" customHeight="1">
      <c r="A45" s="225" t="s">
        <v>0</v>
      </c>
      <c r="B45" s="226" t="s">
        <v>16</v>
      </c>
      <c r="C45" s="226" t="s">
        <v>17</v>
      </c>
      <c r="D45" s="226" t="s">
        <v>18</v>
      </c>
      <c r="E45" s="227"/>
      <c r="F45" s="228" t="s">
        <v>7</v>
      </c>
      <c r="G45" s="228" t="s">
        <v>8</v>
      </c>
      <c r="H45" s="228" t="s">
        <v>9</v>
      </c>
      <c r="I45" s="228" t="s">
        <v>10</v>
      </c>
      <c r="J45" s="229" t="s">
        <v>11</v>
      </c>
      <c r="L45" s="505"/>
    </row>
    <row r="46" spans="1:12" ht="10.5" customHeight="1">
      <c r="A46" s="230">
        <v>10</v>
      </c>
      <c r="B46" s="231">
        <f>'Input Data'!B40</f>
        <v>104.22964</v>
      </c>
      <c r="C46" s="231">
        <f>'Input Data'!C40</f>
        <v>-49.8345</v>
      </c>
      <c r="D46" s="231">
        <f>'Input Data'!D40</f>
        <v>-34.03131</v>
      </c>
      <c r="E46" s="232" t="s">
        <v>1</v>
      </c>
      <c r="F46" s="233">
        <f>C46*I$6-D46*I$5</f>
        <v>49.68655533563319</v>
      </c>
      <c r="G46" s="233">
        <f>I$5*F48-I$6*F47</f>
        <v>104.08428982732427</v>
      </c>
      <c r="H46" s="233">
        <f>J$4*I$4</f>
        <v>0.1840847158071043</v>
      </c>
      <c r="I46" s="233">
        <f>G46+H46</f>
        <v>104.26837454313137</v>
      </c>
      <c r="J46" s="234">
        <f>B46-I46</f>
        <v>-0.03873454313136904</v>
      </c>
      <c r="L46" s="505"/>
    </row>
    <row r="47" spans="1:12" ht="10.5" customHeight="1" thickBot="1">
      <c r="A47" s="239"/>
      <c r="B47" s="240"/>
      <c r="C47" s="240"/>
      <c r="D47" s="241"/>
      <c r="E47" s="232" t="s">
        <v>2</v>
      </c>
      <c r="F47" s="233">
        <f>-(B46*I$6-I$4*D46)</f>
        <v>104.0851319751129</v>
      </c>
      <c r="G47" s="233">
        <f>-(I$4*F48-I$6*F46)</f>
        <v>-49.684643089595035</v>
      </c>
      <c r="H47" s="233">
        <f>J$4*I$5</f>
        <v>-0.1897924595189236</v>
      </c>
      <c r="I47" s="233">
        <f>G47+H47</f>
        <v>-49.87443554911396</v>
      </c>
      <c r="J47" s="235">
        <f>C46-I47</f>
        <v>0.03993554911396302</v>
      </c>
      <c r="L47" s="505"/>
    </row>
    <row r="48" spans="1:12" ht="10.5" customHeight="1" thickBot="1">
      <c r="A48" s="242"/>
      <c r="B48" s="243"/>
      <c r="C48" s="243"/>
      <c r="D48" s="244"/>
      <c r="E48" s="236" t="s">
        <v>3</v>
      </c>
      <c r="F48" s="237">
        <f>B46*I$5-I$4*C46</f>
        <v>-0.24150507108416247</v>
      </c>
      <c r="G48" s="237">
        <f>I$4*F47-I$5*F46</f>
        <v>0.6508888523282906</v>
      </c>
      <c r="H48" s="237">
        <f>J$4*I$6</f>
        <v>-43.92469992821652</v>
      </c>
      <c r="I48" s="238">
        <f>G48+H48</f>
        <v>-43.273811075888226</v>
      </c>
      <c r="J48" s="112">
        <f>IF('Input Data'!E40=TRUE,"",(D46-I48))</f>
        <v>9.242501075888228</v>
      </c>
      <c r="K48" s="112">
        <f>IF('Input Data'!E40=TRUE,"",(J46*I4+J47*I5+J48*I6))</f>
        <v>-9.242668518924049</v>
      </c>
      <c r="L48" s="112">
        <f>IF('Input Data'!E40=TRUE,"",-(K46*J4+K47*J5+K48*J6))</f>
        <v>0</v>
      </c>
    </row>
    <row r="49" spans="1:12" ht="10.5" customHeight="1">
      <c r="A49" s="255" t="s">
        <v>0</v>
      </c>
      <c r="B49" s="256" t="s">
        <v>16</v>
      </c>
      <c r="C49" s="256" t="s">
        <v>17</v>
      </c>
      <c r="D49" s="256" t="s">
        <v>18</v>
      </c>
      <c r="E49" s="245"/>
      <c r="F49" s="246" t="s">
        <v>7</v>
      </c>
      <c r="G49" s="246" t="s">
        <v>8</v>
      </c>
      <c r="H49" s="246" t="s">
        <v>9</v>
      </c>
      <c r="I49" s="246" t="s">
        <v>10</v>
      </c>
      <c r="J49" s="247" t="s">
        <v>11</v>
      </c>
      <c r="L49" s="505"/>
    </row>
    <row r="50" spans="1:12" ht="10.5" customHeight="1">
      <c r="A50" s="257">
        <v>11</v>
      </c>
      <c r="B50" s="258">
        <f>'Input Data'!B41</f>
        <v>0</v>
      </c>
      <c r="C50" s="258">
        <f>'Input Data'!C41</f>
        <v>0</v>
      </c>
      <c r="D50" s="258">
        <f>'Input Data'!D41</f>
        <v>0</v>
      </c>
      <c r="E50" s="248" t="s">
        <v>1</v>
      </c>
      <c r="F50" s="249">
        <f>C50*I$6-D50*I$5</f>
        <v>0</v>
      </c>
      <c r="G50" s="249">
        <f>I$5*F52-I$6*F51</f>
        <v>0</v>
      </c>
      <c r="H50" s="249">
        <f>J$4*I$4</f>
        <v>0.1840847158071043</v>
      </c>
      <c r="I50" s="249">
        <f>G50+H50</f>
        <v>0.1840847158071043</v>
      </c>
      <c r="J50" s="250">
        <f>B50-I50</f>
        <v>-0.1840847158071043</v>
      </c>
      <c r="L50" s="506"/>
    </row>
    <row r="51" spans="1:12" ht="10.5" customHeight="1" thickBot="1">
      <c r="A51" s="239"/>
      <c r="B51" s="240"/>
      <c r="C51" s="240"/>
      <c r="D51" s="241"/>
      <c r="E51" s="248" t="s">
        <v>2</v>
      </c>
      <c r="F51" s="249">
        <f>-(B50*I$6-I$4*D50)</f>
        <v>0</v>
      </c>
      <c r="G51" s="249">
        <f>-(I$4*F52-I$6*F50)</f>
        <v>0</v>
      </c>
      <c r="H51" s="249">
        <f>J$4*I$5</f>
        <v>-0.1897924595189236</v>
      </c>
      <c r="I51" s="249">
        <f>G51+H51</f>
        <v>-0.1897924595189236</v>
      </c>
      <c r="J51" s="251">
        <f>C50-I51</f>
        <v>0.1897924595189236</v>
      </c>
      <c r="L51" s="505"/>
    </row>
    <row r="52" spans="1:12" ht="10.5" customHeight="1" thickBot="1">
      <c r="A52" s="242"/>
      <c r="B52" s="243"/>
      <c r="C52" s="243"/>
      <c r="D52" s="244"/>
      <c r="E52" s="252" t="s">
        <v>3</v>
      </c>
      <c r="F52" s="253">
        <f>B50*I$5-I$4*C50</f>
        <v>0</v>
      </c>
      <c r="G52" s="253">
        <f>I$4*F51-I$5*F50</f>
        <v>0</v>
      </c>
      <c r="H52" s="253">
        <f>J$4*I$6</f>
        <v>-43.92469992821652</v>
      </c>
      <c r="I52" s="254">
        <f>G52+H52</f>
        <v>-43.92469992821652</v>
      </c>
      <c r="J52" s="112">
        <f>IF('Input Data'!E41=TRUE,"",(D50-I52))</f>
      </c>
      <c r="K52" s="112">
        <f>IF('Input Data'!E41=TRUE,"",(J50*I8+J51*I9+J52*I10))</f>
      </c>
      <c r="L52" s="112">
        <f>IF('Input Data'!E41=TRUE,"",-(K50*J8+K51*J9+K52*J10))</f>
      </c>
    </row>
    <row r="53" spans="1:12" ht="10.5" customHeight="1">
      <c r="A53" s="259" t="s">
        <v>0</v>
      </c>
      <c r="B53" s="260" t="s">
        <v>16</v>
      </c>
      <c r="C53" s="260" t="s">
        <v>17</v>
      </c>
      <c r="D53" s="260" t="s">
        <v>18</v>
      </c>
      <c r="E53" s="261"/>
      <c r="F53" s="262" t="s">
        <v>7</v>
      </c>
      <c r="G53" s="262" t="s">
        <v>8</v>
      </c>
      <c r="H53" s="262" t="s">
        <v>9</v>
      </c>
      <c r="I53" s="262" t="s">
        <v>10</v>
      </c>
      <c r="J53" s="263" t="s">
        <v>11</v>
      </c>
      <c r="L53" s="505"/>
    </row>
    <row r="54" spans="1:12" ht="10.5" customHeight="1">
      <c r="A54" s="264">
        <v>12</v>
      </c>
      <c r="B54" s="265">
        <f>'Input Data'!B42</f>
        <v>0</v>
      </c>
      <c r="C54" s="265">
        <f>'Input Data'!C42</f>
        <v>0</v>
      </c>
      <c r="D54" s="265">
        <f>'Input Data'!D42</f>
        <v>0</v>
      </c>
      <c r="E54" s="266" t="s">
        <v>1</v>
      </c>
      <c r="F54" s="267">
        <f>C54*I$6-D54*I$5</f>
        <v>0</v>
      </c>
      <c r="G54" s="267">
        <f>I$5*F56-I$6*F55</f>
        <v>0</v>
      </c>
      <c r="H54" s="267">
        <f>J$4*I$4</f>
        <v>0.1840847158071043</v>
      </c>
      <c r="I54" s="267">
        <f>G54+H54</f>
        <v>0.1840847158071043</v>
      </c>
      <c r="J54" s="268">
        <f>B54-I54</f>
        <v>-0.1840847158071043</v>
      </c>
      <c r="L54" s="505"/>
    </row>
    <row r="55" spans="1:12" ht="10.5" customHeight="1" thickBot="1">
      <c r="A55" s="239"/>
      <c r="B55" s="240"/>
      <c r="C55" s="240"/>
      <c r="D55" s="241"/>
      <c r="E55" s="266" t="s">
        <v>2</v>
      </c>
      <c r="F55" s="267">
        <f>-(B54*I$6-I$4*D54)</f>
        <v>0</v>
      </c>
      <c r="G55" s="267">
        <f>-(I$4*F56-I$6*F54)</f>
        <v>0</v>
      </c>
      <c r="H55" s="267">
        <f>J$4*I$5</f>
        <v>-0.1897924595189236</v>
      </c>
      <c r="I55" s="267">
        <f>G55+H55</f>
        <v>-0.1897924595189236</v>
      </c>
      <c r="J55" s="269">
        <f>C54-I55</f>
        <v>0.1897924595189236</v>
      </c>
      <c r="L55" s="505"/>
    </row>
    <row r="56" spans="1:12" ht="10.5" customHeight="1" thickBot="1">
      <c r="A56" s="242"/>
      <c r="B56" s="243"/>
      <c r="C56" s="243"/>
      <c r="D56" s="244"/>
      <c r="E56" s="270" t="s">
        <v>3</v>
      </c>
      <c r="F56" s="271">
        <f>B54*I$5-I$4*C54</f>
        <v>0</v>
      </c>
      <c r="G56" s="271">
        <f>I$4*F55-I$5*F54</f>
        <v>0</v>
      </c>
      <c r="H56" s="271">
        <f>J$4*I$6</f>
        <v>-43.92469992821652</v>
      </c>
      <c r="I56" s="272">
        <f>G56+H56</f>
        <v>-43.92469992821652</v>
      </c>
      <c r="J56" s="112">
        <f>IF('Input Data'!E42=TRUE,"",(D54-I56))</f>
      </c>
      <c r="K56" s="112">
        <f>IF('Input Data'!E42=TRUE,"",(J54*I12+J55*I13+J56*I14))</f>
      </c>
      <c r="L56" s="112">
        <f>IF('Input Data'!E42=TRUE,"",-(K54*J12+K55*J13+K56*J14))</f>
      </c>
    </row>
    <row r="57" spans="1:12" ht="10.5" customHeight="1">
      <c r="A57" s="283" t="s">
        <v>0</v>
      </c>
      <c r="B57" s="284" t="s">
        <v>16</v>
      </c>
      <c r="C57" s="284" t="s">
        <v>17</v>
      </c>
      <c r="D57" s="284" t="s">
        <v>18</v>
      </c>
      <c r="E57" s="273"/>
      <c r="F57" s="274" t="s">
        <v>7</v>
      </c>
      <c r="G57" s="274" t="s">
        <v>8</v>
      </c>
      <c r="H57" s="274" t="s">
        <v>9</v>
      </c>
      <c r="I57" s="274" t="s">
        <v>10</v>
      </c>
      <c r="J57" s="275" t="s">
        <v>11</v>
      </c>
      <c r="L57" s="505"/>
    </row>
    <row r="58" spans="1:12" ht="10.5" customHeight="1">
      <c r="A58" s="285">
        <v>13</v>
      </c>
      <c r="B58" s="286">
        <f>'Input Data'!B43</f>
        <v>0</v>
      </c>
      <c r="C58" s="286">
        <f>'Input Data'!C43</f>
        <v>0</v>
      </c>
      <c r="D58" s="286">
        <f>'Input Data'!D43</f>
        <v>0</v>
      </c>
      <c r="E58" s="276" t="s">
        <v>1</v>
      </c>
      <c r="F58" s="277">
        <f>C58*I$6-D58*I$5</f>
        <v>0</v>
      </c>
      <c r="G58" s="277">
        <f>I$5*F60-I$6*F59</f>
        <v>0</v>
      </c>
      <c r="H58" s="277">
        <f>J$4*I$4</f>
        <v>0.1840847158071043</v>
      </c>
      <c r="I58" s="277">
        <f>G58+H58</f>
        <v>0.1840847158071043</v>
      </c>
      <c r="J58" s="278">
        <f>B58-I58</f>
        <v>-0.1840847158071043</v>
      </c>
      <c r="L58" s="505"/>
    </row>
    <row r="59" spans="1:12" ht="10.5" customHeight="1" thickBot="1">
      <c r="A59" s="239"/>
      <c r="B59" s="240"/>
      <c r="C59" s="240"/>
      <c r="D59" s="241"/>
      <c r="E59" s="276" t="s">
        <v>2</v>
      </c>
      <c r="F59" s="277">
        <f>-(B58*I$6-I$4*D58)</f>
        <v>0</v>
      </c>
      <c r="G59" s="277">
        <f>-(I$4*F60-I$6*F58)</f>
        <v>0</v>
      </c>
      <c r="H59" s="277">
        <f>J$4*I$5</f>
        <v>-0.1897924595189236</v>
      </c>
      <c r="I59" s="277">
        <f>G59+H59</f>
        <v>-0.1897924595189236</v>
      </c>
      <c r="J59" s="279">
        <f>C58-I59</f>
        <v>0.1897924595189236</v>
      </c>
      <c r="L59" s="505"/>
    </row>
    <row r="60" spans="1:12" ht="10.5" customHeight="1" thickBot="1">
      <c r="A60" s="242"/>
      <c r="B60" s="243"/>
      <c r="C60" s="243"/>
      <c r="D60" s="244"/>
      <c r="E60" s="280" t="s">
        <v>3</v>
      </c>
      <c r="F60" s="281">
        <f>B58*I$5-I$4*C58</f>
        <v>0</v>
      </c>
      <c r="G60" s="281">
        <f>I$4*F59-I$5*F58</f>
        <v>0</v>
      </c>
      <c r="H60" s="281">
        <f>J$4*I$6</f>
        <v>-43.92469992821652</v>
      </c>
      <c r="I60" s="282">
        <f>G60+H60</f>
        <v>-43.92469992821652</v>
      </c>
      <c r="J60" s="112">
        <f>IF('Input Data'!E43=TRUE,"",(D58-I60))</f>
      </c>
      <c r="K60" s="112">
        <f>IF('Input Data'!E43=TRUE,"",(J58*I16+J59*I17+J60*I18))</f>
      </c>
      <c r="L60" s="112">
        <f>IF('Input Data'!E43=TRUE,"",-(K58*J16+K59*J17+K60*J18))</f>
      </c>
    </row>
    <row r="61" spans="1:12" ht="10.5" customHeight="1">
      <c r="A61" s="297" t="s">
        <v>0</v>
      </c>
      <c r="B61" s="298" t="s">
        <v>16</v>
      </c>
      <c r="C61" s="298" t="s">
        <v>17</v>
      </c>
      <c r="D61" s="298" t="s">
        <v>18</v>
      </c>
      <c r="E61" s="287"/>
      <c r="F61" s="288" t="s">
        <v>7</v>
      </c>
      <c r="G61" s="288" t="s">
        <v>8</v>
      </c>
      <c r="H61" s="288" t="s">
        <v>9</v>
      </c>
      <c r="I61" s="288" t="s">
        <v>10</v>
      </c>
      <c r="J61" s="289" t="s">
        <v>11</v>
      </c>
      <c r="L61" s="505"/>
    </row>
    <row r="62" spans="1:12" ht="10.5" customHeight="1">
      <c r="A62" s="299">
        <v>14</v>
      </c>
      <c r="B62" s="300">
        <f>'Input Data'!B44</f>
        <v>0</v>
      </c>
      <c r="C62" s="300">
        <f>'Input Data'!C44</f>
        <v>0</v>
      </c>
      <c r="D62" s="300">
        <f>'Input Data'!D44</f>
        <v>0</v>
      </c>
      <c r="E62" s="290" t="s">
        <v>1</v>
      </c>
      <c r="F62" s="291">
        <f>C62*I$6-D62*I$5</f>
        <v>0</v>
      </c>
      <c r="G62" s="291">
        <f>I$5*F64-I$6*F63</f>
        <v>0</v>
      </c>
      <c r="H62" s="291">
        <f>J$4*I$4</f>
        <v>0.1840847158071043</v>
      </c>
      <c r="I62" s="291">
        <f>G62+H62</f>
        <v>0.1840847158071043</v>
      </c>
      <c r="J62" s="292">
        <f>B62-I62</f>
        <v>-0.1840847158071043</v>
      </c>
      <c r="L62" s="505"/>
    </row>
    <row r="63" spans="1:12" ht="10.5" customHeight="1" thickBot="1">
      <c r="A63" s="239"/>
      <c r="B63" s="240"/>
      <c r="C63" s="240"/>
      <c r="D63" s="241"/>
      <c r="E63" s="290" t="s">
        <v>2</v>
      </c>
      <c r="F63" s="291">
        <f>-(B62*I$6-I$4*D62)</f>
        <v>0</v>
      </c>
      <c r="G63" s="291">
        <f>-(I$4*F64-I$6*F62)</f>
        <v>0</v>
      </c>
      <c r="H63" s="291">
        <f>J$4*I$5</f>
        <v>-0.1897924595189236</v>
      </c>
      <c r="I63" s="291">
        <f>G63+H63</f>
        <v>-0.1897924595189236</v>
      </c>
      <c r="J63" s="293">
        <f>C62-I63</f>
        <v>0.1897924595189236</v>
      </c>
      <c r="L63" s="505"/>
    </row>
    <row r="64" spans="1:12" ht="10.5" customHeight="1" thickBot="1">
      <c r="A64" s="242"/>
      <c r="B64" s="243"/>
      <c r="C64" s="243"/>
      <c r="D64" s="244"/>
      <c r="E64" s="294" t="s">
        <v>3</v>
      </c>
      <c r="F64" s="295">
        <f>B62*I$5-I$4*C62</f>
        <v>0</v>
      </c>
      <c r="G64" s="295">
        <f>I$4*F63-I$5*F62</f>
        <v>0</v>
      </c>
      <c r="H64" s="295">
        <f>J$4*I$6</f>
        <v>-43.92469992821652</v>
      </c>
      <c r="I64" s="296">
        <f>G64+H64</f>
        <v>-43.92469992821652</v>
      </c>
      <c r="J64" s="112">
        <f>IF('Input Data'!E44=TRUE,"",(D62-I64))</f>
      </c>
      <c r="K64" s="112">
        <f>IF('Input Data'!E44=TRUE,"",(J62*I20+J63*I21+J64*I22))</f>
      </c>
      <c r="L64" s="112">
        <f>IF('Input Data'!E44=TRUE,"",-(K62*J20+K63*J21+K64*J22))</f>
      </c>
    </row>
    <row r="65" spans="1:12" ht="10.5" customHeight="1">
      <c r="A65" s="308" t="s">
        <v>0</v>
      </c>
      <c r="B65" s="309" t="s">
        <v>16</v>
      </c>
      <c r="C65" s="309" t="s">
        <v>17</v>
      </c>
      <c r="D65" s="316" t="s">
        <v>18</v>
      </c>
      <c r="E65" s="315"/>
      <c r="F65" s="301" t="s">
        <v>7</v>
      </c>
      <c r="G65" s="301" t="s">
        <v>8</v>
      </c>
      <c r="H65" s="301" t="s">
        <v>9</v>
      </c>
      <c r="I65" s="301" t="s">
        <v>10</v>
      </c>
      <c r="J65" s="302" t="s">
        <v>11</v>
      </c>
      <c r="L65" s="505"/>
    </row>
    <row r="66" spans="1:12" ht="10.5" customHeight="1" thickBot="1">
      <c r="A66" s="317">
        <v>15</v>
      </c>
      <c r="B66" s="318">
        <f>'Input Data'!B45</f>
        <v>0</v>
      </c>
      <c r="C66" s="318">
        <f>'Input Data'!C45</f>
        <v>0</v>
      </c>
      <c r="D66" s="319">
        <f>'Input Data'!D45</f>
        <v>0</v>
      </c>
      <c r="E66" s="310" t="s">
        <v>1</v>
      </c>
      <c r="F66" s="303">
        <f>C66*I$6-D66*I$5</f>
        <v>0</v>
      </c>
      <c r="G66" s="303">
        <f>I$5*F68-I$6*F67</f>
        <v>0</v>
      </c>
      <c r="H66" s="303">
        <f>J$4*I$4</f>
        <v>0.1840847158071043</v>
      </c>
      <c r="I66" s="303">
        <f>G66+H66</f>
        <v>0.1840847158071043</v>
      </c>
      <c r="J66" s="304">
        <f>B66-I66</f>
        <v>-0.1840847158071043</v>
      </c>
      <c r="L66" s="505"/>
    </row>
    <row r="67" spans="1:12" ht="10.5" customHeight="1" thickBot="1">
      <c r="A67" s="312"/>
      <c r="B67" s="313"/>
      <c r="C67" s="313"/>
      <c r="D67" s="313"/>
      <c r="E67" s="310" t="s">
        <v>2</v>
      </c>
      <c r="F67" s="303">
        <f>-(B66*I$6-I$4*D66)</f>
        <v>0</v>
      </c>
      <c r="G67" s="303">
        <f>-(I$4*F68-I$6*F66)</f>
        <v>0</v>
      </c>
      <c r="H67" s="303">
        <f>J$4*I$5</f>
        <v>-0.1897924595189236</v>
      </c>
      <c r="I67" s="303">
        <f>G67+H67</f>
        <v>-0.1897924595189236</v>
      </c>
      <c r="J67" s="305">
        <f>C66-I67</f>
        <v>0.1897924595189236</v>
      </c>
      <c r="L67" s="505"/>
    </row>
    <row r="68" spans="1:12" ht="10.5" customHeight="1" thickBot="1">
      <c r="A68" s="314"/>
      <c r="B68" s="313"/>
      <c r="C68" s="313"/>
      <c r="D68" s="313"/>
      <c r="E68" s="311" t="s">
        <v>3</v>
      </c>
      <c r="F68" s="306">
        <f>B66*I$5-I$4*C66</f>
        <v>0</v>
      </c>
      <c r="G68" s="306">
        <f>I$4*F67-I$5*F66</f>
        <v>0</v>
      </c>
      <c r="H68" s="306">
        <f>J$4*I$6</f>
        <v>-43.92469992821652</v>
      </c>
      <c r="I68" s="307">
        <f>G68+H68</f>
        <v>-43.92469992821652</v>
      </c>
      <c r="J68" s="112">
        <f>IF('Input Data'!E45=TRUE,"",(D66-I68))</f>
      </c>
      <c r="K68" s="112">
        <f>IF('Input Data'!E45=TRUE,"",(J66*I24+J67*I25+J68*I26))</f>
      </c>
      <c r="L68" s="112">
        <f>IF('Input Data'!E45=TRUE,"",-(K66*J24+K67*J25+K68*J26))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S17" sqref="S17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0" customWidth="1"/>
    <col min="13" max="17" width="6.7109375" style="0" customWidth="1"/>
  </cols>
  <sheetData>
    <row r="1" spans="1:12" ht="13.5" thickBot="1">
      <c r="A1" s="45"/>
      <c r="B1" s="40" t="s">
        <v>19</v>
      </c>
      <c r="C1" s="40" t="s">
        <v>32</v>
      </c>
      <c r="D1" s="40" t="s">
        <v>25</v>
      </c>
      <c r="E1" s="40" t="s">
        <v>35</v>
      </c>
      <c r="F1" s="43" t="s">
        <v>26</v>
      </c>
      <c r="G1" s="58" t="s">
        <v>27</v>
      </c>
      <c r="H1" s="454" t="s">
        <v>87</v>
      </c>
      <c r="I1" s="455"/>
      <c r="J1" s="455"/>
      <c r="K1" s="455"/>
      <c r="L1" s="456"/>
    </row>
    <row r="2" spans="1:17" ht="13.5" thickBot="1">
      <c r="A2" s="46"/>
      <c r="B2" s="41" t="s">
        <v>29</v>
      </c>
      <c r="C2" s="41"/>
      <c r="D2" s="42"/>
      <c r="E2" s="42"/>
      <c r="F2" s="44"/>
      <c r="G2" s="59" t="s">
        <v>85</v>
      </c>
      <c r="H2" s="510">
        <v>5</v>
      </c>
      <c r="I2" s="511"/>
      <c r="J2" s="510">
        <v>4</v>
      </c>
      <c r="K2" s="511"/>
      <c r="L2" s="510">
        <v>3</v>
      </c>
      <c r="M2" s="511"/>
      <c r="N2" s="510">
        <v>2</v>
      </c>
      <c r="O2" s="511"/>
      <c r="P2" s="510" t="s">
        <v>92</v>
      </c>
      <c r="Q2" s="511"/>
    </row>
    <row r="3" spans="1:17" ht="13.5" thickBot="1">
      <c r="A3" s="484"/>
      <c r="B3" s="485"/>
      <c r="C3" s="485"/>
      <c r="D3" s="486"/>
      <c r="E3" s="486"/>
      <c r="F3" s="487"/>
      <c r="G3" s="488"/>
      <c r="H3" s="492" t="s">
        <v>90</v>
      </c>
      <c r="I3" s="492" t="s">
        <v>91</v>
      </c>
      <c r="J3" s="492" t="s">
        <v>90</v>
      </c>
      <c r="K3" s="492" t="s">
        <v>91</v>
      </c>
      <c r="L3" s="492" t="s">
        <v>90</v>
      </c>
      <c r="M3" s="492" t="s">
        <v>91</v>
      </c>
      <c r="N3" s="492" t="s">
        <v>90</v>
      </c>
      <c r="O3" s="492" t="s">
        <v>91</v>
      </c>
      <c r="P3" s="492" t="s">
        <v>90</v>
      </c>
      <c r="Q3" s="492" t="s">
        <v>91</v>
      </c>
    </row>
    <row r="4" spans="1:17" ht="12.75">
      <c r="A4" s="39">
        <v>1</v>
      </c>
      <c r="B4" s="60">
        <f>offsets!L12</f>
        <v>2.01640113927012</v>
      </c>
      <c r="C4" s="61">
        <f>IF('Input Data'!E31=TRUE,"",IF('Input Data'!N$23="G",'Input Data'!G5,IF('Input Data'!N$23="H",'Input Data'!H5)))</f>
        <v>1.7461</v>
      </c>
      <c r="D4" s="62">
        <f>IF('Input Data'!E31=TRUE,"",(B4-B$20))</f>
        <v>0</v>
      </c>
      <c r="E4" s="62">
        <f>IF('Input Data'!E31=TRUE,"",(C4-C$20))</f>
        <v>0</v>
      </c>
      <c r="F4" s="63">
        <f>IF('Input Data'!E31=TRUE,"",(E4-D4))</f>
        <v>0</v>
      </c>
      <c r="G4" s="459">
        <f>IF('Input Data'!E31=TRUE,"",(F4-F$20))</f>
        <v>0.0012034496807196149</v>
      </c>
      <c r="H4" s="512"/>
      <c r="I4" s="512"/>
      <c r="J4" s="513"/>
      <c r="K4" s="514">
        <v>0.0012034496807196149</v>
      </c>
      <c r="L4" s="515"/>
      <c r="M4" s="512">
        <v>0.0013967161390056049</v>
      </c>
      <c r="N4" s="516">
        <v>0.0015</v>
      </c>
      <c r="O4" s="512">
        <v>0.0011757728391987854</v>
      </c>
      <c r="P4" s="517">
        <v>0.002</v>
      </c>
      <c r="Q4" s="512">
        <v>0.002619281608676083</v>
      </c>
    </row>
    <row r="5" spans="1:17" ht="12.75">
      <c r="A5" s="39">
        <v>2</v>
      </c>
      <c r="B5" s="64">
        <f>offsets!L16</f>
        <v>25.271225615390534</v>
      </c>
      <c r="C5" s="61">
        <f>IF('Input Data'!E32=TRUE,"",IF('Input Data'!N$23="G",'Input Data'!G6,IF('Input Data'!N$23="H",'Input Data'!H6)))</f>
        <v>25.0018</v>
      </c>
      <c r="D5" s="62">
        <f>IF('Input Data'!E32=TRUE,"",(B5-B$20))</f>
        <v>23.254824476120415</v>
      </c>
      <c r="E5" s="62">
        <f>IF('Input Data'!E32=TRUE,"",(C5-C$20))</f>
        <v>23.2557</v>
      </c>
      <c r="F5" s="63">
        <f>IF('Input Data'!E32=TRUE,"",(E5-D5))</f>
        <v>0.0008755238795856712</v>
      </c>
      <c r="G5" s="459">
        <f>IF('Input Data'!E32=TRUE,"",(F5-F$20))</f>
        <v>0.002078973560305286</v>
      </c>
      <c r="H5" s="518"/>
      <c r="I5" s="518"/>
      <c r="J5" s="519"/>
      <c r="K5" s="520">
        <v>0.002078973560305286</v>
      </c>
      <c r="L5" s="518"/>
      <c r="M5" s="518">
        <v>0.0006775481634200275</v>
      </c>
      <c r="N5" s="521">
        <v>0.0015</v>
      </c>
      <c r="O5" s="518">
        <v>0.003171346493305194</v>
      </c>
      <c r="P5" s="521">
        <v>0.002</v>
      </c>
      <c r="Q5" s="518">
        <v>0.002866801299066246</v>
      </c>
    </row>
    <row r="6" spans="1:17" ht="12.75">
      <c r="A6" s="39">
        <v>3</v>
      </c>
      <c r="B6" s="64">
        <f>offsets!L20</f>
        <v>24.76340458895084</v>
      </c>
      <c r="C6" s="61">
        <f>IF('Input Data'!E33=TRUE,"",IF('Input Data'!N$23="G",'Input Data'!G7,IF('Input Data'!N$23="H",'Input Data'!H7)))</f>
        <v>24.4919</v>
      </c>
      <c r="D6" s="62">
        <f>IF('Input Data'!E33=TRUE,"",(B6-B$20))</f>
        <v>22.747003449680722</v>
      </c>
      <c r="E6" s="62">
        <f>IF('Input Data'!E33=TRUE,"",(C6-C$20))</f>
        <v>22.745800000000003</v>
      </c>
      <c r="F6" s="63">
        <f>IF('Input Data'!E33=TRUE,"",(E6-D6))</f>
        <v>-0.0012034496807196149</v>
      </c>
      <c r="G6" s="459">
        <f>IF('Input Data'!E33=TRUE,"",(F6-F$20))</f>
        <v>0</v>
      </c>
      <c r="H6" s="518"/>
      <c r="I6" s="518"/>
      <c r="J6" s="519"/>
      <c r="K6" s="520">
        <v>0</v>
      </c>
      <c r="L6" s="518"/>
      <c r="M6" s="518">
        <v>0</v>
      </c>
      <c r="N6" s="516"/>
      <c r="O6" s="518">
        <v>0.0007690267126267969</v>
      </c>
      <c r="P6" s="516">
        <v>0</v>
      </c>
      <c r="Q6" s="518">
        <v>0.0004068034553865729</v>
      </c>
    </row>
    <row r="7" spans="1:17" ht="12.75">
      <c r="A7" s="39">
        <v>4</v>
      </c>
      <c r="B7" s="64">
        <f>offsets!L24</f>
        <v>9.445191602658781</v>
      </c>
      <c r="C7" s="61">
        <f>IF('Input Data'!E34=TRUE,"",IF('Input Data'!N$23="G",'Input Data'!G8,IF('Input Data'!N$23="H",'Input Data'!H8)))</f>
        <v>9.1765</v>
      </c>
      <c r="D7" s="62">
        <f>IF('Input Data'!E34=TRUE,"",(B7-B$20))</f>
        <v>7.428790463388661</v>
      </c>
      <c r="E7" s="62">
        <f>IF('Input Data'!E34=TRUE,"",(C7-C$20))</f>
        <v>7.430400000000001</v>
      </c>
      <c r="F7" s="63">
        <f>IF('Input Data'!E34=TRUE,"",(E7-D7))</f>
        <v>0.001609536611339557</v>
      </c>
      <c r="G7" s="459">
        <f>IF('Input Data'!E34=TRUE,"",(F7-F$20))</f>
        <v>0.002812986292059172</v>
      </c>
      <c r="H7" s="518"/>
      <c r="I7" s="518"/>
      <c r="J7" s="519"/>
      <c r="K7" s="520">
        <v>0.002812986292059172</v>
      </c>
      <c r="L7" s="518">
        <v>0.005</v>
      </c>
      <c r="M7" s="518">
        <v>0.0034107001110150748</v>
      </c>
      <c r="N7" s="516"/>
      <c r="O7" s="518">
        <v>0.003120705182176664</v>
      </c>
      <c r="P7" s="522">
        <v>0.004</v>
      </c>
      <c r="Q7" s="518">
        <v>0.004538371985283618</v>
      </c>
    </row>
    <row r="8" spans="1:17" ht="12.75">
      <c r="A8" s="39">
        <v>5</v>
      </c>
      <c r="B8" s="64">
        <f>offsets!L28</f>
        <v>27.784403855358423</v>
      </c>
      <c r="C8" s="61">
        <f>IF('Input Data'!E35=TRUE,"",IF('Input Data'!N$23="G",'Input Data'!G9,IF('Input Data'!N$23="H",'Input Data'!H9)))</f>
        <v>27.5135</v>
      </c>
      <c r="D8" s="62">
        <f>IF('Input Data'!E35=TRUE,"",(B8-B$20))</f>
        <v>25.768002716088304</v>
      </c>
      <c r="E8" s="62">
        <f>IF('Input Data'!E35=TRUE,"",(C8-C$20))</f>
        <v>25.767400000000002</v>
      </c>
      <c r="F8" s="63">
        <f>IF('Input Data'!E35=TRUE,"",(E8-D8))</f>
        <v>-0.000602716088302202</v>
      </c>
      <c r="G8" s="459">
        <f>IF('Input Data'!E35=TRUE,"",(F8-F$20))</f>
        <v>0.0006007335924174129</v>
      </c>
      <c r="H8" s="518"/>
      <c r="I8" s="518"/>
      <c r="J8" s="519"/>
      <c r="K8" s="520">
        <v>0.0006007335924174129</v>
      </c>
      <c r="L8" s="527">
        <v>0.005</v>
      </c>
      <c r="M8" s="518">
        <v>0.0032684976485484185</v>
      </c>
      <c r="N8" s="521">
        <v>0.004</v>
      </c>
      <c r="O8" s="518">
        <v>0.0022750275352780847</v>
      </c>
      <c r="P8" s="521">
        <v>0.005</v>
      </c>
      <c r="Q8" s="518">
        <v>0.0024414519949180757</v>
      </c>
    </row>
    <row r="9" spans="1:17" ht="12.75">
      <c r="A9" s="39">
        <v>6</v>
      </c>
      <c r="B9" s="64">
        <f>offsets!L32</f>
        <v>3.4995064158325477</v>
      </c>
      <c r="C9" s="61">
        <f>IF('Input Data'!E36=TRUE,"",IF('Input Data'!N$23="G",'Input Data'!G10,IF('Input Data'!N$23="H",'Input Data'!H10)))</f>
        <v>3.2322</v>
      </c>
      <c r="D9" s="62">
        <f>IF('Input Data'!E36=TRUE,"",(B9-B$20))</f>
        <v>1.4831052765624277</v>
      </c>
      <c r="E9" s="62">
        <f>IF('Input Data'!E36=TRUE,"",(C9-C$20))</f>
        <v>1.4861000000000002</v>
      </c>
      <c r="F9" s="63">
        <f>IF('Input Data'!E36=TRUE,"",(E9-D9))</f>
        <v>0.002994723437572455</v>
      </c>
      <c r="G9" s="459">
        <f>IF('Input Data'!E36=TRUE,"",(F9-F$20))</f>
        <v>0.00419817311829207</v>
      </c>
      <c r="H9" s="518"/>
      <c r="I9" s="518"/>
      <c r="J9" s="519"/>
      <c r="K9" s="520">
        <v>0.00419817311829207</v>
      </c>
      <c r="L9" s="527">
        <v>0.005</v>
      </c>
      <c r="M9" s="518">
        <v>0.005475090103478353</v>
      </c>
      <c r="N9" s="521">
        <v>0.004</v>
      </c>
      <c r="O9" s="518">
        <v>0.006028387394264145</v>
      </c>
      <c r="P9" s="521">
        <v>0.005</v>
      </c>
      <c r="Q9" s="518">
        <v>0.009503243790679461</v>
      </c>
    </row>
    <row r="10" spans="1:17" ht="12.75">
      <c r="A10" s="39">
        <v>7</v>
      </c>
      <c r="B10" s="64">
        <f>offsets!L36</f>
        <v>10.019267266509479</v>
      </c>
      <c r="C10" s="61">
        <f>IF('Input Data'!E37=TRUE,"",IF('Input Data'!N$23="G",'Input Data'!G11,IF('Input Data'!N$23="H",'Input Data'!H11)))</f>
        <v>9.7523</v>
      </c>
      <c r="D10" s="62">
        <f>IF('Input Data'!E37=TRUE,"",(B10-B$20))</f>
        <v>8.002866127239358</v>
      </c>
      <c r="E10" s="62">
        <f>IF('Input Data'!E37=TRUE,"",(C10-C$20))</f>
        <v>8.0062</v>
      </c>
      <c r="F10" s="63">
        <f>IF('Input Data'!E37=TRUE,"",(E10-D10))</f>
        <v>0.0033338727606420093</v>
      </c>
      <c r="G10" s="459">
        <f>IF('Input Data'!E37=TRUE,"",(F10-F$20))</f>
        <v>0.004537322441361624</v>
      </c>
      <c r="H10" s="518"/>
      <c r="I10" s="518"/>
      <c r="J10" s="519"/>
      <c r="K10" s="520">
        <v>0.004537322441361624</v>
      </c>
      <c r="L10" s="518">
        <v>0.004</v>
      </c>
      <c r="M10" s="518">
        <v>0.0073044025250990074</v>
      </c>
      <c r="N10" s="516"/>
      <c r="O10" s="518">
        <v>0.0065038962831280855</v>
      </c>
      <c r="P10" s="516">
        <v>0.004</v>
      </c>
      <c r="Q10" s="518">
        <v>0.008192203136700549</v>
      </c>
    </row>
    <row r="11" spans="1:17" ht="12.75">
      <c r="A11" s="39">
        <v>8</v>
      </c>
      <c r="B11" s="64">
        <f>offsets!L40</f>
        <v>6.5502059535316315</v>
      </c>
      <c r="C11" s="61">
        <f>IF('Input Data'!E38=TRUE,"",IF('Input Data'!N$23="G",'Input Data'!G12,IF('Input Data'!N$23="H",'Input Data'!H12)))</f>
        <v>6.2829</v>
      </c>
      <c r="D11" s="62">
        <f>IF('Input Data'!E38=TRUE,"",(B11-B$20))</f>
        <v>4.5338048142615115</v>
      </c>
      <c r="E11" s="62">
        <f>IF('Input Data'!E38=TRUE,"",(C11-C$20))</f>
        <v>4.5367999999999995</v>
      </c>
      <c r="F11" s="63">
        <f>IF('Input Data'!E38=TRUE,"",(E11-D11))</f>
        <v>0.0029951857384880043</v>
      </c>
      <c r="G11" s="459">
        <f>IF('Input Data'!E38=TRUE,"",(F11-F$20))</f>
        <v>0.004198635419207619</v>
      </c>
      <c r="H11" s="518"/>
      <c r="I11" s="518"/>
      <c r="J11" s="519"/>
      <c r="K11" s="520">
        <v>0.004198635419207619</v>
      </c>
      <c r="L11" s="518">
        <v>0.007</v>
      </c>
      <c r="M11" s="518">
        <v>0.009157816432490584</v>
      </c>
      <c r="N11" s="516"/>
      <c r="O11" s="518">
        <v>0</v>
      </c>
      <c r="P11" s="516"/>
      <c r="Q11" s="518">
        <v>0.004165582663454792</v>
      </c>
    </row>
    <row r="12" spans="1:17" ht="12.75">
      <c r="A12" s="39">
        <v>9</v>
      </c>
      <c r="B12" s="64">
        <f>offsets!L44</f>
        <v>4.055673192547991</v>
      </c>
      <c r="C12" s="61">
        <f>IF('Input Data'!E39=TRUE,"",IF('Input Data'!N$23="G",'Input Data'!G13,IF('Input Data'!N$23="H",'Input Data'!H13)))</f>
        <v>3.7846</v>
      </c>
      <c r="D12" s="62">
        <f>IF('Input Data'!E39=TRUE,"",(B12-B$20))</f>
        <v>2.0392720532778714</v>
      </c>
      <c r="E12" s="62">
        <f>IF('Input Data'!E39=TRUE,"",(C12-C$20))</f>
        <v>2.0385</v>
      </c>
      <c r="F12" s="63">
        <f>IF('Input Data'!E39=TRUE,"",(E12-D12))</f>
        <v>-0.0007720532778714428</v>
      </c>
      <c r="G12" s="459">
        <f>IF('Input Data'!E39=TRUE,"",(F12-F$20))</f>
        <v>0.00043139640284817204</v>
      </c>
      <c r="H12" s="518"/>
      <c r="I12" s="518"/>
      <c r="J12" s="519"/>
      <c r="K12" s="520">
        <v>0.00043139640284817204</v>
      </c>
      <c r="L12" s="527">
        <v>0.003</v>
      </c>
      <c r="M12" s="518">
        <v>0.0031317078039760915</v>
      </c>
      <c r="N12" s="521">
        <v>0.003</v>
      </c>
      <c r="O12" s="518">
        <v>0.002551418117827442</v>
      </c>
      <c r="P12" s="516">
        <v>0</v>
      </c>
      <c r="Q12" s="518">
        <v>0</v>
      </c>
    </row>
    <row r="13" spans="1:17" ht="12.75">
      <c r="A13" s="39">
        <v>10</v>
      </c>
      <c r="B13" s="64">
        <f>offsets!J48</f>
        <v>9.242501075888228</v>
      </c>
      <c r="C13" s="61">
        <f>IF('Input Data'!E40=TRUE,"",IF('Input Data'!N$23="G",'Input Data'!G14,IF('Input Data'!N$23="H",'Input Data'!H14)))</f>
        <v>8.9735</v>
      </c>
      <c r="D13" s="62">
        <f>IF('Input Data'!E40=TRUE,"",(B13-B$20))</f>
        <v>7.226099936618108</v>
      </c>
      <c r="E13" s="62">
        <f>IF('Input Data'!E40=TRUE,"",(C13-C$20))</f>
        <v>7.227399999999999</v>
      </c>
      <c r="F13" s="63">
        <f>IF('Input Data'!E40=TRUE,"",(E13-D13))</f>
        <v>0.0013000633818913698</v>
      </c>
      <c r="G13" s="459">
        <f>IF('Input Data'!E40=TRUE,"",(F13-F$20))</f>
        <v>0.0025035130626109847</v>
      </c>
      <c r="H13" s="518"/>
      <c r="I13" s="518"/>
      <c r="J13" s="519"/>
      <c r="K13" s="520">
        <v>0.0025035130626109847</v>
      </c>
      <c r="L13" s="527">
        <v>0.001</v>
      </c>
      <c r="M13" s="518">
        <v>0.001136564330844081</v>
      </c>
      <c r="N13" s="521">
        <v>0.003</v>
      </c>
      <c r="O13" s="518">
        <v>0.0027814775023831118</v>
      </c>
      <c r="P13" s="521">
        <v>0.0075</v>
      </c>
      <c r="Q13" s="518">
        <v>0.007110938735316097</v>
      </c>
    </row>
    <row r="14" spans="1:17" ht="12.75">
      <c r="A14" s="39">
        <v>11</v>
      </c>
      <c r="B14" s="64">
        <f>offsets!J52</f>
      </c>
      <c r="C14" s="61">
        <f>IF('Input Data'!E41=TRUE,"",IF('Input Data'!N$23="G",'Input Data'!G15,IF('Input Data'!N$23="H",'Input Data'!H15)))</f>
      </c>
      <c r="D14" s="62">
        <f>IF('Input Data'!E41=TRUE,"",(B14-B$20))</f>
      </c>
      <c r="E14" s="62">
        <f>IF('Input Data'!E41=TRUE,"",(C14-C$20))</f>
      </c>
      <c r="F14" s="63">
        <f>IF('Input Data'!E41=TRUE,"",(E14-D14))</f>
      </c>
      <c r="G14" s="459">
        <f>IF('Input Data'!E41=TRUE,"",(F14-F$20))</f>
      </c>
      <c r="H14" s="518"/>
      <c r="I14" s="520"/>
      <c r="J14" s="519"/>
      <c r="K14" s="518"/>
      <c r="L14" s="518"/>
      <c r="M14" s="518"/>
      <c r="N14" s="516">
        <v>0.002</v>
      </c>
      <c r="O14" s="518"/>
      <c r="P14" s="516">
        <v>0.002</v>
      </c>
      <c r="Q14" s="518"/>
    </row>
    <row r="15" spans="1:17" ht="12.75">
      <c r="A15" s="39">
        <v>12</v>
      </c>
      <c r="B15" s="64">
        <f>offsets!J56</f>
      </c>
      <c r="C15" s="61">
        <f>IF('Input Data'!E42=TRUE,"",IF('Input Data'!N$23="G",'Input Data'!G16,IF('Input Data'!N$23="H",'Input Data'!H16)))</f>
      </c>
      <c r="D15" s="62">
        <f>IF('Input Data'!E42=TRUE,"",(B15-B$20))</f>
      </c>
      <c r="E15" s="62">
        <f>IF('Input Data'!E42=TRUE,"",(C15-C$20))</f>
      </c>
      <c r="F15" s="63">
        <f>IF('Input Data'!E42=TRUE,"",(E15-D15))</f>
      </c>
      <c r="G15" s="459">
        <f>IF('Input Data'!E42=TRUE,"",(F15-F$20))</f>
      </c>
      <c r="H15" s="518"/>
      <c r="I15" s="520"/>
      <c r="J15" s="519"/>
      <c r="K15" s="518"/>
      <c r="L15" s="518"/>
      <c r="M15" s="518"/>
      <c r="N15" s="516"/>
      <c r="O15" s="518"/>
      <c r="P15" s="516"/>
      <c r="Q15" s="518"/>
    </row>
    <row r="16" spans="1:17" ht="12.75">
      <c r="A16" s="39">
        <v>13</v>
      </c>
      <c r="B16" s="64">
        <f>offsets!J60</f>
      </c>
      <c r="C16" s="61">
        <f>IF('Input Data'!E43=TRUE,"",IF('Input Data'!N$23="G",'Input Data'!G17,IF('Input Data'!N$23="H",'Input Data'!H17)))</f>
      </c>
      <c r="D16" s="62">
        <f>IF('Input Data'!E43=TRUE,"",(B16-B$20))</f>
      </c>
      <c r="E16" s="62">
        <f>IF('Input Data'!E43=TRUE,"",(C16-C$20))</f>
      </c>
      <c r="F16" s="63">
        <f>IF('Input Data'!E43=TRUE,"",(E16-D16))</f>
      </c>
      <c r="G16" s="459">
        <f>IF('Input Data'!E43=TRUE,"",(F16-F$20))</f>
      </c>
      <c r="H16" s="518"/>
      <c r="I16" s="523"/>
      <c r="J16" s="519"/>
      <c r="K16" s="518"/>
      <c r="L16" s="518"/>
      <c r="M16" s="518"/>
      <c r="N16" s="516"/>
      <c r="O16" s="518"/>
      <c r="P16" s="516"/>
      <c r="Q16" s="518"/>
    </row>
    <row r="17" spans="1:17" ht="12.75">
      <c r="A17" s="39">
        <v>14</v>
      </c>
      <c r="B17" s="64">
        <f>offsets!J64</f>
      </c>
      <c r="C17" s="61">
        <f>IF('Input Data'!E44=TRUE,"",IF('Input Data'!N$23="G",'Input Data'!G18,IF('Input Data'!N$23="H",'Input Data'!H18)))</f>
      </c>
      <c r="D17" s="62">
        <f>IF('Input Data'!E44=TRUE,"",(B17-B$20))</f>
      </c>
      <c r="E17" s="62">
        <f>IF('Input Data'!E44=TRUE,"",(C17-C$20))</f>
      </c>
      <c r="F17" s="63">
        <f>IF('Input Data'!E44=TRUE,"",(E17-D17))</f>
      </c>
      <c r="G17" s="459">
        <f>IF('Input Data'!E44=TRUE,"",(F17-F$20))</f>
      </c>
      <c r="H17" s="518"/>
      <c r="I17" s="518"/>
      <c r="J17" s="519"/>
      <c r="K17" s="518"/>
      <c r="L17" s="518"/>
      <c r="M17" s="518"/>
      <c r="N17" s="516"/>
      <c r="O17" s="518"/>
      <c r="P17" s="516"/>
      <c r="Q17" s="518"/>
    </row>
    <row r="18" spans="1:17" ht="12" customHeight="1" thickBot="1">
      <c r="A18" s="39">
        <v>15</v>
      </c>
      <c r="B18" s="64">
        <f>offsets!J68</f>
      </c>
      <c r="C18" s="61">
        <f>IF('Input Data'!E45=TRUE,"",IF('Input Data'!N$23="G",'Input Data'!G19,IF('Input Data'!N$23="H",'Input Data'!H19)))</f>
      </c>
      <c r="D18" s="62">
        <f>IF('Input Data'!E45=TRUE,"",(B18-B$20))</f>
      </c>
      <c r="E18" s="62">
        <f>IF('Input Data'!E45=TRUE,"",(C18-C$20))</f>
      </c>
      <c r="F18" s="63">
        <f>IF('Input Data'!E45=TRUE,"",(E18-D18))</f>
      </c>
      <c r="G18" s="459">
        <f>IF('Input Data'!E45=TRUE,"",(F18-F$20))</f>
      </c>
      <c r="H18" s="518"/>
      <c r="I18" s="518"/>
      <c r="J18" s="519"/>
      <c r="K18" s="518"/>
      <c r="L18" s="518"/>
      <c r="M18" s="518"/>
      <c r="N18" s="516"/>
      <c r="O18" s="518"/>
      <c r="P18" s="516"/>
      <c r="Q18" s="518"/>
    </row>
    <row r="19" spans="1:17" ht="12.75">
      <c r="A19" s="47" t="s">
        <v>20</v>
      </c>
      <c r="B19" s="65">
        <f>MAX(B4:B18)</f>
        <v>27.784403855358423</v>
      </c>
      <c r="C19" s="65">
        <f>MAX(C4:C18)</f>
        <v>27.5135</v>
      </c>
      <c r="D19" s="65">
        <f>MAX(D4:D18)</f>
        <v>25.768002716088304</v>
      </c>
      <c r="E19" s="66">
        <f>MAX(E4:E18)</f>
        <v>25.767400000000002</v>
      </c>
      <c r="F19" s="67">
        <f>MAX(F4:F18)</f>
        <v>0.0033338727606420093</v>
      </c>
      <c r="G19" s="4"/>
      <c r="H19" s="524"/>
      <c r="I19" s="524"/>
      <c r="J19" s="525"/>
      <c r="K19" s="524"/>
      <c r="L19" s="524"/>
      <c r="M19" s="524"/>
      <c r="N19" s="526"/>
      <c r="O19" s="524"/>
      <c r="P19" s="526"/>
      <c r="Q19" s="524"/>
    </row>
    <row r="20" spans="1:17" ht="13.5" thickBot="1">
      <c r="A20" s="48" t="s">
        <v>21</v>
      </c>
      <c r="B20" s="68">
        <f>MIN(B4:B18)</f>
        <v>2.01640113927012</v>
      </c>
      <c r="C20" s="68">
        <f>MIN(C4:C18)</f>
        <v>1.7461</v>
      </c>
      <c r="D20" s="68">
        <f>MIN(D4:D18)</f>
        <v>0</v>
      </c>
      <c r="E20" s="69">
        <f>MIN(E4:E18)</f>
        <v>0</v>
      </c>
      <c r="F20" s="457">
        <f>MIN(F4:F18)</f>
        <v>-0.0012034496807196149</v>
      </c>
      <c r="G20" s="4"/>
      <c r="H20" s="463"/>
      <c r="I20" s="463"/>
      <c r="J20" s="489"/>
      <c r="K20" s="390"/>
      <c r="L20" s="390"/>
      <c r="M20" s="463"/>
      <c r="N20" s="491"/>
      <c r="O20" s="463"/>
      <c r="P20" s="491"/>
      <c r="Q20" s="463"/>
    </row>
    <row r="21" spans="1:17" ht="13.5" thickBot="1">
      <c r="A21" s="49" t="s">
        <v>22</v>
      </c>
      <c r="B21" s="50"/>
      <c r="C21" s="51"/>
      <c r="D21" s="2"/>
      <c r="E21" s="2"/>
      <c r="F21" s="458"/>
      <c r="G21" s="460">
        <f aca="true" t="shared" si="0" ref="G21:L21">SUM(G4:G20)</f>
        <v>0.022565183569821956</v>
      </c>
      <c r="H21" s="493">
        <f t="shared" si="0"/>
        <v>0</v>
      </c>
      <c r="I21" s="493">
        <f t="shared" si="0"/>
        <v>0</v>
      </c>
      <c r="J21" s="494">
        <f t="shared" si="0"/>
        <v>0</v>
      </c>
      <c r="K21" s="493">
        <f t="shared" si="0"/>
        <v>0.022565183569821956</v>
      </c>
      <c r="L21" s="493">
        <f t="shared" si="0"/>
        <v>0.03</v>
      </c>
      <c r="M21" s="493">
        <f>SUM(M4:M20)</f>
        <v>0.03495904325787724</v>
      </c>
      <c r="N21" s="493">
        <f>SUM(N4:N20)</f>
        <v>0.018999999999999996</v>
      </c>
      <c r="O21" s="493">
        <f>SUM(O4:O20)</f>
        <v>0.02837705806018831</v>
      </c>
      <c r="P21" s="493">
        <f>SUM(P4:P20)</f>
        <v>0.0315</v>
      </c>
      <c r="Q21" s="493">
        <f>SUM(Q4:Q20)</f>
        <v>0.041844678669481494</v>
      </c>
    </row>
    <row r="22" spans="1:17" ht="13.5" thickBot="1">
      <c r="A22" s="52"/>
      <c r="B22" s="71">
        <f>B19-B20</f>
        <v>25.768002716088304</v>
      </c>
      <c r="C22" s="72">
        <f>C19-C20</f>
        <v>25.767400000000002</v>
      </c>
      <c r="D22" s="2"/>
      <c r="E22" s="2"/>
      <c r="F22" s="461" t="s">
        <v>86</v>
      </c>
      <c r="G22" s="462">
        <f aca="true" t="shared" si="1" ref="G22:L22">G21/8</f>
        <v>0.0028206479462277445</v>
      </c>
      <c r="H22" s="462">
        <f t="shared" si="1"/>
        <v>0</v>
      </c>
      <c r="I22" s="462">
        <f t="shared" si="1"/>
        <v>0</v>
      </c>
      <c r="J22" s="490">
        <f t="shared" si="1"/>
        <v>0</v>
      </c>
      <c r="K22" s="462">
        <f t="shared" si="1"/>
        <v>0.0028206479462277445</v>
      </c>
      <c r="L22" s="462">
        <f t="shared" si="1"/>
        <v>0.00375</v>
      </c>
      <c r="M22" s="462">
        <f>M21/8</f>
        <v>0.004369880407234655</v>
      </c>
      <c r="N22" s="462">
        <f>N21/8</f>
        <v>0.0023749999999999995</v>
      </c>
      <c r="O22" s="462">
        <f>O21/8</f>
        <v>0.0035471322575235387</v>
      </c>
      <c r="P22" s="462">
        <f>P21/8</f>
        <v>0.0039375</v>
      </c>
      <c r="Q22" s="462">
        <f>Q21/8</f>
        <v>0.005230584833685187</v>
      </c>
    </row>
    <row r="23" spans="1:11" ht="12.75">
      <c r="A23" s="52"/>
      <c r="B23" s="53"/>
      <c r="C23" s="54"/>
      <c r="D23" s="2"/>
      <c r="E23" s="2"/>
      <c r="F23" s="2"/>
      <c r="G23" s="433"/>
      <c r="H23" s="433"/>
      <c r="I23" s="433"/>
      <c r="J23" s="433"/>
      <c r="K23" s="433"/>
    </row>
    <row r="24" spans="1:7" ht="12.75">
      <c r="A24" s="52"/>
      <c r="B24" s="53" t="s">
        <v>23</v>
      </c>
      <c r="C24" s="54" t="s">
        <v>24</v>
      </c>
      <c r="D24" s="2"/>
      <c r="E24" s="2"/>
      <c r="F24" s="2"/>
      <c r="G24" s="2"/>
    </row>
    <row r="25" spans="1:7" ht="13.5" thickBot="1">
      <c r="A25" s="55"/>
      <c r="B25" s="56">
        <f>B20</f>
        <v>2.01640113927012</v>
      </c>
      <c r="C25" s="57">
        <f>C20</f>
        <v>1.7461</v>
      </c>
      <c r="D25" s="2"/>
      <c r="E25" s="2"/>
      <c r="F25" s="2"/>
      <c r="G25" s="2"/>
    </row>
    <row r="26" ht="13.5" thickBot="1"/>
    <row r="27" spans="1:13" ht="12.75">
      <c r="A27" s="14"/>
      <c r="B27" s="496"/>
      <c r="C27" s="501" t="s">
        <v>88</v>
      </c>
      <c r="D27" s="464"/>
      <c r="E27" s="464"/>
      <c r="F27" s="464"/>
      <c r="G27" s="464"/>
      <c r="H27" s="382"/>
      <c r="M27" s="482"/>
    </row>
    <row r="28" spans="1:13" ht="13.5" thickBot="1">
      <c r="A28" s="358"/>
      <c r="B28" s="502" t="s">
        <v>93</v>
      </c>
      <c r="C28" s="495"/>
      <c r="D28" s="499"/>
      <c r="E28" s="499"/>
      <c r="F28" s="499"/>
      <c r="G28" s="499"/>
      <c r="H28" s="500"/>
      <c r="M28" s="482"/>
    </row>
    <row r="29" spans="1:14" ht="12.75">
      <c r="A29" s="3"/>
      <c r="B29" s="497">
        <v>1</v>
      </c>
      <c r="C29" s="431">
        <f>Q4</f>
        <v>0.002619281608676083</v>
      </c>
      <c r="D29" s="431">
        <f>O4</f>
        <v>0.0011757728391987854</v>
      </c>
      <c r="E29" s="431">
        <f>M4</f>
        <v>0.0013967161390056049</v>
      </c>
      <c r="F29" s="431">
        <f>K4</f>
        <v>0.0012034496807196149</v>
      </c>
      <c r="G29" s="431">
        <f>I4</f>
        <v>0</v>
      </c>
      <c r="H29" s="465">
        <f>G4</f>
        <v>0.0012034496807196149</v>
      </c>
      <c r="M29" s="482"/>
      <c r="N29" s="387"/>
    </row>
    <row r="30" spans="1:14" ht="12.75">
      <c r="A30" s="3"/>
      <c r="B30" s="497">
        <v>2</v>
      </c>
      <c r="C30" s="431">
        <f aca="true" t="shared" si="2" ref="C30:C43">Q5</f>
        <v>0.002866801299066246</v>
      </c>
      <c r="D30" s="431">
        <f aca="true" t="shared" si="3" ref="D30:D43">O5</f>
        <v>0.003171346493305194</v>
      </c>
      <c r="E30" s="431">
        <f aca="true" t="shared" si="4" ref="E30:E43">M5</f>
        <v>0.0006775481634200275</v>
      </c>
      <c r="F30" s="431">
        <f aca="true" t="shared" si="5" ref="F30:F43">K5</f>
        <v>0.002078973560305286</v>
      </c>
      <c r="G30" s="431">
        <f aca="true" t="shared" si="6" ref="G30:G43">I5</f>
        <v>0</v>
      </c>
      <c r="H30" s="465">
        <f aca="true" t="shared" si="7" ref="H30:H43">G5</f>
        <v>0.002078973560305286</v>
      </c>
      <c r="M30" s="482"/>
      <c r="N30" s="387"/>
    </row>
    <row r="31" spans="1:14" ht="12.75">
      <c r="A31" s="3"/>
      <c r="B31" s="497">
        <v>3</v>
      </c>
      <c r="C31" s="431">
        <f t="shared" si="2"/>
        <v>0.0004068034553865729</v>
      </c>
      <c r="D31" s="431">
        <f t="shared" si="3"/>
        <v>0.0007690267126267969</v>
      </c>
      <c r="E31" s="431">
        <f t="shared" si="4"/>
        <v>0</v>
      </c>
      <c r="F31" s="431">
        <f t="shared" si="5"/>
        <v>0</v>
      </c>
      <c r="G31" s="431">
        <f t="shared" si="6"/>
        <v>0</v>
      </c>
      <c r="H31" s="465">
        <f t="shared" si="7"/>
        <v>0</v>
      </c>
      <c r="M31" s="482"/>
      <c r="N31" s="387"/>
    </row>
    <row r="32" spans="1:14" ht="12.75">
      <c r="A32" s="3"/>
      <c r="B32" s="497">
        <v>4</v>
      </c>
      <c r="C32" s="431">
        <f t="shared" si="2"/>
        <v>0.004538371985283618</v>
      </c>
      <c r="D32" s="431">
        <f t="shared" si="3"/>
        <v>0.003120705182176664</v>
      </c>
      <c r="E32" s="431">
        <f t="shared" si="4"/>
        <v>0.0034107001110150748</v>
      </c>
      <c r="F32" s="431">
        <f t="shared" si="5"/>
        <v>0.002812986292059172</v>
      </c>
      <c r="G32" s="431">
        <f t="shared" si="6"/>
        <v>0</v>
      </c>
      <c r="H32" s="465">
        <f t="shared" si="7"/>
        <v>0.002812986292059172</v>
      </c>
      <c r="M32" s="482"/>
      <c r="N32" s="387"/>
    </row>
    <row r="33" spans="1:14" ht="12.75">
      <c r="A33" s="14"/>
      <c r="B33" s="497">
        <v>5</v>
      </c>
      <c r="C33" s="431">
        <f t="shared" si="2"/>
        <v>0.0024414519949180757</v>
      </c>
      <c r="D33" s="431">
        <f t="shared" si="3"/>
        <v>0.0022750275352780847</v>
      </c>
      <c r="E33" s="431">
        <f t="shared" si="4"/>
        <v>0.0032684976485484185</v>
      </c>
      <c r="F33" s="431">
        <f t="shared" si="5"/>
        <v>0.0006007335924174129</v>
      </c>
      <c r="G33" s="431">
        <f t="shared" si="6"/>
        <v>0</v>
      </c>
      <c r="H33" s="465">
        <f t="shared" si="7"/>
        <v>0.0006007335924174129</v>
      </c>
      <c r="M33" s="482"/>
      <c r="N33" s="387"/>
    </row>
    <row r="34" spans="1:14" ht="12.75">
      <c r="A34" s="14"/>
      <c r="B34" s="497">
        <v>6</v>
      </c>
      <c r="C34" s="431">
        <f t="shared" si="2"/>
        <v>0.009503243790679461</v>
      </c>
      <c r="D34" s="431">
        <f t="shared" si="3"/>
        <v>0.006028387394264145</v>
      </c>
      <c r="E34" s="431">
        <f t="shared" si="4"/>
        <v>0.005475090103478353</v>
      </c>
      <c r="F34" s="431">
        <f t="shared" si="5"/>
        <v>0.00419817311829207</v>
      </c>
      <c r="G34" s="431">
        <f t="shared" si="6"/>
        <v>0</v>
      </c>
      <c r="H34" s="465">
        <f t="shared" si="7"/>
        <v>0.00419817311829207</v>
      </c>
      <c r="M34" s="482"/>
      <c r="N34" s="387"/>
    </row>
    <row r="35" spans="1:14" ht="12.75">
      <c r="A35" s="14"/>
      <c r="B35" s="497">
        <v>7</v>
      </c>
      <c r="C35" s="431">
        <f t="shared" si="2"/>
        <v>0.008192203136700549</v>
      </c>
      <c r="D35" s="431">
        <f t="shared" si="3"/>
        <v>0.0065038962831280855</v>
      </c>
      <c r="E35" s="431">
        <f t="shared" si="4"/>
        <v>0.0073044025250990074</v>
      </c>
      <c r="F35" s="431">
        <f t="shared" si="5"/>
        <v>0.004537322441361624</v>
      </c>
      <c r="G35" s="431">
        <f t="shared" si="6"/>
        <v>0</v>
      </c>
      <c r="H35" s="465">
        <f t="shared" si="7"/>
        <v>0.004537322441361624</v>
      </c>
      <c r="M35" s="482"/>
      <c r="N35" s="387"/>
    </row>
    <row r="36" spans="1:14" ht="12.75">
      <c r="A36" s="14"/>
      <c r="B36" s="497">
        <v>8</v>
      </c>
      <c r="C36" s="431">
        <f t="shared" si="2"/>
        <v>0.004165582663454792</v>
      </c>
      <c r="D36" s="431">
        <f t="shared" si="3"/>
        <v>0</v>
      </c>
      <c r="E36" s="431">
        <f t="shared" si="4"/>
        <v>0.009157816432490584</v>
      </c>
      <c r="F36" s="431">
        <f t="shared" si="5"/>
        <v>0.004198635419207619</v>
      </c>
      <c r="G36" s="431">
        <f t="shared" si="6"/>
        <v>0</v>
      </c>
      <c r="H36" s="465">
        <f t="shared" si="7"/>
        <v>0.004198635419207619</v>
      </c>
      <c r="M36" s="482"/>
      <c r="N36" s="387"/>
    </row>
    <row r="37" spans="1:14" ht="12.75">
      <c r="A37" s="14"/>
      <c r="B37" s="497">
        <v>9</v>
      </c>
      <c r="C37" s="431">
        <f t="shared" si="2"/>
        <v>0</v>
      </c>
      <c r="D37" s="431">
        <f t="shared" si="3"/>
        <v>0.002551418117827442</v>
      </c>
      <c r="E37" s="431">
        <f t="shared" si="4"/>
        <v>0.0031317078039760915</v>
      </c>
      <c r="F37" s="431">
        <f t="shared" si="5"/>
        <v>0.00043139640284817204</v>
      </c>
      <c r="G37" s="431">
        <f t="shared" si="6"/>
        <v>0</v>
      </c>
      <c r="H37" s="465">
        <f t="shared" si="7"/>
        <v>0.00043139640284817204</v>
      </c>
      <c r="M37" s="482"/>
      <c r="N37" s="387"/>
    </row>
    <row r="38" spans="1:13" ht="12.75">
      <c r="A38" s="14"/>
      <c r="B38" s="497">
        <v>10</v>
      </c>
      <c r="C38" s="431">
        <f t="shared" si="2"/>
        <v>0.007110938735316097</v>
      </c>
      <c r="D38" s="431">
        <f t="shared" si="3"/>
        <v>0.0027814775023831118</v>
      </c>
      <c r="E38" s="431">
        <f t="shared" si="4"/>
        <v>0.001136564330844081</v>
      </c>
      <c r="F38" s="431">
        <f t="shared" si="5"/>
        <v>0.0025035130626109847</v>
      </c>
      <c r="G38" s="431">
        <f t="shared" si="6"/>
        <v>0</v>
      </c>
      <c r="H38" s="465">
        <f t="shared" si="7"/>
        <v>0.0025035130626109847</v>
      </c>
      <c r="M38" s="482"/>
    </row>
    <row r="39" spans="1:13" ht="12.75">
      <c r="A39" s="14"/>
      <c r="B39" s="497">
        <v>11</v>
      </c>
      <c r="C39" s="431">
        <f t="shared" si="2"/>
        <v>0</v>
      </c>
      <c r="D39" s="431">
        <f t="shared" si="3"/>
        <v>0</v>
      </c>
      <c r="E39" s="431">
        <f t="shared" si="4"/>
        <v>0</v>
      </c>
      <c r="F39" s="431">
        <f t="shared" si="5"/>
        <v>0</v>
      </c>
      <c r="G39" s="431">
        <f t="shared" si="6"/>
        <v>0</v>
      </c>
      <c r="H39" s="465">
        <f t="shared" si="7"/>
      </c>
      <c r="M39" s="482"/>
    </row>
    <row r="40" spans="1:13" ht="12.75">
      <c r="A40" s="14"/>
      <c r="B40" s="497">
        <v>12</v>
      </c>
      <c r="C40" s="431">
        <f t="shared" si="2"/>
        <v>0</v>
      </c>
      <c r="D40" s="431">
        <f t="shared" si="3"/>
        <v>0</v>
      </c>
      <c r="E40" s="431">
        <f t="shared" si="4"/>
        <v>0</v>
      </c>
      <c r="F40" s="431">
        <f t="shared" si="5"/>
        <v>0</v>
      </c>
      <c r="G40" s="431">
        <f t="shared" si="6"/>
        <v>0</v>
      </c>
      <c r="H40" s="465">
        <f t="shared" si="7"/>
      </c>
      <c r="M40" s="482"/>
    </row>
    <row r="41" spans="2:13" ht="12.75">
      <c r="B41" s="497">
        <v>13</v>
      </c>
      <c r="C41" s="431">
        <f t="shared" si="2"/>
        <v>0</v>
      </c>
      <c r="D41" s="431">
        <f t="shared" si="3"/>
        <v>0</v>
      </c>
      <c r="E41" s="431">
        <f t="shared" si="4"/>
        <v>0</v>
      </c>
      <c r="F41" s="431">
        <f t="shared" si="5"/>
        <v>0</v>
      </c>
      <c r="G41" s="431">
        <f t="shared" si="6"/>
        <v>0</v>
      </c>
      <c r="H41" s="465">
        <f t="shared" si="7"/>
      </c>
      <c r="M41" s="482"/>
    </row>
    <row r="42" spans="2:13" ht="12.75">
      <c r="B42" s="497">
        <v>14</v>
      </c>
      <c r="C42" s="431">
        <f t="shared" si="2"/>
        <v>0</v>
      </c>
      <c r="D42" s="431">
        <f t="shared" si="3"/>
        <v>0</v>
      </c>
      <c r="E42" s="431">
        <f t="shared" si="4"/>
        <v>0</v>
      </c>
      <c r="F42" s="431">
        <f t="shared" si="5"/>
        <v>0</v>
      </c>
      <c r="G42" s="431">
        <f t="shared" si="6"/>
        <v>0</v>
      </c>
      <c r="H42" s="465">
        <f t="shared" si="7"/>
      </c>
      <c r="M42" s="4"/>
    </row>
    <row r="43" spans="2:13" ht="12.75">
      <c r="B43" s="497">
        <v>15</v>
      </c>
      <c r="C43" s="431">
        <f t="shared" si="2"/>
        <v>0</v>
      </c>
      <c r="D43" s="431">
        <f t="shared" si="3"/>
        <v>0</v>
      </c>
      <c r="E43" s="431">
        <f t="shared" si="4"/>
        <v>0</v>
      </c>
      <c r="F43" s="431">
        <f t="shared" si="5"/>
        <v>0</v>
      </c>
      <c r="G43" s="431">
        <f t="shared" si="6"/>
        <v>0</v>
      </c>
      <c r="H43" s="465">
        <f t="shared" si="7"/>
      </c>
      <c r="M43" s="4"/>
    </row>
    <row r="44" spans="2:13" ht="13.5" thickBot="1">
      <c r="B44" s="498" t="s">
        <v>89</v>
      </c>
      <c r="C44" s="466">
        <f>Q22</f>
        <v>0.005230584833685187</v>
      </c>
      <c r="D44" s="466">
        <f>O22</f>
        <v>0.0035471322575235387</v>
      </c>
      <c r="E44" s="466">
        <f>M22</f>
        <v>0.004369880407234655</v>
      </c>
      <c r="F44" s="466">
        <f>K22</f>
        <v>0.0028206479462277445</v>
      </c>
      <c r="G44" s="466">
        <f>I22</f>
        <v>0</v>
      </c>
      <c r="H44" s="467">
        <f>G22</f>
        <v>0.0028206479462277445</v>
      </c>
      <c r="M44" s="468"/>
    </row>
    <row r="45" ht="12.75">
      <c r="M45" s="468"/>
    </row>
  </sheetData>
  <mergeCells count="5">
    <mergeCell ref="P2:Q2"/>
    <mergeCell ref="H2:I2"/>
    <mergeCell ref="J2:K2"/>
    <mergeCell ref="L2:M2"/>
    <mergeCell ref="N2:O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zoomScale="75" zoomScaleNormal="75" workbookViewId="0" topLeftCell="A80">
      <selection activeCell="A104" sqref="A104"/>
    </sheetView>
  </sheetViews>
  <sheetFormatPr defaultColWidth="9.140625" defaultRowHeight="12.75"/>
  <sheetData>
    <row r="1" ht="27.75" customHeight="1">
      <c r="A1" s="376" t="s">
        <v>73</v>
      </c>
    </row>
    <row r="2" spans="1:24" ht="24" customHeight="1">
      <c r="A2" s="366" t="s">
        <v>16</v>
      </c>
      <c r="B2" s="366" t="s">
        <v>17</v>
      </c>
      <c r="C2" s="366" t="s">
        <v>18</v>
      </c>
      <c r="D2" s="367" t="s">
        <v>16</v>
      </c>
      <c r="E2" s="367" t="s">
        <v>17</v>
      </c>
      <c r="F2" s="367" t="s">
        <v>18</v>
      </c>
      <c r="G2" s="369" t="s">
        <v>16</v>
      </c>
      <c r="H2" s="369" t="s">
        <v>17</v>
      </c>
      <c r="I2" s="369" t="s">
        <v>18</v>
      </c>
      <c r="J2" s="370" t="s">
        <v>16</v>
      </c>
      <c r="K2" s="370" t="s">
        <v>17</v>
      </c>
      <c r="L2" s="370" t="s">
        <v>18</v>
      </c>
      <c r="M2" s="371" t="s">
        <v>16</v>
      </c>
      <c r="N2" s="371" t="s">
        <v>17</v>
      </c>
      <c r="O2" s="371" t="s">
        <v>18</v>
      </c>
      <c r="P2" s="372" t="s">
        <v>16</v>
      </c>
      <c r="Q2" s="372" t="s">
        <v>17</v>
      </c>
      <c r="R2" s="372" t="s">
        <v>18</v>
      </c>
      <c r="S2" s="374" t="s">
        <v>16</v>
      </c>
      <c r="T2" s="374" t="s">
        <v>17</v>
      </c>
      <c r="U2" s="374" t="s">
        <v>18</v>
      </c>
      <c r="V2" s="379" t="s">
        <v>16</v>
      </c>
      <c r="W2" s="379" t="s">
        <v>17</v>
      </c>
      <c r="X2" s="379" t="s">
        <v>18</v>
      </c>
    </row>
    <row r="103" spans="1:24" ht="12.75">
      <c r="A103" s="363">
        <f aca="true" t="shared" si="0" ref="A103:U103">SUM(A3:A102)</f>
        <v>0</v>
      </c>
      <c r="B103" s="363">
        <f t="shared" si="0"/>
        <v>0</v>
      </c>
      <c r="C103" s="363">
        <f t="shared" si="0"/>
        <v>0</v>
      </c>
      <c r="D103" s="364">
        <f t="shared" si="0"/>
        <v>0</v>
      </c>
      <c r="E103" s="364">
        <f t="shared" si="0"/>
        <v>0</v>
      </c>
      <c r="F103" s="364">
        <f t="shared" si="0"/>
        <v>0</v>
      </c>
      <c r="G103" s="368">
        <f t="shared" si="0"/>
        <v>0</v>
      </c>
      <c r="H103" s="368">
        <f t="shared" si="0"/>
        <v>0</v>
      </c>
      <c r="I103" s="368">
        <f t="shared" si="0"/>
        <v>0</v>
      </c>
      <c r="J103" s="360">
        <f t="shared" si="0"/>
        <v>0</v>
      </c>
      <c r="K103" s="360">
        <f t="shared" si="0"/>
        <v>0</v>
      </c>
      <c r="L103" s="360">
        <f t="shared" si="0"/>
        <v>0</v>
      </c>
      <c r="M103" s="361">
        <f t="shared" si="0"/>
        <v>0</v>
      </c>
      <c r="N103" s="361">
        <f t="shared" si="0"/>
        <v>0</v>
      </c>
      <c r="O103" s="361">
        <f t="shared" si="0"/>
        <v>0</v>
      </c>
      <c r="P103" s="377">
        <f t="shared" si="0"/>
        <v>0</v>
      </c>
      <c r="Q103" s="377">
        <f t="shared" si="0"/>
        <v>0</v>
      </c>
      <c r="R103" s="377">
        <f t="shared" si="0"/>
        <v>0</v>
      </c>
      <c r="S103" s="373">
        <f t="shared" si="0"/>
        <v>0</v>
      </c>
      <c r="T103" s="373">
        <f t="shared" si="0"/>
        <v>0</v>
      </c>
      <c r="U103" s="373">
        <f t="shared" si="0"/>
        <v>0</v>
      </c>
      <c r="V103" s="362">
        <f>SUM(V3:V102)</f>
        <v>0</v>
      </c>
      <c r="W103" s="362">
        <f>SUM(W3:W102)</f>
        <v>0</v>
      </c>
      <c r="X103" s="362">
        <f>SUM(X3:X102)</f>
        <v>0</v>
      </c>
    </row>
    <row r="104" spans="1:24" ht="12.75">
      <c r="A104" s="363">
        <f aca="true" t="shared" si="1" ref="A104:U104">A103/100</f>
        <v>0</v>
      </c>
      <c r="B104" s="363">
        <f t="shared" si="1"/>
        <v>0</v>
      </c>
      <c r="C104" s="363">
        <f t="shared" si="1"/>
        <v>0</v>
      </c>
      <c r="D104" s="364">
        <f t="shared" si="1"/>
        <v>0</v>
      </c>
      <c r="E104" s="364">
        <f t="shared" si="1"/>
        <v>0</v>
      </c>
      <c r="F104" s="364">
        <f t="shared" si="1"/>
        <v>0</v>
      </c>
      <c r="G104" s="368">
        <f t="shared" si="1"/>
        <v>0</v>
      </c>
      <c r="H104" s="368">
        <f t="shared" si="1"/>
        <v>0</v>
      </c>
      <c r="I104" s="368">
        <f t="shared" si="1"/>
        <v>0</v>
      </c>
      <c r="J104" s="360">
        <f t="shared" si="1"/>
        <v>0</v>
      </c>
      <c r="K104" s="360">
        <f t="shared" si="1"/>
        <v>0</v>
      </c>
      <c r="L104" s="360">
        <f t="shared" si="1"/>
        <v>0</v>
      </c>
      <c r="M104" s="361">
        <f t="shared" si="1"/>
        <v>0</v>
      </c>
      <c r="N104" s="361">
        <f t="shared" si="1"/>
        <v>0</v>
      </c>
      <c r="O104" s="361">
        <f t="shared" si="1"/>
        <v>0</v>
      </c>
      <c r="P104" s="377">
        <f t="shared" si="1"/>
        <v>0</v>
      </c>
      <c r="Q104" s="377">
        <f t="shared" si="1"/>
        <v>0</v>
      </c>
      <c r="R104" s="377">
        <f t="shared" si="1"/>
        <v>0</v>
      </c>
      <c r="S104" s="373">
        <f t="shared" si="1"/>
        <v>0</v>
      </c>
      <c r="T104" s="373">
        <f t="shared" si="1"/>
        <v>0</v>
      </c>
      <c r="U104" s="373">
        <f t="shared" si="1"/>
        <v>0</v>
      </c>
      <c r="V104" s="362">
        <f>V103/100</f>
        <v>0</v>
      </c>
      <c r="W104" s="362">
        <f>W103/100</f>
        <v>0</v>
      </c>
      <c r="X104" s="362">
        <f>X103/100</f>
        <v>0</v>
      </c>
    </row>
    <row r="105" spans="1:24" ht="20.25">
      <c r="A105" s="366" t="s">
        <v>16</v>
      </c>
      <c r="B105" s="366" t="s">
        <v>17</v>
      </c>
      <c r="C105" s="366" t="s">
        <v>18</v>
      </c>
      <c r="D105" s="367" t="s">
        <v>16</v>
      </c>
      <c r="E105" s="367" t="s">
        <v>17</v>
      </c>
      <c r="F105" s="367" t="s">
        <v>18</v>
      </c>
      <c r="G105" s="369" t="s">
        <v>16</v>
      </c>
      <c r="H105" s="369" t="s">
        <v>17</v>
      </c>
      <c r="I105" s="369" t="s">
        <v>18</v>
      </c>
      <c r="J105" s="370" t="s">
        <v>16</v>
      </c>
      <c r="K105" s="370" t="s">
        <v>17</v>
      </c>
      <c r="L105" s="370" t="s">
        <v>18</v>
      </c>
      <c r="M105" s="371" t="s">
        <v>16</v>
      </c>
      <c r="N105" s="371" t="s">
        <v>17</v>
      </c>
      <c r="O105" s="371" t="s">
        <v>18</v>
      </c>
      <c r="P105" s="378" t="s">
        <v>16</v>
      </c>
      <c r="Q105" s="378" t="s">
        <v>17</v>
      </c>
      <c r="R105" s="378" t="s">
        <v>18</v>
      </c>
      <c r="S105" s="374" t="s">
        <v>16</v>
      </c>
      <c r="T105" s="374" t="s">
        <v>17</v>
      </c>
      <c r="U105" s="374" t="s">
        <v>18</v>
      </c>
      <c r="V105" s="379" t="s">
        <v>16</v>
      </c>
      <c r="W105" s="379" t="s">
        <v>17</v>
      </c>
      <c r="X105" s="379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B14" sqref="B13:B14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407" t="s">
        <v>54</v>
      </c>
      <c r="B1" s="408"/>
      <c r="C1" s="408"/>
      <c r="D1" s="409"/>
      <c r="E1" s="375" t="s">
        <v>55</v>
      </c>
      <c r="F1" s="375" t="s">
        <v>55</v>
      </c>
      <c r="G1" s="375" t="s">
        <v>55</v>
      </c>
      <c r="H1" s="415" t="s">
        <v>74</v>
      </c>
      <c r="I1" s="416"/>
      <c r="J1" s="417"/>
      <c r="K1" s="365" t="s">
        <v>76</v>
      </c>
      <c r="L1" s="365" t="s">
        <v>59</v>
      </c>
      <c r="M1" s="375" t="s">
        <v>75</v>
      </c>
      <c r="N1" s="375"/>
    </row>
    <row r="2" spans="1:14" ht="12.75">
      <c r="A2" s="410"/>
      <c r="B2" s="411" t="s">
        <v>16</v>
      </c>
      <c r="C2" s="411" t="s">
        <v>17</v>
      </c>
      <c r="D2" s="412" t="s">
        <v>18</v>
      </c>
      <c r="E2" s="375" t="s">
        <v>56</v>
      </c>
      <c r="F2" s="375" t="s">
        <v>57</v>
      </c>
      <c r="G2" s="375" t="s">
        <v>58</v>
      </c>
      <c r="H2" s="418" t="s">
        <v>16</v>
      </c>
      <c r="I2" s="419" t="s">
        <v>17</v>
      </c>
      <c r="J2" s="420" t="s">
        <v>18</v>
      </c>
      <c r="K2" s="365" t="s">
        <v>77</v>
      </c>
      <c r="L2" s="365" t="s">
        <v>56</v>
      </c>
      <c r="M2" s="375" t="s">
        <v>60</v>
      </c>
      <c r="N2" s="375" t="s">
        <v>61</v>
      </c>
    </row>
    <row r="3" spans="1:14" ht="12.75">
      <c r="A3" s="413">
        <v>1</v>
      </c>
      <c r="B3" s="483">
        <f>'Super Point Data'!A$104</f>
        <v>0</v>
      </c>
      <c r="C3" s="483">
        <f>'Super Point Data'!B$104</f>
        <v>0</v>
      </c>
      <c r="D3" s="483">
        <f>'Super Point Data'!C$104</f>
        <v>0</v>
      </c>
      <c r="E3" s="387">
        <f>SQRT((B3)^2+(C3)^2+(D3)^2)</f>
        <v>0</v>
      </c>
      <c r="F3" s="387">
        <f>E3/12</f>
        <v>0</v>
      </c>
      <c r="G3" s="387">
        <f>F3*0.3048</f>
        <v>0</v>
      </c>
      <c r="H3" s="421"/>
      <c r="I3" s="422"/>
      <c r="J3" s="423"/>
      <c r="K3" s="427">
        <f>IF(AND(ISBLANK(H3),ISBLANK(I3),ISBLANK(J3)),"",SQRT((B3-H3)^2+(C3-I3)^2+(D3-J3)^2))</f>
      </c>
      <c r="L3" s="427">
        <f>IF(AND(ISBLANK(H3),ISBLANK(I3),ISBLANK(J3)),"",0.00002+(G3*0.0000008)+0.000036+(G3*0.000006)*39.3701)</f>
      </c>
      <c r="M3" s="427">
        <f>IF(AND(ISBLANK(H3),ISBLANK(I3),ISBLANK(J3)),"",ABS(K3-L3))</f>
      </c>
      <c r="N3" s="386">
        <f>IF(AND(ISBLANK(H3),ISBLANK(I3),ISBLANK(J3)),"",IF(K3&gt;L3*2,"FAIL","PASS"))</f>
      </c>
    </row>
    <row r="4" spans="1:14" ht="12.75">
      <c r="A4" s="413">
        <v>2</v>
      </c>
      <c r="B4" s="483">
        <f>'Super Point Data'!D$104</f>
        <v>0</v>
      </c>
      <c r="C4" s="483">
        <f>'Super Point Data'!E$104</f>
        <v>0</v>
      </c>
      <c r="D4" s="483">
        <f>'Super Point Data'!F$104</f>
        <v>0</v>
      </c>
      <c r="E4" s="387">
        <f aca="true" t="shared" si="0" ref="E4:E10">SQRT((B4)^2+(C4)^2+(D4)^2)</f>
        <v>0</v>
      </c>
      <c r="F4" s="387">
        <f aca="true" t="shared" si="1" ref="F4:F10">E4/12</f>
        <v>0</v>
      </c>
      <c r="G4" s="387">
        <f aca="true" t="shared" si="2" ref="G4:G10">F4*0.3048</f>
        <v>0</v>
      </c>
      <c r="H4" s="421"/>
      <c r="I4" s="422"/>
      <c r="J4" s="423"/>
      <c r="K4" s="427">
        <f>IF(AND(ISBLANK(H4),ISBLANK(I4),ISBLANK(J4)),"",SQRT((B4-H4)^2+(C4-I4)^2+(D4-J4)^2))</f>
      </c>
      <c r="L4" s="427">
        <f>IF(AND(ISBLANK(H4),ISBLANK(I4),ISBLANK(J4)),"",0.00002+(G4*0.0000008)+0.000036+(G4*0.000006)*39.3701)</f>
      </c>
      <c r="M4" s="427">
        <f>IF(AND(ISBLANK(H4),ISBLANK(I4),ISBLANK(J4)),"",ABS(K4-L4))</f>
      </c>
      <c r="N4" s="386">
        <f>IF(AND(ISBLANK(H4),ISBLANK(I4),ISBLANK(J4)),"",IF(K4&gt;L4*2,"FAIL","PASS"))</f>
      </c>
    </row>
    <row r="5" spans="1:14" ht="12.75">
      <c r="A5" s="413">
        <v>3</v>
      </c>
      <c r="B5" s="483">
        <f>'Super Point Data'!G$104</f>
        <v>0</v>
      </c>
      <c r="C5" s="483">
        <f>'Super Point Data'!H$104</f>
        <v>0</v>
      </c>
      <c r="D5" s="483">
        <f>'Super Point Data'!I$104</f>
        <v>0</v>
      </c>
      <c r="E5" s="387">
        <f t="shared" si="0"/>
        <v>0</v>
      </c>
      <c r="F5" s="387">
        <f t="shared" si="1"/>
        <v>0</v>
      </c>
      <c r="G5" s="387">
        <f t="shared" si="2"/>
        <v>0</v>
      </c>
      <c r="H5" s="421"/>
      <c r="I5" s="422"/>
      <c r="J5" s="423"/>
      <c r="K5" s="427">
        <f aca="true" t="shared" si="3" ref="K5:K10">IF(AND(ISBLANK(H5),ISBLANK(I5),ISBLANK(J5)),"",SQRT((B5-H5)^2+(C5-I5)^2+(D5-J5)^2))</f>
      </c>
      <c r="L5" s="427">
        <f aca="true" t="shared" si="4" ref="L5:L10">IF(AND(ISBLANK(H5),ISBLANK(I5),ISBLANK(J5)),"",0.00002+(G5*0.0000008)+0.000036+(G5*0.000006)*39.3701)</f>
      </c>
      <c r="M5" s="427">
        <f aca="true" t="shared" si="5" ref="M5:M10">IF(AND(ISBLANK(H5),ISBLANK(I5),ISBLANK(J5)),"",ABS(K5-L5))</f>
      </c>
      <c r="N5" s="386">
        <f aca="true" t="shared" si="6" ref="N5:N10">IF(AND(ISBLANK(H5),ISBLANK(I5),ISBLANK(J5)),"",IF(K5&gt;L5*2,"FAIL","PASS"))</f>
      </c>
    </row>
    <row r="6" spans="1:14" ht="12.75">
      <c r="A6" s="413">
        <v>4</v>
      </c>
      <c r="B6" s="483">
        <f>'Super Point Data'!J$104</f>
        <v>0</v>
      </c>
      <c r="C6" s="483">
        <f>'Super Point Data'!K$104</f>
        <v>0</v>
      </c>
      <c r="D6" s="483">
        <f>'Super Point Data'!L$104</f>
        <v>0</v>
      </c>
      <c r="E6" s="387">
        <f t="shared" si="0"/>
        <v>0</v>
      </c>
      <c r="F6" s="387">
        <f t="shared" si="1"/>
        <v>0</v>
      </c>
      <c r="G6" s="387">
        <f t="shared" si="2"/>
        <v>0</v>
      </c>
      <c r="H6" s="421"/>
      <c r="I6" s="422"/>
      <c r="J6" s="423"/>
      <c r="K6" s="427">
        <f t="shared" si="3"/>
      </c>
      <c r="L6" s="427">
        <f t="shared" si="4"/>
      </c>
      <c r="M6" s="427">
        <f t="shared" si="5"/>
      </c>
      <c r="N6" s="386">
        <f t="shared" si="6"/>
      </c>
    </row>
    <row r="7" spans="1:14" ht="12.75">
      <c r="A7" s="413">
        <v>5</v>
      </c>
      <c r="B7" s="483">
        <f>'Super Point Data'!M$104</f>
        <v>0</v>
      </c>
      <c r="C7" s="483">
        <f>'Super Point Data'!N$104</f>
        <v>0</v>
      </c>
      <c r="D7" s="483">
        <f>'Super Point Data'!C$104</f>
        <v>0</v>
      </c>
      <c r="E7" s="387">
        <f t="shared" si="0"/>
        <v>0</v>
      </c>
      <c r="F7" s="387">
        <f t="shared" si="1"/>
        <v>0</v>
      </c>
      <c r="G7" s="387">
        <f t="shared" si="2"/>
        <v>0</v>
      </c>
      <c r="H7" s="421"/>
      <c r="I7" s="422"/>
      <c r="J7" s="423"/>
      <c r="K7" s="427">
        <f t="shared" si="3"/>
      </c>
      <c r="L7" s="427">
        <f t="shared" si="4"/>
      </c>
      <c r="M7" s="427">
        <f t="shared" si="5"/>
      </c>
      <c r="N7" s="386">
        <f t="shared" si="6"/>
      </c>
    </row>
    <row r="8" spans="1:14" ht="12.75">
      <c r="A8" s="413">
        <v>6</v>
      </c>
      <c r="B8" s="483">
        <f>'Super Point Data'!P$104</f>
        <v>0</v>
      </c>
      <c r="C8" s="483">
        <f>'Super Point Data'!Q$104</f>
        <v>0</v>
      </c>
      <c r="D8" s="483">
        <f>'Super Point Data'!R$104</f>
        <v>0</v>
      </c>
      <c r="E8" s="387">
        <f t="shared" si="0"/>
        <v>0</v>
      </c>
      <c r="F8" s="387">
        <f t="shared" si="1"/>
        <v>0</v>
      </c>
      <c r="G8" s="387">
        <f t="shared" si="2"/>
        <v>0</v>
      </c>
      <c r="H8" s="421"/>
      <c r="I8" s="422"/>
      <c r="J8" s="423"/>
      <c r="K8" s="427">
        <f t="shared" si="3"/>
      </c>
      <c r="L8" s="427">
        <f t="shared" si="4"/>
      </c>
      <c r="M8" s="427">
        <f t="shared" si="5"/>
      </c>
      <c r="N8" s="386">
        <f t="shared" si="6"/>
      </c>
    </row>
    <row r="9" spans="1:14" ht="12.75">
      <c r="A9" s="413">
        <v>7</v>
      </c>
      <c r="B9" s="483">
        <f>'Super Point Data'!S$104</f>
        <v>0</v>
      </c>
      <c r="C9" s="483">
        <f>'Super Point Data'!T$104</f>
        <v>0</v>
      </c>
      <c r="D9" s="483">
        <f>'Super Point Data'!U$104</f>
        <v>0</v>
      </c>
      <c r="E9" s="387">
        <f t="shared" si="0"/>
        <v>0</v>
      </c>
      <c r="F9" s="387">
        <f t="shared" si="1"/>
        <v>0</v>
      </c>
      <c r="G9" s="387">
        <f t="shared" si="2"/>
        <v>0</v>
      </c>
      <c r="H9" s="421"/>
      <c r="I9" s="422"/>
      <c r="J9" s="423"/>
      <c r="K9" s="427">
        <f t="shared" si="3"/>
      </c>
      <c r="L9" s="427">
        <f t="shared" si="4"/>
      </c>
      <c r="M9" s="427">
        <f t="shared" si="5"/>
      </c>
      <c r="N9" s="386">
        <f t="shared" si="6"/>
      </c>
    </row>
    <row r="10" spans="1:14" ht="13.5" thickBot="1">
      <c r="A10" s="414">
        <v>8</v>
      </c>
      <c r="B10" s="483">
        <f>'Super Point Data'!V$104</f>
        <v>0</v>
      </c>
      <c r="C10" s="483">
        <f>'Super Point Data'!W$104</f>
        <v>0</v>
      </c>
      <c r="D10" s="483">
        <f>'Super Point Data'!X$104</f>
        <v>0</v>
      </c>
      <c r="E10" s="387">
        <f t="shared" si="0"/>
        <v>0</v>
      </c>
      <c r="F10" s="387">
        <f t="shared" si="1"/>
        <v>0</v>
      </c>
      <c r="G10" s="387">
        <f t="shared" si="2"/>
        <v>0</v>
      </c>
      <c r="H10" s="424"/>
      <c r="I10" s="425"/>
      <c r="J10" s="426"/>
      <c r="K10" s="427">
        <f t="shared" si="3"/>
      </c>
      <c r="L10" s="427">
        <f t="shared" si="4"/>
      </c>
      <c r="M10" s="427">
        <f t="shared" si="5"/>
      </c>
      <c r="N10" s="386">
        <f t="shared" si="6"/>
      </c>
    </row>
    <row r="11" ht="13.5" thickBot="1"/>
    <row r="12" spans="7:10" ht="12.75">
      <c r="G12" s="453"/>
      <c r="H12" s="442" t="s">
        <v>82</v>
      </c>
      <c r="I12" s="443" t="s">
        <v>83</v>
      </c>
      <c r="J12" s="444" t="s">
        <v>84</v>
      </c>
    </row>
    <row r="13" spans="7:11" ht="12.75">
      <c r="G13" s="445">
        <v>1</v>
      </c>
      <c r="H13" s="446">
        <f>B3-H3</f>
        <v>0</v>
      </c>
      <c r="I13" s="447">
        <f>C3-I3</f>
        <v>0</v>
      </c>
      <c r="J13" s="448">
        <f>D3-J3</f>
        <v>0</v>
      </c>
      <c r="K13" s="386"/>
    </row>
    <row r="14" spans="7:11" ht="12.75">
      <c r="G14" s="445">
        <v>2</v>
      </c>
      <c r="H14" s="446">
        <f aca="true" t="shared" si="7" ref="H14:H20">B4-H4</f>
        <v>0</v>
      </c>
      <c r="I14" s="447">
        <f aca="true" t="shared" si="8" ref="I14:I20">C4-I4</f>
        <v>0</v>
      </c>
      <c r="J14" s="448">
        <f aca="true" t="shared" si="9" ref="J14:J20">D4-J4</f>
        <v>0</v>
      </c>
      <c r="K14" s="386"/>
    </row>
    <row r="15" spans="7:11" ht="12.75">
      <c r="G15" s="445">
        <v>3</v>
      </c>
      <c r="H15" s="446">
        <f t="shared" si="7"/>
        <v>0</v>
      </c>
      <c r="I15" s="447">
        <f t="shared" si="8"/>
        <v>0</v>
      </c>
      <c r="J15" s="448">
        <f t="shared" si="9"/>
        <v>0</v>
      </c>
      <c r="K15" s="386"/>
    </row>
    <row r="16" spans="7:11" ht="12.75">
      <c r="G16" s="445">
        <v>4</v>
      </c>
      <c r="H16" s="446">
        <f t="shared" si="7"/>
        <v>0</v>
      </c>
      <c r="I16" s="447">
        <f t="shared" si="8"/>
        <v>0</v>
      </c>
      <c r="J16" s="448">
        <f t="shared" si="9"/>
        <v>0</v>
      </c>
      <c r="K16" s="386"/>
    </row>
    <row r="17" spans="7:11" ht="12.75">
      <c r="G17" s="445">
        <v>5</v>
      </c>
      <c r="H17" s="446">
        <f t="shared" si="7"/>
        <v>0</v>
      </c>
      <c r="I17" s="447">
        <f t="shared" si="8"/>
        <v>0</v>
      </c>
      <c r="J17" s="448">
        <f t="shared" si="9"/>
        <v>0</v>
      </c>
      <c r="K17" s="386"/>
    </row>
    <row r="18" spans="7:11" ht="12.75">
      <c r="G18" s="445">
        <v>6</v>
      </c>
      <c r="H18" s="446">
        <f t="shared" si="7"/>
        <v>0</v>
      </c>
      <c r="I18" s="447">
        <f t="shared" si="8"/>
        <v>0</v>
      </c>
      <c r="J18" s="448">
        <f t="shared" si="9"/>
        <v>0</v>
      </c>
      <c r="K18" s="386"/>
    </row>
    <row r="19" spans="7:11" ht="12.75">
      <c r="G19" s="445">
        <v>7</v>
      </c>
      <c r="H19" s="446">
        <f t="shared" si="7"/>
        <v>0</v>
      </c>
      <c r="I19" s="447">
        <f t="shared" si="8"/>
        <v>0</v>
      </c>
      <c r="J19" s="448">
        <f t="shared" si="9"/>
        <v>0</v>
      </c>
      <c r="K19" s="386"/>
    </row>
    <row r="20" spans="7:11" ht="13.5" thickBot="1">
      <c r="G20" s="449">
        <v>8</v>
      </c>
      <c r="H20" s="450">
        <f t="shared" si="7"/>
        <v>0</v>
      </c>
      <c r="I20" s="451">
        <f t="shared" si="8"/>
        <v>0</v>
      </c>
      <c r="J20" s="452">
        <f t="shared" si="9"/>
        <v>0</v>
      </c>
      <c r="K20" s="386"/>
    </row>
    <row r="24" ht="13.5" thickBot="1"/>
    <row r="25" spans="1:11" ht="18.75" thickBot="1">
      <c r="A25" s="385" t="s">
        <v>62</v>
      </c>
      <c r="B25" s="381"/>
      <c r="C25" s="381"/>
      <c r="D25" s="381"/>
      <c r="E25" s="380"/>
      <c r="F25" s="381" t="s">
        <v>63</v>
      </c>
      <c r="G25" s="381"/>
      <c r="H25" s="382"/>
      <c r="I25" s="381" t="s">
        <v>64</v>
      </c>
      <c r="J25" s="381"/>
      <c r="K25" s="382"/>
    </row>
    <row r="26" spans="1:11" ht="12.75">
      <c r="A26" s="389" t="s">
        <v>65</v>
      </c>
      <c r="B26" s="389" t="s">
        <v>65</v>
      </c>
      <c r="C26" s="389" t="s">
        <v>66</v>
      </c>
      <c r="D26" s="389" t="s">
        <v>67</v>
      </c>
      <c r="E26" s="383"/>
      <c r="F26" s="1" t="s">
        <v>59</v>
      </c>
      <c r="G26" s="1"/>
      <c r="H26" s="384"/>
      <c r="I26" s="1" t="s">
        <v>68</v>
      </c>
      <c r="J26" s="2"/>
      <c r="K26" s="388" t="s">
        <v>65</v>
      </c>
    </row>
    <row r="27" spans="1:11" ht="13.5" thickBot="1">
      <c r="A27" s="390" t="s">
        <v>57</v>
      </c>
      <c r="B27" s="390" t="s">
        <v>69</v>
      </c>
      <c r="C27" s="390" t="s">
        <v>69</v>
      </c>
      <c r="D27" s="390" t="s">
        <v>69</v>
      </c>
      <c r="E27" s="383"/>
      <c r="F27" s="2" t="s">
        <v>69</v>
      </c>
      <c r="G27" s="1"/>
      <c r="H27" s="388" t="s">
        <v>70</v>
      </c>
      <c r="I27" s="1"/>
      <c r="J27" s="2" t="s">
        <v>70</v>
      </c>
      <c r="K27" s="388" t="s">
        <v>71</v>
      </c>
    </row>
    <row r="28" spans="1:11" ht="12.75">
      <c r="A28" s="391">
        <v>0</v>
      </c>
      <c r="B28" s="391">
        <f>A28*0.3048</f>
        <v>0</v>
      </c>
      <c r="C28" s="392">
        <f>0.00002+(B28*0.0000008)</f>
        <v>2E-05</v>
      </c>
      <c r="D28" s="392">
        <f>0.000036+(B28*0.000006)</f>
        <v>3.6E-05</v>
      </c>
      <c r="E28" s="395" t="s">
        <v>72</v>
      </c>
      <c r="F28" s="396">
        <f aca="true" t="shared" si="10" ref="F28:F36">C28+D28</f>
        <v>5.6000000000000006E-05</v>
      </c>
      <c r="G28" s="397" t="s">
        <v>72</v>
      </c>
      <c r="H28" s="398">
        <f aca="true" t="shared" si="11" ref="H28:H36">F28*39.3701</f>
        <v>0.0022047256000000005</v>
      </c>
      <c r="I28" s="397" t="s">
        <v>72</v>
      </c>
      <c r="J28" s="396">
        <f aca="true" t="shared" si="12" ref="J28:J36">H28/2</f>
        <v>0.0011023628000000002</v>
      </c>
      <c r="K28" s="398">
        <v>0</v>
      </c>
    </row>
    <row r="29" spans="1:11" ht="12.75">
      <c r="A29" s="391">
        <v>5</v>
      </c>
      <c r="B29" s="391">
        <f aca="true" t="shared" si="13" ref="B29:B36">A29*0.3048</f>
        <v>1.524</v>
      </c>
      <c r="C29" s="392">
        <f aca="true" t="shared" si="14" ref="C29:C36">0.00002+(B29*0.0000008)</f>
        <v>2.1219200000000002E-05</v>
      </c>
      <c r="D29" s="392">
        <f aca="true" t="shared" si="15" ref="D29:D36">0.000036+(B29*0.000006)</f>
        <v>4.5144E-05</v>
      </c>
      <c r="E29" s="399" t="s">
        <v>72</v>
      </c>
      <c r="F29" s="400">
        <f t="shared" si="10"/>
        <v>6.63632E-05</v>
      </c>
      <c r="G29" s="401" t="s">
        <v>72</v>
      </c>
      <c r="H29" s="402">
        <f t="shared" si="11"/>
        <v>0.00261272582032</v>
      </c>
      <c r="I29" s="401" t="s">
        <v>72</v>
      </c>
      <c r="J29" s="400">
        <f t="shared" si="12"/>
        <v>0.00130636291016</v>
      </c>
      <c r="K29" s="402">
        <v>5</v>
      </c>
    </row>
    <row r="30" spans="1:11" ht="12.75">
      <c r="A30" s="391">
        <v>10</v>
      </c>
      <c r="B30" s="391">
        <f t="shared" si="13"/>
        <v>3.048</v>
      </c>
      <c r="C30" s="392">
        <f t="shared" si="14"/>
        <v>2.2438400000000002E-05</v>
      </c>
      <c r="D30" s="392">
        <f t="shared" si="15"/>
        <v>5.4288000000000006E-05</v>
      </c>
      <c r="E30" s="399" t="s">
        <v>72</v>
      </c>
      <c r="F30" s="400">
        <f t="shared" si="10"/>
        <v>7.672640000000001E-05</v>
      </c>
      <c r="G30" s="401" t="s">
        <v>72</v>
      </c>
      <c r="H30" s="402">
        <f t="shared" si="11"/>
        <v>0.0030207260406400005</v>
      </c>
      <c r="I30" s="401" t="s">
        <v>72</v>
      </c>
      <c r="J30" s="400">
        <f t="shared" si="12"/>
        <v>0.0015103630203200003</v>
      </c>
      <c r="K30" s="402">
        <v>10</v>
      </c>
    </row>
    <row r="31" spans="1:11" ht="12.75">
      <c r="A31" s="391">
        <v>15</v>
      </c>
      <c r="B31" s="391">
        <f t="shared" si="13"/>
        <v>4.572</v>
      </c>
      <c r="C31" s="392">
        <f t="shared" si="14"/>
        <v>2.3657600000000002E-05</v>
      </c>
      <c r="D31" s="392">
        <f t="shared" si="15"/>
        <v>6.3432E-05</v>
      </c>
      <c r="E31" s="399" t="s">
        <v>72</v>
      </c>
      <c r="F31" s="400">
        <f t="shared" si="10"/>
        <v>8.708960000000001E-05</v>
      </c>
      <c r="G31" s="401" t="s">
        <v>72</v>
      </c>
      <c r="H31" s="402">
        <f t="shared" si="11"/>
        <v>0.0034287262609600006</v>
      </c>
      <c r="I31" s="401" t="s">
        <v>72</v>
      </c>
      <c r="J31" s="400">
        <f t="shared" si="12"/>
        <v>0.0017143631304800003</v>
      </c>
      <c r="K31" s="402">
        <v>15</v>
      </c>
    </row>
    <row r="32" spans="1:11" ht="12.75">
      <c r="A32" s="391">
        <v>20</v>
      </c>
      <c r="B32" s="391">
        <f t="shared" si="13"/>
        <v>6.096</v>
      </c>
      <c r="C32" s="392">
        <f t="shared" si="14"/>
        <v>2.4876800000000002E-05</v>
      </c>
      <c r="D32" s="392">
        <f t="shared" si="15"/>
        <v>7.2576E-05</v>
      </c>
      <c r="E32" s="399" t="s">
        <v>72</v>
      </c>
      <c r="F32" s="400">
        <f t="shared" si="10"/>
        <v>9.74528E-05</v>
      </c>
      <c r="G32" s="401" t="s">
        <v>72</v>
      </c>
      <c r="H32" s="402">
        <f t="shared" si="11"/>
        <v>0.00383672648128</v>
      </c>
      <c r="I32" s="401" t="s">
        <v>72</v>
      </c>
      <c r="J32" s="400">
        <f t="shared" si="12"/>
        <v>0.00191836324064</v>
      </c>
      <c r="K32" s="402">
        <v>20</v>
      </c>
    </row>
    <row r="33" spans="1:11" ht="12.75">
      <c r="A33" s="391">
        <v>25</v>
      </c>
      <c r="B33" s="391">
        <f t="shared" si="13"/>
        <v>7.62</v>
      </c>
      <c r="C33" s="392">
        <f t="shared" si="14"/>
        <v>2.6096000000000002E-05</v>
      </c>
      <c r="D33" s="392">
        <f t="shared" si="15"/>
        <v>8.172E-05</v>
      </c>
      <c r="E33" s="399" t="s">
        <v>72</v>
      </c>
      <c r="F33" s="400">
        <f t="shared" si="10"/>
        <v>0.000107816</v>
      </c>
      <c r="G33" s="401" t="s">
        <v>72</v>
      </c>
      <c r="H33" s="402">
        <f t="shared" si="11"/>
        <v>0.0042447267016</v>
      </c>
      <c r="I33" s="401" t="s">
        <v>72</v>
      </c>
      <c r="J33" s="400">
        <f t="shared" si="12"/>
        <v>0.0021223633508</v>
      </c>
      <c r="K33" s="402">
        <v>25</v>
      </c>
    </row>
    <row r="34" spans="1:11" ht="12.75">
      <c r="A34" s="391">
        <v>30</v>
      </c>
      <c r="B34" s="391">
        <f t="shared" si="13"/>
        <v>9.144</v>
      </c>
      <c r="C34" s="392">
        <f t="shared" si="14"/>
        <v>2.7315200000000002E-05</v>
      </c>
      <c r="D34" s="392">
        <f t="shared" si="15"/>
        <v>9.0864E-05</v>
      </c>
      <c r="E34" s="399" t="s">
        <v>72</v>
      </c>
      <c r="F34" s="400">
        <f t="shared" si="10"/>
        <v>0.00011817920000000001</v>
      </c>
      <c r="G34" s="401" t="s">
        <v>72</v>
      </c>
      <c r="H34" s="402">
        <f t="shared" si="11"/>
        <v>0.004652726921920001</v>
      </c>
      <c r="I34" s="401" t="s">
        <v>72</v>
      </c>
      <c r="J34" s="400">
        <f t="shared" si="12"/>
        <v>0.0023263634609600003</v>
      </c>
      <c r="K34" s="402">
        <v>30</v>
      </c>
    </row>
    <row r="35" spans="1:11" ht="12.75">
      <c r="A35" s="391">
        <v>35</v>
      </c>
      <c r="B35" s="391">
        <f t="shared" si="13"/>
        <v>10.668000000000001</v>
      </c>
      <c r="C35" s="392">
        <f t="shared" si="14"/>
        <v>2.8534400000000002E-05</v>
      </c>
      <c r="D35" s="392">
        <f t="shared" si="15"/>
        <v>0.00010000800000000001</v>
      </c>
      <c r="E35" s="399" t="s">
        <v>72</v>
      </c>
      <c r="F35" s="400">
        <f t="shared" si="10"/>
        <v>0.00012854240000000002</v>
      </c>
      <c r="G35" s="401" t="s">
        <v>72</v>
      </c>
      <c r="H35" s="402">
        <f t="shared" si="11"/>
        <v>0.005060727142240001</v>
      </c>
      <c r="I35" s="401" t="s">
        <v>72</v>
      </c>
      <c r="J35" s="400">
        <f t="shared" si="12"/>
        <v>0.0025303635711200006</v>
      </c>
      <c r="K35" s="402">
        <v>35</v>
      </c>
    </row>
    <row r="36" spans="1:11" ht="13.5" thickBot="1">
      <c r="A36" s="393">
        <v>40</v>
      </c>
      <c r="B36" s="393">
        <f t="shared" si="13"/>
        <v>12.192</v>
      </c>
      <c r="C36" s="394">
        <f t="shared" si="14"/>
        <v>2.97536E-05</v>
      </c>
      <c r="D36" s="394">
        <f t="shared" si="15"/>
        <v>0.000109152</v>
      </c>
      <c r="E36" s="403" t="s">
        <v>72</v>
      </c>
      <c r="F36" s="404">
        <f t="shared" si="10"/>
        <v>0.0001389056</v>
      </c>
      <c r="G36" s="405" t="s">
        <v>72</v>
      </c>
      <c r="H36" s="406">
        <f t="shared" si="11"/>
        <v>0.00546872736256</v>
      </c>
      <c r="I36" s="405" t="s">
        <v>72</v>
      </c>
      <c r="J36" s="404">
        <f t="shared" si="12"/>
        <v>0.00273436368128</v>
      </c>
      <c r="K36" s="406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faro preferred user</cp:lastModifiedBy>
  <cp:lastPrinted>2007-07-27T13:55:28Z</cp:lastPrinted>
  <dcterms:created xsi:type="dcterms:W3CDTF">2007-07-06T13:15:08Z</dcterms:created>
  <dcterms:modified xsi:type="dcterms:W3CDTF">2007-12-11T18:10:16Z</dcterms:modified>
  <cp:category/>
  <cp:version/>
  <cp:contentType/>
  <cp:contentStatus/>
</cp:coreProperties>
</file>