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95" windowWidth="15480" windowHeight="11640" tabRatio="783" activeTab="0"/>
  </bookViews>
  <sheets>
    <sheet name="Table II - M&amp;S" sheetId="1" r:id="rId1"/>
  </sheets>
  <definedNames>
    <definedName name="_xlnm.Print_Titles" localSheetId="0">'Table II - M&amp;S'!$6:$7</definedName>
  </definedNames>
  <calcPr fullCalcOnLoad="1"/>
</workbook>
</file>

<file path=xl/sharedStrings.xml><?xml version="1.0" encoding="utf-8"?>
<sst xmlns="http://schemas.openxmlformats.org/spreadsheetml/2006/main" count="130" uniqueCount="112">
  <si>
    <t>Materials and Subcontracts (M&amp;S)</t>
  </si>
  <si>
    <t>Basis of Estimate</t>
  </si>
  <si>
    <t>WBS Number:  133</t>
  </si>
  <si>
    <t>WBS Title:  External Trim Coils</t>
  </si>
  <si>
    <t>Job Number:  1354</t>
  </si>
  <si>
    <t>Job Title: Trim Coil Design and Procurement</t>
  </si>
  <si>
    <t>Job Manager:  Mike Kalish</t>
  </si>
  <si>
    <t>Trim1</t>
  </si>
  <si>
    <t>Trim2</t>
  </si>
  <si>
    <t>Trim3</t>
  </si>
  <si>
    <t>Trim4</t>
  </si>
  <si>
    <t>Winding geometry</t>
  </si>
  <si>
    <t>radius</t>
  </si>
  <si>
    <t xml:space="preserve">m </t>
  </si>
  <si>
    <t>bundle dr</t>
  </si>
  <si>
    <t>mm</t>
  </si>
  <si>
    <t>bundle dz</t>
  </si>
  <si>
    <t>no. of turns</t>
  </si>
  <si>
    <t>packing fraction</t>
  </si>
  <si>
    <t>length per turn</t>
  </si>
  <si>
    <t>m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</si>
  <si>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</si>
  <si>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</si>
  <si>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</si>
  <si>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</si>
  <si>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</si>
  <si>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</si>
  <si>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</si>
  <si>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calculated coil Cu wt.</t>
  </si>
  <si>
    <t>kg</t>
  </si>
  <si>
    <t>Cu density</t>
  </si>
  <si>
    <t>Trim Coil Material Estimate</t>
  </si>
  <si>
    <t>Total # Coils</t>
  </si>
  <si>
    <t>II.  Materials M&amp;S</t>
  </si>
  <si>
    <t>Number of Coils</t>
  </si>
  <si>
    <t>$</t>
  </si>
  <si>
    <t>Epoxy volume reqd. (15% void fraction)</t>
  </si>
  <si>
    <t>l</t>
  </si>
  <si>
    <t>Epoxy cost/liter</t>
  </si>
  <si>
    <t>$/l</t>
  </si>
  <si>
    <t>Epoxy cost per coil</t>
  </si>
  <si>
    <t>Everson Budgetary Estimate</t>
  </si>
  <si>
    <t>Contingency</t>
  </si>
  <si>
    <t>Total Material Cost All Trim Coils</t>
  </si>
  <si>
    <t>Cost from Everson Budgetary Estimate out of Plane</t>
  </si>
  <si>
    <t>Adjusted Cost for Planar Coils</t>
  </si>
  <si>
    <t>Total Cost for Fixtures</t>
  </si>
  <si>
    <t>Recurring Costs for N Coils no materials</t>
  </si>
  <si>
    <t>Total Cost For N Coils with Materials</t>
  </si>
  <si>
    <t>Total Cost All Coils</t>
  </si>
  <si>
    <t>Manufacturing Cost from Everson Budgetary Estimate</t>
  </si>
  <si>
    <t>`</t>
  </si>
  <si>
    <t>$ per lb for plate (316 SS $8/lb  AL $5/lb, $40/lb inconel)</t>
  </si>
  <si>
    <t>Weight LB per meter</t>
  </si>
  <si>
    <t>$$ per coil for brackets material per coil</t>
  </si>
  <si>
    <t>Cost of Material for Brackets Total</t>
  </si>
  <si>
    <t>Fabrication Cost per meter</t>
  </si>
  <si>
    <t>Cost Bracket Fabrication per coil</t>
  </si>
  <si>
    <t>Cost Bracket Fabrication Total</t>
  </si>
  <si>
    <t>Cost Bracket Fabrication with Materials Total</t>
  </si>
  <si>
    <t>Cost for Clamps per Coil</t>
  </si>
  <si>
    <t>Hardware Cost per 3/8 Bolt (Inconnel)</t>
  </si>
  <si>
    <t>Cost for Bolts and Studs per coil</t>
  </si>
  <si>
    <t>Cost for all Bolts and Studs &amp; Brackets Total</t>
  </si>
  <si>
    <t>Cost for Mockups of Each Coil</t>
  </si>
  <si>
    <t>Cost For Installation Fixtures</t>
  </si>
  <si>
    <t>Cost for Hardware</t>
  </si>
  <si>
    <t>Tooling / Training / Preperation</t>
  </si>
  <si>
    <t>Hours to Position Coil and mark locations</t>
  </si>
  <si>
    <t>Hours per bracket</t>
  </si>
  <si>
    <t>Hours per coil for brackets</t>
  </si>
  <si>
    <t>Hours per coil for coil Installation</t>
  </si>
  <si>
    <t>Metrology for bracket installation</t>
  </si>
  <si>
    <t>Total Hours for Tech (2 work at once)</t>
  </si>
  <si>
    <t>Determine Metrology Procedure and Setup</t>
  </si>
  <si>
    <t>Interpret Results and Report</t>
  </si>
  <si>
    <t>Charicterize Coils Before Assembly</t>
  </si>
  <si>
    <t>Hours to Measure Coil Location per Coil</t>
  </si>
  <si>
    <t>Total Hours for post Installation Metrology (2 Eng.)</t>
  </si>
  <si>
    <t>Weeks for two technicians per Field Period</t>
  </si>
  <si>
    <t>Cost Total M&amp;S</t>
  </si>
  <si>
    <t>Weeks for four technicians per Field Period</t>
  </si>
  <si>
    <t>Total Hours</t>
  </si>
  <si>
    <t>Technicican Rate</t>
  </si>
  <si>
    <t>Eng Rate</t>
  </si>
  <si>
    <t>Cost Man-hours</t>
  </si>
  <si>
    <t>Total Cost</t>
  </si>
  <si>
    <r>
      <t>Everson Budgetary Estimate</t>
    </r>
    <r>
      <rPr>
        <b/>
        <sz val="18"/>
        <rFont val="Arial"/>
        <family val="2"/>
      </rPr>
      <t xml:space="preserve"> (adjusted for uncertainty)</t>
    </r>
  </si>
  <si>
    <t>Support Brackets</t>
  </si>
  <si>
    <t>Cost for Support Brackets adjusted for uncertainty</t>
  </si>
  <si>
    <t>Category</t>
  </si>
  <si>
    <t>Amount ($)</t>
  </si>
  <si>
    <t>% of ETC ($)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</si>
  <si>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</si>
  <si>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</si>
  <si>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</si>
  <si>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</si>
  <si>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</si>
  <si>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</si>
  <si>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</si>
  <si>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</si>
  <si>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8 - Actual Costs/Schedule for NCSX Work</t>
  </si>
  <si>
    <t>9 - Other</t>
  </si>
  <si>
    <t>Totals</t>
  </si>
  <si>
    <r>
      <t>Installation Man Hour Estimate (</t>
    </r>
    <r>
      <rPr>
        <b/>
        <i/>
        <sz val="18"/>
        <color indexed="10"/>
        <rFont val="Arial"/>
        <family val="2"/>
      </rPr>
      <t>Budgeted in job 1815 station 5 assembly</t>
    </r>
    <r>
      <rPr>
        <b/>
        <i/>
        <sz val="18"/>
        <rFont val="Arial"/>
        <family val="2"/>
      </rPr>
      <t>)</t>
    </r>
  </si>
  <si>
    <t>Conductor With Insulation Cost Per LB</t>
  </si>
  <si>
    <t>Conductor With Insulation Cost Per Coil</t>
  </si>
  <si>
    <t>$300 per gallon as paid for Modular coils. Vendor under Contract</t>
  </si>
  <si>
    <t>Material Costs Epoxy all Coils</t>
  </si>
  <si>
    <t>Material Costs Conductor with Insulation all Coils</t>
  </si>
  <si>
    <t>Material Costs Total</t>
  </si>
  <si>
    <t>Vendor quote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</si>
</sst>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  <numFmt numFmtId="190" formatCode="[Blue]\+\ \$#,##0_);[Red]\(&quot;$&quot;#,##0\)"/>
    <numFmt numFmtId="191" formatCode="[Blue]\+\ 0.00_);[Red]\(0.00\)"/>
    <numFmt numFmtId="192" formatCode="0.000"/>
    <numFmt numFmtId="193" formatCode="&quot;$&quot;#,##0.000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b/>
      <sz val="10"/>
      <color indexed="10"/>
      <name val="Arial"/>
      <family val="2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b/>
      <sz val="12"/>
      <color indexed="10"/>
      <name val="Arial"/>
      <family val="0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20"/>
      <color indexed="8"/>
      <name val="Arial"/>
      <family val="2"/>
    </font>
    <font>
      <b/>
      <i/>
      <sz val="1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3" xfId="0" applyFont="1" applyFill="1" applyBorder="1" applyAlignment="1">
      <alignment wrapText="1"/>
    </xf>
    <xf numFmtId="192" fontId="0" fillId="0" borderId="3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2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 wrapText="1"/>
    </xf>
    <xf numFmtId="11" fontId="0" fillId="0" borderId="3" xfId="0" applyNumberFormat="1" applyFill="1" applyBorder="1" applyAlignment="1">
      <alignment wrapText="1"/>
    </xf>
    <xf numFmtId="0" fontId="0" fillId="0" borderId="3" xfId="0" applyFill="1" applyBorder="1" applyAlignment="1">
      <alignment/>
    </xf>
    <xf numFmtId="165" fontId="5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66" fontId="14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Alignment="1">
      <alignment horizontal="left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0" fontId="0" fillId="0" borderId="3" xfId="0" applyBorder="1" applyAlignment="1">
      <alignment wrapText="1"/>
    </xf>
    <xf numFmtId="166" fontId="0" fillId="0" borderId="7" xfId="0" applyNumberFormat="1" applyBorder="1" applyAlignment="1">
      <alignment/>
    </xf>
    <xf numFmtId="0" fontId="4" fillId="0" borderId="3" xfId="0" applyFont="1" applyBorder="1" applyAlignment="1">
      <alignment wrapText="1"/>
    </xf>
    <xf numFmtId="166" fontId="0" fillId="0" borderId="3" xfId="0" applyNumberForma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 horizontal="left"/>
    </xf>
    <xf numFmtId="9" fontId="14" fillId="0" borderId="0" xfId="0" applyNumberFormat="1" applyFont="1" applyAlignment="1">
      <alignment horizontal="left"/>
    </xf>
    <xf numFmtId="166" fontId="0" fillId="0" borderId="8" xfId="0" applyNumberFormat="1" applyBorder="1" applyAlignment="1">
      <alignment/>
    </xf>
    <xf numFmtId="0" fontId="2" fillId="0" borderId="0" xfId="0" applyFont="1" applyAlignment="1">
      <alignment wrapText="1"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2" fillId="0" borderId="5" xfId="0" applyFont="1" applyBorder="1" applyAlignment="1">
      <alignment wrapText="1"/>
    </xf>
    <xf numFmtId="0" fontId="0" fillId="0" borderId="9" xfId="0" applyBorder="1" applyAlignment="1">
      <alignment/>
    </xf>
    <xf numFmtId="166" fontId="0" fillId="0" borderId="3" xfId="0" applyNumberFormat="1" applyFont="1" applyBorder="1" applyAlignment="1">
      <alignment wrapText="1"/>
    </xf>
    <xf numFmtId="166" fontId="0" fillId="0" borderId="3" xfId="0" applyNumberFormat="1" applyBorder="1" applyAlignment="1">
      <alignment/>
    </xf>
    <xf numFmtId="166" fontId="2" fillId="0" borderId="8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ill="1" applyBorder="1" applyAlignment="1">
      <alignment/>
    </xf>
    <xf numFmtId="0" fontId="2" fillId="0" borderId="7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6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6" fontId="0" fillId="0" borderId="1" xfId="0" applyNumberFormat="1" applyFill="1" applyBorder="1" applyAlignment="1">
      <alignment/>
    </xf>
    <xf numFmtId="166" fontId="2" fillId="0" borderId="16" xfId="0" applyNumberFormat="1" applyFont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18" xfId="0" applyFont="1" applyFill="1" applyBorder="1" applyAlignment="1">
      <alignment/>
    </xf>
    <xf numFmtId="166" fontId="14" fillId="0" borderId="19" xfId="0" applyNumberFormat="1" applyFont="1" applyBorder="1" applyAlignment="1">
      <alignment/>
    </xf>
    <xf numFmtId="9" fontId="2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165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166" fontId="21" fillId="0" borderId="2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166" fontId="22" fillId="0" borderId="0" xfId="0" applyNumberFormat="1" applyFont="1" applyFill="1" applyBorder="1" applyAlignment="1">
      <alignment/>
    </xf>
    <xf numFmtId="166" fontId="22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/>
    </xf>
    <xf numFmtId="166" fontId="4" fillId="0" borderId="9" xfId="0" applyNumberFormat="1" applyFont="1" applyBorder="1" applyAlignment="1">
      <alignment wrapText="1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166" fontId="4" fillId="0" borderId="3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166" fontId="4" fillId="0" borderId="3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wrapText="1"/>
    </xf>
    <xf numFmtId="166" fontId="22" fillId="0" borderId="12" xfId="0" applyNumberFormat="1" applyFont="1" applyFill="1" applyBorder="1" applyAlignment="1">
      <alignment/>
    </xf>
    <xf numFmtId="166" fontId="22" fillId="0" borderId="14" xfId="0" applyNumberFormat="1" applyFont="1" applyBorder="1" applyAlignment="1">
      <alignment/>
    </xf>
    <xf numFmtId="0" fontId="16" fillId="3" borderId="13" xfId="0" applyFont="1" applyFill="1" applyBorder="1" applyAlignment="1">
      <alignment/>
    </xf>
    <xf numFmtId="0" fontId="16" fillId="3" borderId="12" xfId="0" applyFont="1" applyFill="1" applyBorder="1" applyAlignment="1">
      <alignment wrapText="1"/>
    </xf>
    <xf numFmtId="166" fontId="15" fillId="3" borderId="12" xfId="0" applyNumberFormat="1" applyFont="1" applyFill="1" applyBorder="1" applyAlignment="1">
      <alignment/>
    </xf>
    <xf numFmtId="166" fontId="15" fillId="3" borderId="21" xfId="0" applyNumberFormat="1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7" fillId="4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3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1" fontId="24" fillId="2" borderId="12" xfId="0" applyNumberFormat="1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1" fontId="22" fillId="2" borderId="12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4" fillId="2" borderId="6" xfId="0" applyFont="1" applyFill="1" applyBorder="1" applyAlignment="1">
      <alignment/>
    </xf>
    <xf numFmtId="0" fontId="22" fillId="2" borderId="3" xfId="0" applyFont="1" applyFill="1" applyBorder="1" applyAlignment="1">
      <alignment/>
    </xf>
    <xf numFmtId="1" fontId="23" fillId="2" borderId="20" xfId="0" applyNumberFormat="1" applyFont="1" applyFill="1" applyBorder="1" applyAlignment="1">
      <alignment/>
    </xf>
    <xf numFmtId="1" fontId="24" fillId="2" borderId="24" xfId="0" applyNumberFormat="1" applyFont="1" applyFill="1" applyBorder="1" applyAlignment="1">
      <alignment/>
    </xf>
    <xf numFmtId="1" fontId="24" fillId="2" borderId="7" xfId="0" applyNumberFormat="1" applyFont="1" applyFill="1" applyBorder="1" applyAlignment="1">
      <alignment/>
    </xf>
    <xf numFmtId="0" fontId="24" fillId="2" borderId="13" xfId="0" applyFont="1" applyFill="1" applyBorder="1" applyAlignment="1">
      <alignment/>
    </xf>
    <xf numFmtId="0" fontId="22" fillId="2" borderId="12" xfId="0" applyFont="1" applyFill="1" applyBorder="1" applyAlignment="1">
      <alignment/>
    </xf>
    <xf numFmtId="166" fontId="25" fillId="3" borderId="20" xfId="0" applyNumberFormat="1" applyFont="1" applyFill="1" applyBorder="1" applyAlignment="1">
      <alignment/>
    </xf>
    <xf numFmtId="166" fontId="25" fillId="4" borderId="20" xfId="0" applyNumberFormat="1" applyFont="1" applyFill="1" applyBorder="1" applyAlignment="1">
      <alignment/>
    </xf>
    <xf numFmtId="166" fontId="1" fillId="5" borderId="9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166" fontId="2" fillId="6" borderId="7" xfId="0" applyNumberFormat="1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 textRotation="91"/>
    </xf>
    <xf numFmtId="0" fontId="2" fillId="5" borderId="25" xfId="0" applyFont="1" applyFill="1" applyBorder="1" applyAlignment="1">
      <alignment horizontal="centerContinuous"/>
    </xf>
    <xf numFmtId="0" fontId="0" fillId="5" borderId="26" xfId="0" applyFill="1" applyBorder="1" applyAlignment="1">
      <alignment horizontal="centerContinuous"/>
    </xf>
    <xf numFmtId="166" fontId="0" fillId="5" borderId="26" xfId="0" applyNumberFormat="1" applyFill="1" applyBorder="1" applyAlignment="1">
      <alignment horizontal="centerContinuous"/>
    </xf>
    <xf numFmtId="0" fontId="10" fillId="5" borderId="27" xfId="0" applyFont="1" applyFill="1" applyBorder="1" applyAlignment="1">
      <alignment horizontal="centerContinuous"/>
    </xf>
    <xf numFmtId="0" fontId="2" fillId="5" borderId="0" xfId="0" applyFont="1" applyFill="1" applyAlignment="1">
      <alignment horizontal="center"/>
    </xf>
    <xf numFmtId="166" fontId="2" fillId="5" borderId="0" xfId="0" applyNumberFormat="1" applyFont="1" applyFill="1" applyAlignment="1">
      <alignment horizontal="center"/>
    </xf>
    <xf numFmtId="0" fontId="0" fillId="6" borderId="0" xfId="0" applyFill="1" applyAlignment="1">
      <alignment/>
    </xf>
    <xf numFmtId="0" fontId="2" fillId="5" borderId="28" xfId="0" applyFont="1" applyFill="1" applyBorder="1" applyAlignment="1">
      <alignment/>
    </xf>
    <xf numFmtId="0" fontId="0" fillId="5" borderId="0" xfId="0" applyFill="1" applyBorder="1" applyAlignment="1">
      <alignment/>
    </xf>
    <xf numFmtId="166" fontId="0" fillId="5" borderId="0" xfId="0" applyNumberFormat="1" applyFill="1" applyBorder="1" applyAlignment="1">
      <alignment/>
    </xf>
    <xf numFmtId="0" fontId="10" fillId="5" borderId="29" xfId="0" applyFont="1" applyFill="1" applyBorder="1" applyAlignment="1">
      <alignment textRotation="91"/>
    </xf>
    <xf numFmtId="9" fontId="2" fillId="6" borderId="0" xfId="0" applyNumberFormat="1" applyFont="1" applyFill="1" applyAlignment="1">
      <alignment/>
    </xf>
    <xf numFmtId="1" fontId="0" fillId="5" borderId="0" xfId="0" applyNumberFormat="1" applyFill="1" applyBorder="1" applyAlignment="1">
      <alignment/>
    </xf>
    <xf numFmtId="166" fontId="8" fillId="5" borderId="0" xfId="0" applyNumberFormat="1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0" fillId="5" borderId="29" xfId="0" applyFill="1" applyBorder="1" applyAlignment="1">
      <alignment/>
    </xf>
    <xf numFmtId="0" fontId="2" fillId="5" borderId="30" xfId="0" applyFont="1" applyFill="1" applyBorder="1" applyAlignment="1">
      <alignment/>
    </xf>
    <xf numFmtId="0" fontId="0" fillId="5" borderId="1" xfId="0" applyFill="1" applyBorder="1" applyAlignment="1">
      <alignment/>
    </xf>
    <xf numFmtId="1" fontId="0" fillId="5" borderId="1" xfId="0" applyNumberFormat="1" applyFill="1" applyBorder="1" applyAlignment="1">
      <alignment/>
    </xf>
    <xf numFmtId="166" fontId="0" fillId="5" borderId="1" xfId="0" applyNumberFormat="1" applyFill="1" applyBorder="1" applyAlignment="1">
      <alignment horizontal="center"/>
    </xf>
    <xf numFmtId="0" fontId="0" fillId="5" borderId="16" xfId="0" applyFill="1" applyBorder="1" applyAlignment="1">
      <alignment/>
    </xf>
    <xf numFmtId="166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2" fontId="0" fillId="0" borderId="31" xfId="0" applyNumberFormat="1" applyFont="1" applyFill="1" applyBorder="1" applyAlignment="1">
      <alignment/>
    </xf>
    <xf numFmtId="0" fontId="2" fillId="7" borderId="11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165" fontId="18" fillId="7" borderId="4" xfId="0" applyNumberFormat="1" applyFont="1" applyFill="1" applyBorder="1" applyAlignment="1">
      <alignment wrapText="1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165" fontId="2" fillId="7" borderId="5" xfId="0" applyNumberFormat="1" applyFont="1" applyFill="1" applyBorder="1" applyAlignment="1">
      <alignment horizontal="center" wrapText="1"/>
    </xf>
    <xf numFmtId="1" fontId="2" fillId="7" borderId="5" xfId="0" applyNumberFormat="1" applyFont="1" applyFill="1" applyBorder="1" applyAlignment="1">
      <alignment horizontal="center"/>
    </xf>
    <xf numFmtId="0" fontId="19" fillId="7" borderId="9" xfId="0" applyFont="1" applyFill="1" applyBorder="1" applyAlignment="1">
      <alignment/>
    </xf>
    <xf numFmtId="0" fontId="0" fillId="7" borderId="6" xfId="0" applyFill="1" applyBorder="1" applyAlignment="1">
      <alignment wrapText="1"/>
    </xf>
    <xf numFmtId="0" fontId="0" fillId="7" borderId="3" xfId="0" applyFill="1" applyBorder="1" applyAlignment="1">
      <alignment horizontal="center" wrapText="1"/>
    </xf>
    <xf numFmtId="0" fontId="2" fillId="7" borderId="3" xfId="0" applyFont="1" applyFill="1" applyBorder="1" applyAlignment="1">
      <alignment horizontal="center"/>
    </xf>
    <xf numFmtId="1" fontId="11" fillId="7" borderId="7" xfId="0" applyNumberFormat="1" applyFont="1" applyFill="1" applyBorder="1" applyAlignment="1">
      <alignment/>
    </xf>
    <xf numFmtId="166" fontId="2" fillId="7" borderId="3" xfId="0" applyNumberFormat="1" applyFont="1" applyFill="1" applyBorder="1" applyAlignment="1">
      <alignment horizontal="center"/>
    </xf>
    <xf numFmtId="0" fontId="0" fillId="7" borderId="7" xfId="0" applyFill="1" applyBorder="1" applyAlignment="1">
      <alignment/>
    </xf>
    <xf numFmtId="165" fontId="2" fillId="7" borderId="3" xfId="0" applyNumberFormat="1" applyFont="1" applyFill="1" applyBorder="1" applyAlignment="1">
      <alignment horizontal="center" wrapText="1"/>
    </xf>
    <xf numFmtId="192" fontId="0" fillId="7" borderId="6" xfId="0" applyNumberFormat="1" applyFont="1" applyFill="1" applyBorder="1" applyAlignment="1">
      <alignment wrapText="1"/>
    </xf>
    <xf numFmtId="192" fontId="20" fillId="7" borderId="3" xfId="0" applyNumberFormat="1" applyFont="1" applyFill="1" applyBorder="1" applyAlignment="1">
      <alignment horizontal="center" wrapText="1"/>
    </xf>
    <xf numFmtId="2" fontId="0" fillId="7" borderId="3" xfId="0" applyNumberFormat="1" applyFont="1" applyFill="1" applyBorder="1" applyAlignment="1">
      <alignment horizontal="center"/>
    </xf>
    <xf numFmtId="165" fontId="0" fillId="7" borderId="6" xfId="0" applyNumberFormat="1" applyFont="1" applyFill="1" applyBorder="1" applyAlignment="1">
      <alignment wrapText="1"/>
    </xf>
    <xf numFmtId="165" fontId="20" fillId="7" borderId="3" xfId="0" applyNumberFormat="1" applyFont="1" applyFill="1" applyBorder="1" applyAlignment="1">
      <alignment horizontal="center" wrapText="1"/>
    </xf>
    <xf numFmtId="166" fontId="0" fillId="7" borderId="3" xfId="0" applyNumberFormat="1" applyFont="1" applyFill="1" applyBorder="1" applyAlignment="1">
      <alignment horizontal="center"/>
    </xf>
    <xf numFmtId="1" fontId="0" fillId="7" borderId="7" xfId="0" applyNumberFormat="1" applyFont="1" applyFill="1" applyBorder="1" applyAlignment="1">
      <alignment horizontal="center"/>
    </xf>
    <xf numFmtId="166" fontId="2" fillId="7" borderId="3" xfId="0" applyNumberFormat="1" applyFont="1" applyFill="1" applyBorder="1" applyAlignment="1">
      <alignment horizontal="center"/>
    </xf>
    <xf numFmtId="165" fontId="0" fillId="7" borderId="6" xfId="0" applyNumberFormat="1" applyFont="1" applyFill="1" applyBorder="1" applyAlignment="1">
      <alignment horizontal="left" wrapText="1"/>
    </xf>
    <xf numFmtId="165" fontId="5" fillId="7" borderId="3" xfId="0" applyNumberFormat="1" applyFont="1" applyFill="1" applyBorder="1" applyAlignment="1">
      <alignment horizontal="center" wrapText="1"/>
    </xf>
    <xf numFmtId="165" fontId="9" fillId="7" borderId="13" xfId="0" applyNumberFormat="1" applyFont="1" applyFill="1" applyBorder="1" applyAlignment="1">
      <alignment wrapText="1"/>
    </xf>
    <xf numFmtId="0" fontId="14" fillId="7" borderId="12" xfId="0" applyFont="1" applyFill="1" applyBorder="1" applyAlignment="1">
      <alignment/>
    </xf>
    <xf numFmtId="166" fontId="1" fillId="7" borderId="12" xfId="0" applyNumberFormat="1" applyFont="1" applyFill="1" applyBorder="1" applyAlignment="1">
      <alignment horizontal="center"/>
    </xf>
    <xf numFmtId="166" fontId="1" fillId="7" borderId="1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75" zoomScaleNormal="75" workbookViewId="0" topLeftCell="A13">
      <selection activeCell="L53" sqref="L53"/>
    </sheetView>
  </sheetViews>
  <sheetFormatPr defaultColWidth="9.140625" defaultRowHeight="12.75"/>
  <cols>
    <col min="1" max="1" width="45.57421875" style="0" customWidth="1"/>
    <col min="2" max="2" width="15.421875" style="6" customWidth="1"/>
    <col min="3" max="5" width="15.421875" style="0" customWidth="1"/>
    <col min="6" max="6" width="21.140625" style="0" customWidth="1"/>
    <col min="7" max="7" width="20.57421875" style="0" customWidth="1"/>
    <col min="8" max="8" width="12.140625" style="0" customWidth="1"/>
    <col min="9" max="9" width="35.00390625" style="0" customWidth="1"/>
    <col min="10" max="10" width="16.421875" style="0" customWidth="1"/>
    <col min="11" max="11" width="17.140625" style="0" customWidth="1"/>
    <col min="12" max="12" width="15.00390625" style="0" customWidth="1"/>
    <col min="13" max="13" width="22.28125" style="0" customWidth="1"/>
  </cols>
  <sheetData>
    <row r="1" s="2" customFormat="1" ht="20.25">
      <c r="A1" s="2" t="s">
        <v>2</v>
      </c>
    </row>
    <row r="2" s="2" customFormat="1" ht="20.25">
      <c r="A2" s="2" t="s">
        <v>3</v>
      </c>
    </row>
    <row r="3" s="2" customFormat="1" ht="20.25">
      <c r="A3" s="2" t="s">
        <v>4</v>
      </c>
    </row>
    <row r="4" s="2" customFormat="1" ht="20.25">
      <c r="A4" s="2" t="s">
        <v>5</v>
      </c>
    </row>
    <row r="5" s="2" customFormat="1" ht="20.25">
      <c r="A5" s="2" t="s">
        <v>6</v>
      </c>
    </row>
    <row r="6" s="5" customFormat="1" ht="12.75">
      <c r="B6" s="8"/>
    </row>
    <row r="7" spans="1:11" ht="18.75" thickBot="1">
      <c r="A7" s="3" t="s">
        <v>0</v>
      </c>
      <c r="I7" s="9" t="s">
        <v>1</v>
      </c>
      <c r="J7" s="138" t="s">
        <v>90</v>
      </c>
      <c r="K7" s="138" t="s">
        <v>91</v>
      </c>
    </row>
    <row r="8" spans="1:6" ht="12.75">
      <c r="A8" s="11"/>
      <c r="B8" s="10"/>
      <c r="C8" s="12" t="s">
        <v>7</v>
      </c>
      <c r="D8" s="12" t="s">
        <v>8</v>
      </c>
      <c r="E8" s="12" t="s">
        <v>9</v>
      </c>
      <c r="F8" s="12" t="s">
        <v>10</v>
      </c>
    </row>
    <row r="9" spans="1:6" ht="12.75">
      <c r="A9" s="11"/>
      <c r="B9" s="10"/>
      <c r="C9" s="10"/>
      <c r="D9" s="10"/>
      <c r="E9" s="10"/>
      <c r="F9" s="10"/>
    </row>
    <row r="10" spans="1:6" ht="15.75">
      <c r="A10" s="136" t="s">
        <v>11</v>
      </c>
      <c r="B10" s="10"/>
      <c r="C10" s="10"/>
      <c r="D10" s="10"/>
      <c r="E10" s="10"/>
      <c r="F10" s="10"/>
    </row>
    <row r="11" spans="1:10" ht="12.75">
      <c r="A11" s="13"/>
      <c r="B11" s="13"/>
      <c r="C11" s="14"/>
      <c r="D11" s="14"/>
      <c r="E11" s="14"/>
      <c r="F11" s="14"/>
      <c r="G11" s="15"/>
      <c r="H11" s="16"/>
      <c r="I11" s="16"/>
      <c r="J11" s="17"/>
    </row>
    <row r="12" spans="1:10" ht="12.75">
      <c r="A12" s="18" t="s">
        <v>12</v>
      </c>
      <c r="B12" s="18" t="s">
        <v>13</v>
      </c>
      <c r="C12" s="19">
        <v>0.5219446</v>
      </c>
      <c r="D12" s="19">
        <v>0.5219446</v>
      </c>
      <c r="E12" s="19">
        <v>0.5219446</v>
      </c>
      <c r="F12" s="19">
        <v>0.5219446</v>
      </c>
      <c r="G12" s="20"/>
      <c r="H12" s="21"/>
      <c r="I12" s="21"/>
      <c r="J12" s="1"/>
    </row>
    <row r="13" spans="1:6" ht="12.75">
      <c r="A13" s="18" t="s">
        <v>14</v>
      </c>
      <c r="B13" s="18" t="s">
        <v>15</v>
      </c>
      <c r="C13" s="22">
        <f>C20*2+2.8</f>
        <v>28.8</v>
      </c>
      <c r="D13" s="22">
        <f>D20*2+2.8</f>
        <v>28.8</v>
      </c>
      <c r="E13" s="22">
        <f>E20*2+2.8</f>
        <v>28.8</v>
      </c>
      <c r="F13" s="22">
        <f>F20*2+2.8</f>
        <v>28.8</v>
      </c>
    </row>
    <row r="14" spans="1:6" ht="12.75">
      <c r="A14" s="18" t="s">
        <v>16</v>
      </c>
      <c r="B14" s="18" t="s">
        <v>15</v>
      </c>
      <c r="C14" s="22">
        <f>C13</f>
        <v>28.8</v>
      </c>
      <c r="D14" s="22">
        <f>D13</f>
        <v>28.8</v>
      </c>
      <c r="E14" s="22">
        <f>E13</f>
        <v>28.8</v>
      </c>
      <c r="F14" s="22">
        <f>F13</f>
        <v>28.8</v>
      </c>
    </row>
    <row r="15" spans="1:6" ht="12.75">
      <c r="A15" s="18" t="s">
        <v>17</v>
      </c>
      <c r="B15" s="18"/>
      <c r="C15" s="23">
        <v>4</v>
      </c>
      <c r="D15" s="23">
        <v>4</v>
      </c>
      <c r="E15" s="23">
        <v>4</v>
      </c>
      <c r="F15" s="23">
        <v>4</v>
      </c>
    </row>
    <row r="16" spans="1:6" ht="12.75">
      <c r="A16" s="18" t="s">
        <v>18</v>
      </c>
      <c r="B16" s="18"/>
      <c r="C16" s="22">
        <v>0.75</v>
      </c>
      <c r="D16" s="22">
        <v>0.75</v>
      </c>
      <c r="E16" s="22">
        <v>0.75</v>
      </c>
      <c r="F16" s="22">
        <v>0.75</v>
      </c>
    </row>
    <row r="17" spans="1:6" ht="12.75">
      <c r="A17" s="18" t="s">
        <v>19</v>
      </c>
      <c r="B17" s="18" t="s">
        <v>20</v>
      </c>
      <c r="C17" s="22">
        <f>C18/C15</f>
        <v>4.6175</v>
      </c>
      <c r="D17" s="22">
        <f>D18/D15</f>
        <v>3.0775</v>
      </c>
      <c r="E17" s="22">
        <f>E18/E15</f>
        <v>3.0775</v>
      </c>
      <c r="F17" s="22">
        <f>F18/F15</f>
        <v>3.0775</v>
      </c>
    </row>
    <row r="18" spans="1:6" ht="12.75">
      <c r="A18" s="18" t="s">
        <v>21</v>
      </c>
      <c r="B18" s="18" t="s">
        <v>20</v>
      </c>
      <c r="C18" s="22">
        <v>18.47</v>
      </c>
      <c r="D18" s="22">
        <v>12.31</v>
      </c>
      <c r="E18" s="22">
        <v>12.31</v>
      </c>
      <c r="F18" s="22">
        <v>12.31</v>
      </c>
    </row>
    <row r="19" spans="1:6" ht="12.75">
      <c r="A19" s="18" t="s">
        <v>22</v>
      </c>
      <c r="B19" s="18" t="s">
        <v>15</v>
      </c>
      <c r="C19" s="22">
        <v>13</v>
      </c>
      <c r="D19" s="22">
        <v>13</v>
      </c>
      <c r="E19" s="22">
        <v>13</v>
      </c>
      <c r="F19" s="22">
        <v>13</v>
      </c>
    </row>
    <row r="20" spans="1:6" ht="12.75">
      <c r="A20" s="18" t="s">
        <v>23</v>
      </c>
      <c r="B20" s="18" t="s">
        <v>15</v>
      </c>
      <c r="C20" s="22">
        <v>13</v>
      </c>
      <c r="D20" s="22">
        <v>13</v>
      </c>
      <c r="E20" s="22">
        <v>13</v>
      </c>
      <c r="F20" s="22">
        <v>13</v>
      </c>
    </row>
    <row r="21" spans="1:6" ht="12.75">
      <c r="A21" s="18" t="s">
        <v>24</v>
      </c>
      <c r="B21" s="18" t="s">
        <v>15</v>
      </c>
      <c r="C21" s="22">
        <v>0</v>
      </c>
      <c r="D21" s="22">
        <v>0</v>
      </c>
      <c r="E21" s="22">
        <v>0</v>
      </c>
      <c r="F21" s="22">
        <v>0</v>
      </c>
    </row>
    <row r="22" spans="1:6" ht="12.75">
      <c r="A22" s="18" t="s">
        <v>25</v>
      </c>
      <c r="B22" s="18" t="s">
        <v>15</v>
      </c>
      <c r="C22" s="22">
        <v>1.016</v>
      </c>
      <c r="D22" s="22">
        <v>1.016</v>
      </c>
      <c r="E22" s="22">
        <v>1.016</v>
      </c>
      <c r="F22" s="22">
        <v>1.016</v>
      </c>
    </row>
    <row r="23" spans="1:6" ht="12.75">
      <c r="A23" s="18" t="s">
        <v>26</v>
      </c>
      <c r="B23" s="18" t="s">
        <v>27</v>
      </c>
      <c r="C23" s="22">
        <f>C20*C19-((4-PI())*C22*C22)-PI()*C21^2/4</f>
        <v>168.11390386622398</v>
      </c>
      <c r="D23" s="22">
        <f>D20*D19-((4-PI())*D22*D22)-PI()*D21^2/4</f>
        <v>168.11390386622398</v>
      </c>
      <c r="E23" s="22">
        <f>E20*E19-((4-PI())*E22*E22)-PI()*E21^2/4</f>
        <v>168.11390386622398</v>
      </c>
      <c r="F23" s="22">
        <f>F20*F19-((4-PI())*F22*F22)-PI()*F21^2/4</f>
        <v>168.11390386622398</v>
      </c>
    </row>
    <row r="24" spans="1:11" ht="12.75">
      <c r="A24" s="18" t="s">
        <v>28</v>
      </c>
      <c r="B24" s="18" t="s">
        <v>29</v>
      </c>
      <c r="C24" s="22">
        <f>C18*1000*C23*$B25</f>
        <v>26.641447441830564</v>
      </c>
      <c r="D24" s="22">
        <f>D18*1000*D23*$B25</f>
        <v>17.756156903569803</v>
      </c>
      <c r="E24" s="22">
        <f>E18*1000*E23*$B25</f>
        <v>17.756156903569803</v>
      </c>
      <c r="F24" s="22">
        <f>F18*1000*F23*$B25</f>
        <v>17.756156903569803</v>
      </c>
      <c r="G24" s="6"/>
      <c r="H24" s="165"/>
      <c r="I24" s="165"/>
      <c r="J24" s="165"/>
      <c r="K24" s="165"/>
    </row>
    <row r="25" spans="1:6" ht="12.75">
      <c r="A25" s="24" t="s">
        <v>30</v>
      </c>
      <c r="B25" s="25">
        <v>8.58E-06</v>
      </c>
      <c r="C25" s="26"/>
      <c r="D25" s="26"/>
      <c r="E25" s="26"/>
      <c r="F25" s="26"/>
    </row>
    <row r="26" spans="1:6" ht="12.75">
      <c r="A26" s="10"/>
      <c r="B26" s="10"/>
      <c r="C26" s="10"/>
      <c r="D26" s="10"/>
      <c r="E26" s="10"/>
      <c r="F26" s="10"/>
    </row>
    <row r="27" s="170" customFormat="1" ht="15.75">
      <c r="A27" s="169" t="s">
        <v>31</v>
      </c>
    </row>
    <row r="28" spans="1:7" s="170" customFormat="1" ht="13.5" thickBot="1">
      <c r="A28" s="171"/>
      <c r="B28" s="171"/>
      <c r="C28" s="166" t="s">
        <v>7</v>
      </c>
      <c r="D28" s="166" t="s">
        <v>8</v>
      </c>
      <c r="E28" s="166" t="s">
        <v>9</v>
      </c>
      <c r="F28" s="166" t="s">
        <v>10</v>
      </c>
      <c r="G28" s="167" t="s">
        <v>32</v>
      </c>
    </row>
    <row r="29" spans="1:7" s="170" customFormat="1" ht="12.75">
      <c r="A29" s="168" t="s">
        <v>33</v>
      </c>
      <c r="B29" s="172"/>
      <c r="C29" s="173"/>
      <c r="D29" s="173"/>
      <c r="E29" s="173"/>
      <c r="F29" s="173"/>
      <c r="G29" s="174"/>
    </row>
    <row r="30" spans="1:7" s="170" customFormat="1" ht="12.75">
      <c r="A30" s="175" t="s">
        <v>34</v>
      </c>
      <c r="B30" s="176"/>
      <c r="C30" s="177">
        <v>6</v>
      </c>
      <c r="D30" s="177">
        <v>12</v>
      </c>
      <c r="E30" s="177">
        <v>6</v>
      </c>
      <c r="F30" s="177">
        <v>24</v>
      </c>
      <c r="G30" s="178">
        <f>SUM(C30:F30)</f>
        <v>48</v>
      </c>
    </row>
    <row r="31" spans="1:8" s="170" customFormat="1" ht="12.75">
      <c r="A31" s="175" t="s">
        <v>105</v>
      </c>
      <c r="B31" s="176"/>
      <c r="C31" s="179">
        <v>11.65</v>
      </c>
      <c r="D31" s="179">
        <v>11.65</v>
      </c>
      <c r="E31" s="179">
        <v>11.65</v>
      </c>
      <c r="F31" s="179">
        <v>11.65</v>
      </c>
      <c r="G31" s="180"/>
      <c r="H31" s="170" t="s">
        <v>111</v>
      </c>
    </row>
    <row r="32" spans="1:7" s="170" customFormat="1" ht="12.75">
      <c r="A32" s="175" t="s">
        <v>106</v>
      </c>
      <c r="B32" s="181" t="s">
        <v>35</v>
      </c>
      <c r="C32" s="179">
        <f>C31*C24*2.205</f>
        <v>684.372162247604</v>
      </c>
      <c r="D32" s="179">
        <f>D31*D24*2.205</f>
        <v>456.124597578127</v>
      </c>
      <c r="E32" s="179">
        <f>E31*E24*2.205</f>
        <v>456.124597578127</v>
      </c>
      <c r="F32" s="179">
        <f>F31*F24*2.205</f>
        <v>456.124597578127</v>
      </c>
      <c r="G32" s="180"/>
    </row>
    <row r="33" spans="1:7" s="170" customFormat="1" ht="12.75">
      <c r="A33" s="182" t="s">
        <v>36</v>
      </c>
      <c r="B33" s="183" t="s">
        <v>37</v>
      </c>
      <c r="C33" s="184">
        <f>0.15*C13*C14*(C17)/1000</f>
        <v>0.57449088</v>
      </c>
      <c r="D33" s="184">
        <f>0.15*D13*D14*(D17)/1000</f>
        <v>0.38289024000000005</v>
      </c>
      <c r="E33" s="184">
        <f>0.15*E13*E14*(E17)/1000</f>
        <v>0.38289024000000005</v>
      </c>
      <c r="F33" s="184">
        <f>0.15*F13*F14*(F17)/1000</f>
        <v>0.38289024000000005</v>
      </c>
      <c r="G33" s="180"/>
    </row>
    <row r="34" spans="1:8" s="170" customFormat="1" ht="12.75">
      <c r="A34" s="185" t="s">
        <v>38</v>
      </c>
      <c r="B34" s="186" t="s">
        <v>39</v>
      </c>
      <c r="C34" s="187">
        <v>79.2</v>
      </c>
      <c r="D34" s="187">
        <v>79.2</v>
      </c>
      <c r="E34" s="187">
        <v>79.2</v>
      </c>
      <c r="F34" s="187">
        <v>79.2</v>
      </c>
      <c r="G34" s="188"/>
      <c r="H34" s="170" t="s">
        <v>107</v>
      </c>
    </row>
    <row r="35" spans="1:7" s="170" customFormat="1" ht="12.75">
      <c r="A35" s="185" t="s">
        <v>40</v>
      </c>
      <c r="B35" s="181" t="s">
        <v>35</v>
      </c>
      <c r="C35" s="189">
        <f>C34*C33</f>
        <v>45.499677696000006</v>
      </c>
      <c r="D35" s="189">
        <f>D34*D33</f>
        <v>30.324907008000004</v>
      </c>
      <c r="E35" s="189">
        <f>E34*E33</f>
        <v>30.324907008000004</v>
      </c>
      <c r="F35" s="189">
        <f>F34*F33</f>
        <v>30.324907008000004</v>
      </c>
      <c r="G35" s="180"/>
    </row>
    <row r="36" spans="1:7" s="170" customFormat="1" ht="26.25" customHeight="1">
      <c r="A36" s="190" t="s">
        <v>108</v>
      </c>
      <c r="B36" s="191"/>
      <c r="C36" s="179">
        <f>C35*C30</f>
        <v>272.99806617600007</v>
      </c>
      <c r="D36" s="179">
        <f>D35*D30</f>
        <v>363.8988840960001</v>
      </c>
      <c r="E36" s="179">
        <f>E35*E30</f>
        <v>181.94944204800004</v>
      </c>
      <c r="F36" s="179">
        <f>F35*F30</f>
        <v>727.7977681920001</v>
      </c>
      <c r="G36" s="180"/>
    </row>
    <row r="37" spans="1:7" s="170" customFormat="1" ht="34.5" customHeight="1">
      <c r="A37" s="190" t="s">
        <v>109</v>
      </c>
      <c r="B37" s="191"/>
      <c r="C37" s="179">
        <f>C36*C30</f>
        <v>1637.9883970560004</v>
      </c>
      <c r="D37" s="179">
        <f>D36*D30</f>
        <v>4366.786609152001</v>
      </c>
      <c r="E37" s="179">
        <f>E36*E30</f>
        <v>1091.6966522880002</v>
      </c>
      <c r="F37" s="179">
        <f>F36*F30</f>
        <v>17467.146436608004</v>
      </c>
      <c r="G37" s="180"/>
    </row>
    <row r="38" spans="1:7" s="170" customFormat="1" ht="16.5" thickBot="1">
      <c r="A38" s="192" t="s">
        <v>110</v>
      </c>
      <c r="B38" s="193"/>
      <c r="C38" s="194">
        <f>C36+C37</f>
        <v>1910.9864632320005</v>
      </c>
      <c r="D38" s="194">
        <f>D36+D37</f>
        <v>4730.685493248001</v>
      </c>
      <c r="E38" s="194">
        <f>E36+E37</f>
        <v>1273.6460943360003</v>
      </c>
      <c r="F38" s="194">
        <f>F36+F37</f>
        <v>18194.944204800006</v>
      </c>
      <c r="G38" s="195">
        <f>SUM(C38:F38)</f>
        <v>26110.262255616006</v>
      </c>
    </row>
    <row r="39" spans="1:6" ht="12.75">
      <c r="A39" s="27"/>
      <c r="B39" s="7"/>
      <c r="C39" s="28"/>
      <c r="D39" s="28"/>
      <c r="E39" s="28"/>
      <c r="F39" s="28"/>
    </row>
    <row r="40" spans="1:9" ht="15.75" thickBot="1">
      <c r="A40" s="85" t="s">
        <v>41</v>
      </c>
      <c r="B40" s="86"/>
      <c r="C40" s="87"/>
      <c r="D40" s="87"/>
      <c r="E40" s="87"/>
      <c r="F40" s="87"/>
      <c r="G40" s="88"/>
      <c r="H40" s="89" t="s">
        <v>42</v>
      </c>
      <c r="I40" s="89"/>
    </row>
    <row r="41" spans="1:9" ht="12.75">
      <c r="A41" s="90" t="s">
        <v>43</v>
      </c>
      <c r="B41" s="91"/>
      <c r="C41" s="92"/>
      <c r="D41" s="92"/>
      <c r="E41" s="92"/>
      <c r="F41" s="92"/>
      <c r="G41" s="93">
        <f>SUM(C38:F38)</f>
        <v>26110.262255616006</v>
      </c>
      <c r="H41" s="89"/>
      <c r="I41" s="89"/>
    </row>
    <row r="42" spans="1:9" ht="12.75">
      <c r="A42" s="94" t="s">
        <v>44</v>
      </c>
      <c r="B42" s="95"/>
      <c r="C42" s="96">
        <v>8450</v>
      </c>
      <c r="D42" s="96">
        <v>7575</v>
      </c>
      <c r="E42" s="96">
        <v>7575</v>
      </c>
      <c r="F42" s="96">
        <v>7575</v>
      </c>
      <c r="G42" s="97"/>
      <c r="H42" s="89"/>
      <c r="I42" s="89"/>
    </row>
    <row r="43" spans="1:9" ht="12.75">
      <c r="A43" s="98" t="s">
        <v>45</v>
      </c>
      <c r="B43" s="95"/>
      <c r="C43" s="96">
        <v>8450</v>
      </c>
      <c r="D43" s="96">
        <v>7575</v>
      </c>
      <c r="E43" s="96">
        <f>E42*0.85</f>
        <v>6438.75</v>
      </c>
      <c r="F43" s="96">
        <f>F42*0.85</f>
        <v>6438.75</v>
      </c>
      <c r="G43" s="97"/>
      <c r="H43" s="89"/>
      <c r="I43" s="89"/>
    </row>
    <row r="44" spans="1:9" ht="12.75">
      <c r="A44" s="94" t="s">
        <v>46</v>
      </c>
      <c r="B44" s="95"/>
      <c r="C44" s="99">
        <v>40000</v>
      </c>
      <c r="D44" s="96">
        <v>30000</v>
      </c>
      <c r="E44" s="96">
        <v>30000</v>
      </c>
      <c r="F44" s="96">
        <v>30000</v>
      </c>
      <c r="G44" s="100">
        <f>SUM(C44:F44)</f>
        <v>130000</v>
      </c>
      <c r="H44" s="89"/>
      <c r="I44" s="89"/>
    </row>
    <row r="45" spans="1:9" ht="12.75">
      <c r="A45" s="94" t="s">
        <v>47</v>
      </c>
      <c r="B45" s="95"/>
      <c r="C45" s="96">
        <f>C43*C$30</f>
        <v>50700</v>
      </c>
      <c r="D45" s="96">
        <f>D43*D$30</f>
        <v>90900</v>
      </c>
      <c r="E45" s="96">
        <f>E43*E$30</f>
        <v>38632.5</v>
      </c>
      <c r="F45" s="96">
        <f>F43*F$30</f>
        <v>154530</v>
      </c>
      <c r="G45" s="100">
        <f>SUM(C45:F45)</f>
        <v>334762.5</v>
      </c>
      <c r="H45" s="89"/>
      <c r="I45" s="89"/>
    </row>
    <row r="46" spans="1:9" ht="12.75">
      <c r="A46" s="94" t="s">
        <v>48</v>
      </c>
      <c r="B46" s="46"/>
      <c r="C46" s="96">
        <f>SUM(C44:C45)+C38</f>
        <v>92610.986463232</v>
      </c>
      <c r="D46" s="96">
        <f>SUM(D44:D45)+D38</f>
        <v>125630.685493248</v>
      </c>
      <c r="E46" s="96">
        <f>SUM(E44:E45)+E38</f>
        <v>69906.146094336</v>
      </c>
      <c r="F46" s="96">
        <f>SUM(F44:F45)+F38</f>
        <v>202724.9442048</v>
      </c>
      <c r="G46" s="100"/>
      <c r="H46" s="89"/>
      <c r="I46" s="89"/>
    </row>
    <row r="47" spans="1:9" ht="12.75">
      <c r="A47" s="94"/>
      <c r="B47" s="46"/>
      <c r="C47" s="96"/>
      <c r="D47" s="96"/>
      <c r="E47" s="96"/>
      <c r="F47" s="96"/>
      <c r="G47" s="100"/>
      <c r="H47" s="89"/>
      <c r="I47" s="89"/>
    </row>
    <row r="48" spans="1:9" ht="15.75" thickBot="1">
      <c r="A48" s="101" t="s">
        <v>49</v>
      </c>
      <c r="B48" s="102"/>
      <c r="C48" s="103"/>
      <c r="D48" s="103"/>
      <c r="E48" s="103"/>
      <c r="F48" s="103"/>
      <c r="G48" s="104">
        <f>SUM(G41:G46)</f>
        <v>490872.762255616</v>
      </c>
      <c r="H48" s="89"/>
      <c r="I48" s="89"/>
    </row>
    <row r="49" spans="1:9" ht="15.75">
      <c r="A49" s="29"/>
      <c r="B49" s="30"/>
      <c r="C49" s="31"/>
      <c r="D49" s="31"/>
      <c r="E49" s="31"/>
      <c r="F49" s="31"/>
      <c r="G49" s="32"/>
      <c r="H49" s="36"/>
      <c r="I49" s="36"/>
    </row>
    <row r="50" spans="1:9" ht="24" thickBot="1">
      <c r="A50" s="112" t="s">
        <v>87</v>
      </c>
      <c r="B50" s="30"/>
      <c r="C50" s="48"/>
      <c r="D50" s="10"/>
      <c r="E50" s="10"/>
      <c r="F50" s="10"/>
      <c r="H50" s="36"/>
      <c r="I50" s="36"/>
    </row>
    <row r="51" spans="1:9" ht="22.5" customHeight="1">
      <c r="A51" s="33" t="s">
        <v>43</v>
      </c>
      <c r="B51" s="34"/>
      <c r="C51" s="35"/>
      <c r="D51" s="35"/>
      <c r="E51" s="35"/>
      <c r="F51" s="35"/>
      <c r="G51" s="135">
        <f>SUM(C38:F38)*(1+H51)</f>
        <v>39165.39338342401</v>
      </c>
      <c r="H51" s="49">
        <v>0.5</v>
      </c>
      <c r="I51" s="49"/>
    </row>
    <row r="52" spans="1:9" ht="15">
      <c r="A52" s="37"/>
      <c r="B52" s="38"/>
      <c r="C52" s="26"/>
      <c r="D52" s="26"/>
      <c r="E52" s="26"/>
      <c r="F52" s="26"/>
      <c r="G52" s="40"/>
      <c r="H52" s="50"/>
      <c r="I52" s="50"/>
    </row>
    <row r="53" spans="1:10" ht="15">
      <c r="A53" s="37" t="s">
        <v>50</v>
      </c>
      <c r="B53" s="38"/>
      <c r="C53" s="39">
        <f aca="true" t="shared" si="0" ref="C53:F54">C43</f>
        <v>8450</v>
      </c>
      <c r="D53" s="39">
        <f t="shared" si="0"/>
        <v>7575</v>
      </c>
      <c r="E53" s="39">
        <f t="shared" si="0"/>
        <v>6438.75</v>
      </c>
      <c r="F53" s="39">
        <f t="shared" si="0"/>
        <v>6438.75</v>
      </c>
      <c r="G53" s="40"/>
      <c r="H53" s="50"/>
      <c r="I53" s="50"/>
      <c r="J53" t="s">
        <v>51</v>
      </c>
    </row>
    <row r="54" spans="1:9" ht="15">
      <c r="A54" s="41" t="s">
        <v>46</v>
      </c>
      <c r="B54" s="38"/>
      <c r="C54" s="42">
        <f t="shared" si="0"/>
        <v>40000</v>
      </c>
      <c r="D54" s="42">
        <f t="shared" si="0"/>
        <v>30000</v>
      </c>
      <c r="E54" s="42">
        <f t="shared" si="0"/>
        <v>30000</v>
      </c>
      <c r="F54" s="42">
        <f>F44</f>
        <v>30000</v>
      </c>
      <c r="G54" s="137">
        <f>SUM(C54:F54)*(1+H54)</f>
        <v>195000</v>
      </c>
      <c r="H54" s="49">
        <v>0.5</v>
      </c>
      <c r="I54" s="49"/>
    </row>
    <row r="55" spans="1:9" ht="15">
      <c r="A55" s="41" t="s">
        <v>47</v>
      </c>
      <c r="B55" s="38"/>
      <c r="C55" s="39">
        <f>C53*C$30</f>
        <v>50700</v>
      </c>
      <c r="D55" s="39">
        <f>D53*D$30</f>
        <v>90900</v>
      </c>
      <c r="E55" s="39">
        <f>E53*E$30</f>
        <v>38632.5</v>
      </c>
      <c r="F55" s="39">
        <f>F53*F$30</f>
        <v>154530</v>
      </c>
      <c r="G55" s="137">
        <f>SUM(C55:F55)*(1+H55)</f>
        <v>502143.75</v>
      </c>
      <c r="H55" s="49">
        <v>0.5</v>
      </c>
      <c r="I55" s="49"/>
    </row>
    <row r="56" spans="1:9" ht="15">
      <c r="A56" s="37" t="s">
        <v>48</v>
      </c>
      <c r="B56" s="44"/>
      <c r="C56" s="39">
        <f>SUM(C54:C55)+C$38</f>
        <v>92610.986463232</v>
      </c>
      <c r="D56" s="39">
        <f>SUM(D54:D55)+D$38</f>
        <v>125630.685493248</v>
      </c>
      <c r="E56" s="39">
        <f>SUM(E54:E55)+E$38</f>
        <v>69906.146094336</v>
      </c>
      <c r="F56" s="39">
        <f>SUM(F54:F55)+F$38</f>
        <v>202724.9442048</v>
      </c>
      <c r="G56" s="45"/>
      <c r="H56" s="50"/>
      <c r="I56" s="50"/>
    </row>
    <row r="57" spans="1:9" ht="15.75" thickBot="1">
      <c r="A57" s="37"/>
      <c r="B57" s="46"/>
      <c r="C57" s="47"/>
      <c r="D57" s="47"/>
      <c r="E57" s="47"/>
      <c r="F57" s="47"/>
      <c r="G57" s="51"/>
      <c r="H57" s="50"/>
      <c r="I57" s="50"/>
    </row>
    <row r="58" spans="1:9" ht="27" thickBot="1">
      <c r="A58" s="105" t="s">
        <v>49</v>
      </c>
      <c r="B58" s="106"/>
      <c r="C58" s="107"/>
      <c r="D58" s="107"/>
      <c r="E58" s="107"/>
      <c r="F58" s="108"/>
      <c r="G58" s="133">
        <f>SUM(G51:G56)</f>
        <v>736309.143383424</v>
      </c>
      <c r="H58" s="50"/>
      <c r="I58" s="50"/>
    </row>
    <row r="59" spans="1:9" ht="15.75">
      <c r="A59" s="29"/>
      <c r="B59" s="30"/>
      <c r="C59" s="31"/>
      <c r="D59" s="31"/>
      <c r="E59" s="31"/>
      <c r="F59" s="31"/>
      <c r="G59" s="32"/>
      <c r="H59" s="50"/>
      <c r="I59" s="50"/>
    </row>
    <row r="60" spans="2:9" ht="15">
      <c r="B60" s="52"/>
      <c r="C60" s="53"/>
      <c r="D60" s="53"/>
      <c r="E60" s="53"/>
      <c r="F60" s="53"/>
      <c r="G60" s="54"/>
      <c r="H60" s="50"/>
      <c r="I60" s="50"/>
    </row>
    <row r="61" spans="2:9" ht="15.75" thickBot="1">
      <c r="B61" s="52"/>
      <c r="C61" s="53"/>
      <c r="D61" s="53"/>
      <c r="E61" s="53"/>
      <c r="F61" s="53"/>
      <c r="G61" s="54"/>
      <c r="H61" s="50"/>
      <c r="I61" s="50"/>
    </row>
    <row r="62" spans="1:9" ht="23.25">
      <c r="A62" s="111" t="s">
        <v>88</v>
      </c>
      <c r="B62" s="55"/>
      <c r="C62" s="35"/>
      <c r="D62" s="35"/>
      <c r="E62" s="35"/>
      <c r="F62" s="35"/>
      <c r="G62" s="56"/>
      <c r="H62" s="50"/>
      <c r="I62" s="50"/>
    </row>
    <row r="63" spans="1:9" ht="15">
      <c r="A63" s="37" t="s">
        <v>52</v>
      </c>
      <c r="B63" s="44">
        <v>40</v>
      </c>
      <c r="C63" s="26"/>
      <c r="D63" s="26"/>
      <c r="E63" s="26"/>
      <c r="F63" s="26"/>
      <c r="G63" s="40"/>
      <c r="H63" s="50"/>
      <c r="I63" s="50"/>
    </row>
    <row r="64" spans="1:9" ht="15">
      <c r="A64" s="37" t="s">
        <v>53</v>
      </c>
      <c r="B64" s="44">
        <v>16.56</v>
      </c>
      <c r="C64" s="26"/>
      <c r="D64" s="26"/>
      <c r="E64" s="26"/>
      <c r="F64" s="26"/>
      <c r="G64" s="40"/>
      <c r="H64" s="50"/>
      <c r="I64" s="50"/>
    </row>
    <row r="65" spans="1:9" ht="15">
      <c r="A65" s="37" t="s">
        <v>54</v>
      </c>
      <c r="B65" s="57"/>
      <c r="C65" s="57">
        <f>$B$64*C17*$B$63</f>
        <v>3058.6319999999996</v>
      </c>
      <c r="D65" s="57">
        <f>$B$64*D17*$B$63</f>
        <v>2038.536</v>
      </c>
      <c r="E65" s="57">
        <f>$B$64*E17*$B$63</f>
        <v>2038.536</v>
      </c>
      <c r="F65" s="57">
        <f>$B$64*F17*$B$63</f>
        <v>2038.536</v>
      </c>
      <c r="G65" s="40"/>
      <c r="H65" s="50"/>
      <c r="I65" s="50"/>
    </row>
    <row r="66" spans="1:9" ht="15">
      <c r="A66" s="37" t="s">
        <v>55</v>
      </c>
      <c r="B66" s="57"/>
      <c r="C66" s="47">
        <f>C65*C30</f>
        <v>18351.791999999998</v>
      </c>
      <c r="D66" s="47">
        <f>D65*D30</f>
        <v>24462.432</v>
      </c>
      <c r="E66" s="47">
        <f>E65*E30</f>
        <v>12231.216</v>
      </c>
      <c r="F66" s="47">
        <f>F65*F30</f>
        <v>48924.864</v>
      </c>
      <c r="G66" s="40"/>
      <c r="H66" s="50"/>
      <c r="I66" s="50"/>
    </row>
    <row r="67" spans="1:9" ht="15">
      <c r="A67" s="37" t="s">
        <v>56</v>
      </c>
      <c r="B67" s="58">
        <f>85*4</f>
        <v>340</v>
      </c>
      <c r="C67" s="47"/>
      <c r="D67" s="47"/>
      <c r="E67" s="47"/>
      <c r="F67" s="47"/>
      <c r="G67" s="40"/>
      <c r="H67" s="50"/>
      <c r="I67" s="50"/>
    </row>
    <row r="68" spans="1:9" ht="15">
      <c r="A68" s="37" t="s">
        <v>57</v>
      </c>
      <c r="B68" s="58"/>
      <c r="C68" s="47">
        <f>$B$67*C17</f>
        <v>1569.9499999999998</v>
      </c>
      <c r="D68" s="47">
        <f>$B$67*D17</f>
        <v>1046.3500000000001</v>
      </c>
      <c r="E68" s="47">
        <f>$B$67*E17</f>
        <v>1046.3500000000001</v>
      </c>
      <c r="F68" s="47">
        <f>$B$67*F17</f>
        <v>1046.3500000000001</v>
      </c>
      <c r="G68" s="40"/>
      <c r="H68" s="50"/>
      <c r="I68" s="50"/>
    </row>
    <row r="69" spans="1:9" ht="15">
      <c r="A69" s="37" t="s">
        <v>58</v>
      </c>
      <c r="B69" s="58"/>
      <c r="C69" s="47">
        <f>C68*C30</f>
        <v>9419.699999999999</v>
      </c>
      <c r="D69" s="47">
        <f>D68*D30</f>
        <v>12556.2</v>
      </c>
      <c r="E69" s="47">
        <f>E68*E30</f>
        <v>6278.1</v>
      </c>
      <c r="F69" s="47">
        <f>F68*F30</f>
        <v>25112.4</v>
      </c>
      <c r="G69" s="40"/>
      <c r="H69" s="50"/>
      <c r="I69" s="50"/>
    </row>
    <row r="70" spans="1:9" ht="15">
      <c r="A70" s="37" t="s">
        <v>59</v>
      </c>
      <c r="B70" s="38"/>
      <c r="C70" s="47">
        <f>C69+C66</f>
        <v>27771.492</v>
      </c>
      <c r="D70" s="47">
        <f>D69+D66</f>
        <v>37018.632</v>
      </c>
      <c r="E70" s="47">
        <f>E69+E66</f>
        <v>18509.316</v>
      </c>
      <c r="F70" s="47">
        <f>F69+F66</f>
        <v>74037.264</v>
      </c>
      <c r="G70" s="59">
        <f>SUM(C70:F70)</f>
        <v>157336.704</v>
      </c>
      <c r="H70" s="50">
        <v>0.5</v>
      </c>
      <c r="I70" s="50"/>
    </row>
    <row r="71" spans="1:9" ht="15">
      <c r="A71" s="41" t="s">
        <v>60</v>
      </c>
      <c r="B71" s="60"/>
      <c r="C71" s="39">
        <f>(C68+C65)/4</f>
        <v>1157.1454999999999</v>
      </c>
      <c r="D71" s="39">
        <f>(D68+D65)/4</f>
        <v>771.2215000000001</v>
      </c>
      <c r="E71" s="39">
        <f>(E68+E65)/4</f>
        <v>771.2215000000001</v>
      </c>
      <c r="F71" s="39">
        <f>(F68+F65)/4</f>
        <v>771.2215000000001</v>
      </c>
      <c r="G71" s="43"/>
      <c r="H71" s="50"/>
      <c r="I71" s="50"/>
    </row>
    <row r="72" spans="1:9" ht="15">
      <c r="A72" s="61" t="s">
        <v>61</v>
      </c>
      <c r="B72" s="38"/>
      <c r="C72" s="26">
        <v>18</v>
      </c>
      <c r="D72" s="26">
        <v>18</v>
      </c>
      <c r="E72" s="26">
        <v>18</v>
      </c>
      <c r="F72" s="26">
        <v>18</v>
      </c>
      <c r="G72" s="62"/>
      <c r="H72" s="50"/>
      <c r="I72" s="50"/>
    </row>
    <row r="73" spans="1:9" ht="15.75" thickBot="1">
      <c r="A73" s="63" t="s">
        <v>62</v>
      </c>
      <c r="B73" s="64"/>
      <c r="C73" s="65">
        <f>C72*4*C17*1.5</f>
        <v>498.68999999999994</v>
      </c>
      <c r="D73" s="65">
        <f>D72*4*D17*1.5</f>
        <v>332.37</v>
      </c>
      <c r="E73" s="65">
        <f>E72*4*E17*1.5</f>
        <v>332.37</v>
      </c>
      <c r="F73" s="65">
        <f>F72*4*F17*1.5</f>
        <v>332.37</v>
      </c>
      <c r="G73" s="66"/>
      <c r="H73" s="50"/>
      <c r="I73" s="50"/>
    </row>
    <row r="74" spans="1:9" ht="15.75" thickBot="1">
      <c r="A74" s="67" t="s">
        <v>63</v>
      </c>
      <c r="B74" s="68"/>
      <c r="C74" s="65">
        <f>(C73+C71)*C30</f>
        <v>9935.012999999999</v>
      </c>
      <c r="D74" s="65">
        <f>(D73+D71)*D30</f>
        <v>13243.098</v>
      </c>
      <c r="E74" s="65">
        <f>(E73+E71)*E30</f>
        <v>6621.549</v>
      </c>
      <c r="F74" s="65">
        <f>(F73+F71)*F30</f>
        <v>26486.196</v>
      </c>
      <c r="G74" s="69">
        <f>SUM(C74:F74)</f>
        <v>56285.856</v>
      </c>
      <c r="H74" s="50">
        <v>0.5</v>
      </c>
      <c r="I74" s="50"/>
    </row>
    <row r="75" spans="1:9" ht="15.75" thickBot="1">
      <c r="A75" s="70" t="s">
        <v>64</v>
      </c>
      <c r="B75" s="4"/>
      <c r="C75" s="71">
        <v>5700</v>
      </c>
      <c r="D75" s="71">
        <v>3800</v>
      </c>
      <c r="E75" s="71">
        <v>3800</v>
      </c>
      <c r="F75" s="71">
        <v>3800</v>
      </c>
      <c r="G75" s="72">
        <f>SUM(C75:F75)</f>
        <v>17100</v>
      </c>
      <c r="H75" s="50">
        <v>0.5</v>
      </c>
      <c r="I75" s="50"/>
    </row>
    <row r="76" spans="1:9" ht="15.75" thickBot="1">
      <c r="A76" s="70" t="s">
        <v>65</v>
      </c>
      <c r="B76" s="4"/>
      <c r="C76" s="71">
        <v>3000</v>
      </c>
      <c r="D76" s="71">
        <f>C76</f>
        <v>3000</v>
      </c>
      <c r="E76" s="71">
        <f>D76</f>
        <v>3000</v>
      </c>
      <c r="F76" s="71">
        <f>E76</f>
        <v>3000</v>
      </c>
      <c r="G76" s="72">
        <f>SUM(C76:F76)</f>
        <v>12000</v>
      </c>
      <c r="H76" s="50">
        <v>0.5</v>
      </c>
      <c r="I76" s="50"/>
    </row>
    <row r="77" spans="1:9" ht="15.75" thickBot="1">
      <c r="A77" s="73" t="s">
        <v>66</v>
      </c>
      <c r="B77" s="74"/>
      <c r="C77" s="75"/>
      <c r="D77" s="75"/>
      <c r="E77" s="75"/>
      <c r="F77" s="75"/>
      <c r="G77" s="76">
        <f>SUM(G70:G76)</f>
        <v>242722.56</v>
      </c>
      <c r="H77" s="77"/>
      <c r="I77" s="77"/>
    </row>
    <row r="78" spans="1:9" ht="27" thickBot="1">
      <c r="A78" s="109" t="s">
        <v>89</v>
      </c>
      <c r="B78" s="110"/>
      <c r="C78" s="110"/>
      <c r="D78" s="110"/>
      <c r="E78" s="110"/>
      <c r="F78" s="110"/>
      <c r="G78" s="134">
        <f>G70*(1+H70)+G74*(1+H74)+G75*(1+H75)+G76*(1+H76)</f>
        <v>364083.83999999997</v>
      </c>
      <c r="H78" s="36"/>
      <c r="I78" s="36"/>
    </row>
    <row r="79" spans="2:9" ht="12.75">
      <c r="B79"/>
      <c r="C79" s="10"/>
      <c r="D79" s="10"/>
      <c r="E79" s="10"/>
      <c r="F79" s="10"/>
      <c r="H79" s="36"/>
      <c r="I79" s="36"/>
    </row>
    <row r="80" spans="2:9" ht="13.5" thickBot="1">
      <c r="B80"/>
      <c r="C80" s="10"/>
      <c r="D80" s="10"/>
      <c r="E80" s="10"/>
      <c r="F80" s="10"/>
      <c r="H80" s="36"/>
      <c r="I80" s="36"/>
    </row>
    <row r="81" spans="1:9" ht="23.25">
      <c r="A81" s="113" t="s">
        <v>104</v>
      </c>
      <c r="B81" s="114"/>
      <c r="C81" s="114"/>
      <c r="D81" s="114"/>
      <c r="E81" s="114"/>
      <c r="F81" s="114"/>
      <c r="G81" s="115"/>
      <c r="H81" s="36"/>
      <c r="I81" s="36"/>
    </row>
    <row r="82" spans="1:9" ht="15.75" thickBot="1">
      <c r="A82" s="116" t="s">
        <v>67</v>
      </c>
      <c r="B82" s="117"/>
      <c r="C82" s="118">
        <v>20</v>
      </c>
      <c r="D82" s="118">
        <v>20</v>
      </c>
      <c r="E82" s="118">
        <v>20</v>
      </c>
      <c r="F82" s="118">
        <v>20</v>
      </c>
      <c r="G82" s="119"/>
      <c r="H82" s="36"/>
      <c r="I82" s="36"/>
    </row>
    <row r="83" spans="1:9" ht="15.75" thickBot="1">
      <c r="A83" s="120" t="s">
        <v>68</v>
      </c>
      <c r="B83" s="117"/>
      <c r="C83" s="118">
        <v>6</v>
      </c>
      <c r="D83" s="118">
        <v>6</v>
      </c>
      <c r="E83" s="118">
        <v>6</v>
      </c>
      <c r="F83" s="118">
        <v>6</v>
      </c>
      <c r="G83" s="119"/>
      <c r="H83" s="36"/>
      <c r="I83" s="36"/>
    </row>
    <row r="84" spans="1:9" ht="15.75" thickBot="1">
      <c r="A84" s="121" t="s">
        <v>69</v>
      </c>
      <c r="B84" s="122"/>
      <c r="C84" s="123">
        <v>1</v>
      </c>
      <c r="D84" s="123">
        <v>1</v>
      </c>
      <c r="E84" s="123">
        <v>1</v>
      </c>
      <c r="F84" s="123">
        <v>1</v>
      </c>
      <c r="G84" s="124"/>
      <c r="H84" s="36"/>
      <c r="I84" s="36"/>
    </row>
    <row r="85" spans="1:9" ht="15.75" thickBot="1">
      <c r="A85" s="121" t="s">
        <v>70</v>
      </c>
      <c r="B85" s="122"/>
      <c r="C85" s="118">
        <f>C84*C17*1.5</f>
        <v>6.92625</v>
      </c>
      <c r="D85" s="118">
        <f>D84*D17*1.5</f>
        <v>4.61625</v>
      </c>
      <c r="E85" s="118">
        <f>E84*E17*1.5</f>
        <v>4.61625</v>
      </c>
      <c r="F85" s="118">
        <f>F84*F17*1.5</f>
        <v>4.61625</v>
      </c>
      <c r="G85" s="124"/>
      <c r="H85" s="36"/>
      <c r="I85" s="36"/>
    </row>
    <row r="86" spans="1:9" ht="15.75" thickBot="1">
      <c r="A86" s="121" t="s">
        <v>71</v>
      </c>
      <c r="B86" s="122"/>
      <c r="C86" s="118">
        <v>6</v>
      </c>
      <c r="D86" s="118">
        <v>6</v>
      </c>
      <c r="E86" s="118">
        <v>6</v>
      </c>
      <c r="F86" s="118">
        <v>6</v>
      </c>
      <c r="G86" s="124"/>
      <c r="H86" s="36"/>
      <c r="I86" s="36"/>
    </row>
    <row r="87" spans="1:9" ht="15.75" thickBot="1">
      <c r="A87" s="121" t="s">
        <v>72</v>
      </c>
      <c r="B87" s="122"/>
      <c r="C87" s="123">
        <f>C88*0.75/2</f>
        <v>100.168125</v>
      </c>
      <c r="D87" s="123">
        <f>D88*0.75/2</f>
        <v>164.54625000000001</v>
      </c>
      <c r="E87" s="123">
        <f>E88*0.75/2</f>
        <v>89.77312500000001</v>
      </c>
      <c r="F87" s="123">
        <f>F88*0.75/2</f>
        <v>314.09250000000003</v>
      </c>
      <c r="G87" s="125"/>
      <c r="H87" s="36"/>
      <c r="I87" s="36"/>
    </row>
    <row r="88" spans="1:9" ht="24" thickBot="1">
      <c r="A88" s="126" t="s">
        <v>73</v>
      </c>
      <c r="B88" s="127"/>
      <c r="C88" s="123">
        <f>(C82+(C86+C85+C83)*C$30)*2</f>
        <v>267.115</v>
      </c>
      <c r="D88" s="123">
        <f>(D82+(D86+D85+D83)*D$30)*2</f>
        <v>438.79</v>
      </c>
      <c r="E88" s="123">
        <f>(E82+(E86+E85+E83)*E$30)*2</f>
        <v>239.395</v>
      </c>
      <c r="F88" s="123">
        <f>(F82+(F86+F85+F83)*F$30)*2</f>
        <v>837.58</v>
      </c>
      <c r="G88" s="128">
        <f>SUM(C88:F88)</f>
        <v>1782.88</v>
      </c>
      <c r="H88" s="36"/>
      <c r="I88" s="36"/>
    </row>
    <row r="89" spans="1:9" ht="15.75" thickBot="1">
      <c r="A89" s="121" t="s">
        <v>74</v>
      </c>
      <c r="B89" s="127"/>
      <c r="C89" s="123">
        <v>20</v>
      </c>
      <c r="D89" s="123">
        <v>20</v>
      </c>
      <c r="E89" s="123">
        <v>20</v>
      </c>
      <c r="F89" s="123">
        <v>20</v>
      </c>
      <c r="G89" s="129"/>
      <c r="H89" s="36"/>
      <c r="I89" s="36"/>
    </row>
    <row r="90" spans="1:9" ht="15.75" thickBot="1">
      <c r="A90" s="121" t="s">
        <v>75</v>
      </c>
      <c r="B90" s="127"/>
      <c r="C90" s="123">
        <v>20</v>
      </c>
      <c r="D90" s="123">
        <v>20</v>
      </c>
      <c r="E90" s="123">
        <v>20</v>
      </c>
      <c r="F90" s="123">
        <v>20</v>
      </c>
      <c r="G90" s="130"/>
      <c r="H90" s="36"/>
      <c r="I90" s="36"/>
    </row>
    <row r="91" spans="1:9" ht="15.75" thickBot="1">
      <c r="A91" s="121" t="s">
        <v>76</v>
      </c>
      <c r="B91" s="127"/>
      <c r="C91" s="123">
        <v>2</v>
      </c>
      <c r="D91" s="123">
        <v>2</v>
      </c>
      <c r="E91" s="123">
        <v>2</v>
      </c>
      <c r="F91" s="123">
        <v>2</v>
      </c>
      <c r="G91" s="130"/>
      <c r="H91" s="36"/>
      <c r="I91" s="36"/>
    </row>
    <row r="92" spans="1:7" ht="15.75" thickBot="1">
      <c r="A92" s="121" t="s">
        <v>77</v>
      </c>
      <c r="B92" s="122"/>
      <c r="C92" s="123">
        <v>4</v>
      </c>
      <c r="D92" s="123">
        <v>4</v>
      </c>
      <c r="E92" s="123">
        <v>4</v>
      </c>
      <c r="F92" s="123">
        <v>4</v>
      </c>
      <c r="G92" s="125"/>
    </row>
    <row r="93" spans="1:7" ht="24" thickBot="1">
      <c r="A93" s="131" t="s">
        <v>78</v>
      </c>
      <c r="B93" s="132"/>
      <c r="C93" s="123">
        <f>C92*C$30*2+C90+C89+C87</f>
        <v>188.168125</v>
      </c>
      <c r="D93" s="123">
        <f>D92*D$30*2+D90+D89+D87</f>
        <v>300.54625</v>
      </c>
      <c r="E93" s="123">
        <f>E92*E$30*2+E90+E89+E87</f>
        <v>177.773125</v>
      </c>
      <c r="F93" s="123">
        <f>F92*F$30*2+F90+F89+F87</f>
        <v>546.0925</v>
      </c>
      <c r="G93" s="128">
        <f>SUM(C93:F93)</f>
        <v>1212.58</v>
      </c>
    </row>
    <row r="94" spans="2:6" ht="12.75">
      <c r="B94"/>
      <c r="C94" s="10"/>
      <c r="D94" s="10"/>
      <c r="E94" s="10"/>
      <c r="F94" s="10"/>
    </row>
    <row r="95" spans="2:6" ht="12.75" hidden="1">
      <c r="B95"/>
      <c r="C95" s="10"/>
      <c r="D95" s="10"/>
      <c r="E95" s="10"/>
      <c r="F95" s="10"/>
    </row>
    <row r="96" spans="2:10" ht="12.75" hidden="1">
      <c r="B96">
        <v>1849</v>
      </c>
      <c r="C96" s="10">
        <v>144</v>
      </c>
      <c r="D96" s="10"/>
      <c r="E96" s="10">
        <f>SUM(A96:D96)</f>
        <v>1993</v>
      </c>
      <c r="F96" s="10"/>
      <c r="G96">
        <f>E96*J96</f>
        <v>161433</v>
      </c>
      <c r="J96">
        <v>81</v>
      </c>
    </row>
    <row r="97" spans="1:10" ht="12.75" hidden="1">
      <c r="A97">
        <v>632</v>
      </c>
      <c r="B97">
        <v>1934</v>
      </c>
      <c r="C97" s="10">
        <v>192</v>
      </c>
      <c r="D97" s="10">
        <v>940</v>
      </c>
      <c r="E97" s="10">
        <f>SUM(A97:D97)</f>
        <v>3698</v>
      </c>
      <c r="F97" s="10"/>
      <c r="G97">
        <f>E97*J97</f>
        <v>628660</v>
      </c>
      <c r="J97">
        <v>170</v>
      </c>
    </row>
    <row r="98" spans="2:7" ht="12.75" hidden="1">
      <c r="B98"/>
      <c r="C98" s="10"/>
      <c r="D98" s="10"/>
      <c r="E98" s="10"/>
      <c r="F98" s="10"/>
      <c r="G98" s="54">
        <f>G97+G78+G58+G96</f>
        <v>1890485.983383424</v>
      </c>
    </row>
    <row r="99" spans="2:6" ht="13.5" hidden="1" thickBot="1">
      <c r="B99"/>
      <c r="C99" s="10"/>
      <c r="D99" s="10"/>
      <c r="E99" s="10"/>
      <c r="F99" s="10"/>
    </row>
    <row r="100" spans="1:7" ht="16.5" hidden="1" thickBot="1">
      <c r="A100" s="78" t="s">
        <v>79</v>
      </c>
      <c r="B100" s="78"/>
      <c r="C100" s="79">
        <f>G88/80/3</f>
        <v>7.428666666666667</v>
      </c>
      <c r="D100" s="80"/>
      <c r="E100" s="80"/>
      <c r="F100" s="81" t="s">
        <v>80</v>
      </c>
      <c r="G100" s="82">
        <f>G78+G58</f>
        <v>1100392.983383424</v>
      </c>
    </row>
    <row r="101" spans="1:7" ht="15" hidden="1">
      <c r="A101" s="78" t="s">
        <v>81</v>
      </c>
      <c r="B101" s="78"/>
      <c r="C101" s="79">
        <f>C100/2</f>
        <v>3.7143333333333337</v>
      </c>
      <c r="D101" s="80"/>
      <c r="E101" s="80"/>
      <c r="F101" s="80"/>
      <c r="G101" s="78"/>
    </row>
    <row r="102" spans="1:7" ht="15" hidden="1">
      <c r="A102" s="78"/>
      <c r="B102" s="78"/>
      <c r="C102" s="79"/>
      <c r="D102" s="80"/>
      <c r="E102" s="80"/>
      <c r="F102" s="80" t="s">
        <v>82</v>
      </c>
      <c r="G102" s="83">
        <f>G93+G88</f>
        <v>2995.46</v>
      </c>
    </row>
    <row r="103" spans="1:7" ht="15" hidden="1">
      <c r="A103" s="78"/>
      <c r="B103" s="78"/>
      <c r="C103" s="80"/>
      <c r="D103" s="80"/>
      <c r="E103" s="80"/>
      <c r="F103" s="80" t="s">
        <v>83</v>
      </c>
      <c r="G103" s="84">
        <v>85</v>
      </c>
    </row>
    <row r="104" spans="1:7" ht="15.75" hidden="1" thickBot="1">
      <c r="A104" s="78"/>
      <c r="B104" s="78"/>
      <c r="C104" s="80"/>
      <c r="D104" s="80"/>
      <c r="E104" s="80"/>
      <c r="F104" s="80" t="s">
        <v>84</v>
      </c>
      <c r="G104" s="84">
        <v>160</v>
      </c>
    </row>
    <row r="105" spans="1:7" ht="16.5" hidden="1" thickBot="1">
      <c r="A105" s="78"/>
      <c r="B105" s="78"/>
      <c r="C105" s="80"/>
      <c r="D105" s="80"/>
      <c r="E105" s="80"/>
      <c r="F105" s="81" t="s">
        <v>85</v>
      </c>
      <c r="G105" s="82">
        <f>G88*G103+G93*G104</f>
        <v>345557.6</v>
      </c>
    </row>
    <row r="106" spans="1:7" ht="15.75" hidden="1" thickBot="1">
      <c r="A106" s="78"/>
      <c r="B106" s="78"/>
      <c r="C106" s="80"/>
      <c r="D106" s="80"/>
      <c r="E106" s="80"/>
      <c r="F106" s="80"/>
      <c r="G106" s="78"/>
    </row>
    <row r="107" spans="1:7" ht="16.5" hidden="1" thickBot="1">
      <c r="A107" s="78"/>
      <c r="B107" s="78"/>
      <c r="C107" s="80"/>
      <c r="D107" s="80"/>
      <c r="E107" s="80"/>
      <c r="F107" s="81" t="s">
        <v>86</v>
      </c>
      <c r="G107" s="82">
        <f>G105+G100</f>
        <v>1445950.5833834242</v>
      </c>
    </row>
    <row r="108" spans="5:12" ht="13.5" thickBot="1">
      <c r="E108" s="140"/>
      <c r="F108" s="140"/>
      <c r="G108" s="140"/>
      <c r="H108" s="140"/>
      <c r="I108" s="140"/>
      <c r="J108" s="1" t="s">
        <v>90</v>
      </c>
      <c r="K108" s="1" t="s">
        <v>91</v>
      </c>
      <c r="L108" s="1" t="s">
        <v>92</v>
      </c>
    </row>
    <row r="109" spans="5:12" ht="12.75">
      <c r="E109" s="141" t="s">
        <v>93</v>
      </c>
      <c r="F109" s="142"/>
      <c r="G109" s="142"/>
      <c r="H109" s="143"/>
      <c r="I109" s="144"/>
      <c r="J109" s="145"/>
      <c r="K109" s="146"/>
      <c r="L109" s="147"/>
    </row>
    <row r="110" spans="5:12" ht="12.75">
      <c r="E110" s="148" t="s">
        <v>94</v>
      </c>
      <c r="F110" s="149"/>
      <c r="G110" s="149"/>
      <c r="H110" s="150"/>
      <c r="I110" s="151"/>
      <c r="J110" s="145">
        <v>1</v>
      </c>
      <c r="K110" s="146">
        <v>0</v>
      </c>
      <c r="L110" s="152" t="e">
        <f>K110/K120</f>
        <v>#REF!</v>
      </c>
    </row>
    <row r="111" spans="5:12" ht="12.75">
      <c r="E111" s="148" t="s">
        <v>95</v>
      </c>
      <c r="F111" s="149"/>
      <c r="G111" s="149"/>
      <c r="H111" s="150"/>
      <c r="I111" s="151"/>
      <c r="J111" s="145">
        <v>2</v>
      </c>
      <c r="K111" s="146">
        <f>SUM(Q98:Q100)</f>
        <v>0</v>
      </c>
      <c r="L111" s="152" t="e">
        <f>K111/K120</f>
        <v>#REF!</v>
      </c>
    </row>
    <row r="112" spans="5:12" ht="12.75">
      <c r="E112" s="148" t="s">
        <v>96</v>
      </c>
      <c r="F112" s="149"/>
      <c r="G112" s="153"/>
      <c r="H112" s="154"/>
      <c r="I112" s="151"/>
      <c r="J112" s="145">
        <v>3</v>
      </c>
      <c r="K112" s="146">
        <v>0</v>
      </c>
      <c r="L112" s="152" t="e">
        <f>K112/K120</f>
        <v>#REF!</v>
      </c>
    </row>
    <row r="113" spans="5:12" ht="12.75">
      <c r="E113" s="148" t="s">
        <v>97</v>
      </c>
      <c r="F113" s="149"/>
      <c r="G113" s="153"/>
      <c r="H113" s="155"/>
      <c r="I113" s="151"/>
      <c r="J113" s="145">
        <v>4</v>
      </c>
      <c r="K113" s="146" t="e">
        <f>#REF!</f>
        <v>#REF!</v>
      </c>
      <c r="L113" s="152" t="e">
        <f>K113/K120</f>
        <v>#REF!</v>
      </c>
    </row>
    <row r="114" spans="5:12" ht="12.75">
      <c r="E114" s="148" t="s">
        <v>98</v>
      </c>
      <c r="F114" s="149"/>
      <c r="G114" s="153"/>
      <c r="H114" s="156"/>
      <c r="I114" s="157"/>
      <c r="J114" s="145">
        <v>5</v>
      </c>
      <c r="K114" s="146">
        <v>0</v>
      </c>
      <c r="L114" s="152" t="e">
        <f>K114/K120</f>
        <v>#REF!</v>
      </c>
    </row>
    <row r="115" spans="5:12" ht="12.75">
      <c r="E115" s="148" t="s">
        <v>99</v>
      </c>
      <c r="F115" s="149"/>
      <c r="G115" s="153"/>
      <c r="H115" s="156"/>
      <c r="I115" s="157"/>
      <c r="J115" s="145">
        <v>6</v>
      </c>
      <c r="K115" s="146">
        <v>0</v>
      </c>
      <c r="L115" s="152" t="e">
        <f>K115/K120</f>
        <v>#REF!</v>
      </c>
    </row>
    <row r="116" spans="5:12" ht="12.75">
      <c r="E116" s="148" t="s">
        <v>100</v>
      </c>
      <c r="F116" s="149"/>
      <c r="G116" s="153"/>
      <c r="H116" s="156"/>
      <c r="I116" s="157"/>
      <c r="J116" s="145">
        <v>7</v>
      </c>
      <c r="K116" s="146">
        <v>0</v>
      </c>
      <c r="L116" s="152" t="e">
        <f>K116/K120</f>
        <v>#REF!</v>
      </c>
    </row>
    <row r="117" spans="5:12" ht="12.75">
      <c r="E117" s="148" t="s">
        <v>101</v>
      </c>
      <c r="F117" s="149"/>
      <c r="G117" s="153"/>
      <c r="H117" s="156"/>
      <c r="I117" s="157"/>
      <c r="J117" s="145">
        <v>8</v>
      </c>
      <c r="K117" s="146">
        <v>0</v>
      </c>
      <c r="L117" s="152" t="e">
        <f>K117/K120</f>
        <v>#REF!</v>
      </c>
    </row>
    <row r="118" spans="5:12" ht="13.5" thickBot="1">
      <c r="E118" s="158" t="s">
        <v>102</v>
      </c>
      <c r="F118" s="159"/>
      <c r="G118" s="160"/>
      <c r="H118" s="161"/>
      <c r="I118" s="162"/>
      <c r="J118" s="145">
        <v>9</v>
      </c>
      <c r="K118" s="146">
        <v>0</v>
      </c>
      <c r="L118" s="152" t="e">
        <f>K118/K120</f>
        <v>#REF!</v>
      </c>
    </row>
    <row r="119" ht="12.75">
      <c r="J119" s="139"/>
    </row>
    <row r="120" spans="8:12" ht="12.75">
      <c r="H120" s="9" t="s">
        <v>103</v>
      </c>
      <c r="J120" s="139"/>
      <c r="K120" s="163" t="e">
        <f>SUM(K110:K118)</f>
        <v>#REF!</v>
      </c>
      <c r="L120" s="164" t="e">
        <f>SUM(L110:L118)</f>
        <v>#REF!</v>
      </c>
    </row>
  </sheetData>
  <printOptions gridLines="1"/>
  <pageMargins left="0.17" right="0.17" top="0.68" bottom="0.37" header="0.24" footer="0.17"/>
  <pageSetup horizontalDpi="600" verticalDpi="600" orientation="landscape" scale="70" r:id="rId1"/>
  <headerFooter alignWithMargins="0">
    <oddHeader>&amp;C&amp;"Arial,Bold"&amp;14NCSX June 2007 ETC 
TABLE II - Materials and Subcontracts</oddHeader>
    <oddFooter xml:space="preserve">&amp;L&amp;F&amp;C&amp;"Arial,Bold"&amp;A   page &amp;P of &amp;N &amp;R &amp;D    &amp;T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2008-03-03T14:27:21Z</cp:lastPrinted>
  <dcterms:created xsi:type="dcterms:W3CDTF">2001-10-24T18:11:20Z</dcterms:created>
  <dcterms:modified xsi:type="dcterms:W3CDTF">2008-03-03T16:06:22Z</dcterms:modified>
  <cp:category/>
  <cp:version/>
  <cp:contentType/>
  <cp:contentStatus/>
</cp:coreProperties>
</file>