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'M&amp;S'!$A$8:$I$133</definedName>
  </definedNames>
  <calcPr fullCalcOnLoad="1"/>
</workbook>
</file>

<file path=xl/sharedStrings.xml><?xml version="1.0" encoding="utf-8"?>
<sst xmlns="http://schemas.openxmlformats.org/spreadsheetml/2006/main" count="184" uniqueCount="125">
  <si>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</si>
  <si>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</si>
  <si>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</si>
  <si>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</si>
  <si>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</si>
  <si>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</si>
  <si>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</si>
  <si>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</si>
  <si>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</si>
  <si>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</si>
  <si>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</si>
  <si>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</si>
  <si>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</si>
  <si>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</si>
  <si>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</si>
  <si>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</si>
  <si>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</si>
  <si>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</si>
  <si>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</si>
  <si>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</si>
  <si>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</si>
  <si>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</si>
  <si>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</si>
  <si>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</si>
  <si>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</si>
  <si>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</si>
  <si>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</si>
  <si>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</si>
  <si>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</si>
  <si>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</si>
  <si>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</si>
  <si>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</si>
  <si>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</si>
  <si>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</si>
  <si>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</si>
  <si>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</si>
  <si>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</si>
  <si>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</si>
  <si>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</si>
  <si>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</si>
  <si>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</si>
  <si>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</si>
  <si>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</si>
  <si>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</si>
  <si>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</si>
  <si>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</si>
  <si>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</si>
  <si>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</si>
  <si>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</si>
  <si>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</si>
  <si>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</si>
  <si>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</si>
  <si>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</si>
  <si>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</si>
  <si>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</si>
  <si>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</si>
  <si>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</si>
  <si>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</si>
  <si>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</si>
  <si>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</si>
  <si>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</si>
  <si>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</si>
  <si>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</si>
  <si>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</si>
  <si>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</si>
  <si>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</si>
  <si>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</si>
  <si>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</si>
  <si>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</si>
  <si>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</si>
  <si>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</si>
  <si>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</si>
  <si>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</si>
  <si>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</si>
  <si>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</si>
  <si>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</si>
  <si>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</si>
  <si>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</si>
  <si>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</si>
  <si>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</si>
  <si>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</si>
  <si>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</si>
  <si>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</si>
  <si>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</si>
  <si>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</si>
  <si>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</si>
  <si>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</si>
  <si>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</si>
  <si>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</si>
  <si>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</si>
  <si>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</si>
  <si>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</si>
  <si>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</si>
  <si>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</si>
  <si>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</si>
  <si>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</si>
  <si>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</si>
  <si>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</si>
  <si>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</si>
  <si>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</si>
  <si>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</si>
  <si>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</si>
  <si>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</si>
  <si>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</si>
  <si>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</si>
  <si>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</si>
  <si>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</si>
  <si>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Weight LB per meter</t>
  </si>
  <si>
    <t>Fabrication Cost per meter</t>
  </si>
  <si>
    <t>Cost Bracket Fabrication per coil</t>
  </si>
  <si>
    <t>Cost for Hardware adjusted for uncertainty</t>
  </si>
  <si>
    <t>Cost of Material for Brackets Total</t>
  </si>
  <si>
    <t>Cost Bracket Fabrication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</si>
  <si>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</si>
  <si>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</si>
  <si>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</si>
  <si>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</si>
  <si>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</si>
  <si>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Weeks for two technicians</t>
  </si>
  <si>
    <t>Weeks for four technicians</t>
  </si>
  <si>
    <t>Weeks for four technicians two shifts</t>
  </si>
  <si>
    <t>Cost Man-hours</t>
  </si>
  <si>
    <t>Cost Total M&amp;S</t>
  </si>
  <si>
    <t>Technicican Rate</t>
  </si>
  <si>
    <t>Eng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</si>
</sst>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1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166" fontId="1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32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25" zoomScaleNormal="125" workbookViewId="0" topLeftCell="A8">
      <selection activeCell="I53" sqref="I53"/>
    </sheetView>
  </sheetViews>
  <sheetFormatPr defaultColWidth="9.140625" defaultRowHeight="12.75"/>
  <cols>
    <col min="1" max="1" width="47.421875" style="0" customWidth="1"/>
    <col min="2" max="2" width="8.0039062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2.85156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29" t="s">
        <v>47</v>
      </c>
      <c r="D8" s="29" t="s">
        <v>58</v>
      </c>
      <c r="E8" s="29" t="s">
        <v>70</v>
      </c>
      <c r="F8" s="29" t="s">
        <v>71</v>
      </c>
      <c r="G8" s="131" t="s">
        <v>100</v>
      </c>
      <c r="H8" s="131" t="s">
        <v>101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7" t="s">
        <v>25</v>
      </c>
      <c r="B12" s="57" t="s">
        <v>26</v>
      </c>
      <c r="C12" s="58">
        <v>0.5219446</v>
      </c>
      <c r="D12" s="58">
        <v>0.5219446</v>
      </c>
      <c r="E12" s="58">
        <v>0.5219446</v>
      </c>
      <c r="F12" s="58">
        <v>0.5219446</v>
      </c>
      <c r="G12" s="58">
        <v>0.5219446</v>
      </c>
      <c r="H12" s="58">
        <v>0.5219446</v>
      </c>
      <c r="I12" s="5"/>
      <c r="J12" s="6"/>
      <c r="K12" s="1"/>
      <c r="L12" s="1"/>
    </row>
    <row r="13" spans="1:8" ht="12.75">
      <c r="A13" s="57" t="s">
        <v>27</v>
      </c>
      <c r="B13" s="57" t="s">
        <v>4</v>
      </c>
      <c r="C13" s="59">
        <f aca="true" t="shared" si="0" ref="C13:H13">C20*2+2.8</f>
        <v>28.8</v>
      </c>
      <c r="D13" s="59">
        <f t="shared" si="0"/>
        <v>28.8</v>
      </c>
      <c r="E13" s="59">
        <f t="shared" si="0"/>
        <v>28.8</v>
      </c>
      <c r="F13" s="59">
        <f t="shared" si="0"/>
        <v>28.8</v>
      </c>
      <c r="G13" s="59">
        <f t="shared" si="0"/>
        <v>28.8</v>
      </c>
      <c r="H13" s="59">
        <f t="shared" si="0"/>
        <v>28.8</v>
      </c>
    </row>
    <row r="14" spans="1:8" ht="12.75">
      <c r="A14" s="57" t="s">
        <v>28</v>
      </c>
      <c r="B14" s="57" t="s">
        <v>4</v>
      </c>
      <c r="C14" s="59">
        <f aca="true" t="shared" si="1" ref="C14:H14">C13</f>
        <v>28.8</v>
      </c>
      <c r="D14" s="59">
        <f t="shared" si="1"/>
        <v>28.8</v>
      </c>
      <c r="E14" s="59">
        <f t="shared" si="1"/>
        <v>28.8</v>
      </c>
      <c r="F14" s="59">
        <f t="shared" si="1"/>
        <v>28.8</v>
      </c>
      <c r="G14" s="59">
        <f t="shared" si="1"/>
        <v>28.8</v>
      </c>
      <c r="H14" s="59">
        <f t="shared" si="1"/>
        <v>28.8</v>
      </c>
    </row>
    <row r="15" spans="1:8" ht="12.75">
      <c r="A15" s="57" t="s">
        <v>29</v>
      </c>
      <c r="B15" s="57"/>
      <c r="C15" s="60">
        <v>4</v>
      </c>
      <c r="D15" s="60">
        <v>4</v>
      </c>
      <c r="E15" s="60">
        <v>4</v>
      </c>
      <c r="F15" s="60">
        <v>4</v>
      </c>
      <c r="G15" s="60">
        <v>4</v>
      </c>
      <c r="H15" s="60">
        <v>4</v>
      </c>
    </row>
    <row r="16" spans="1:8" ht="12.75">
      <c r="A16" s="57" t="s">
        <v>30</v>
      </c>
      <c r="B16" s="57"/>
      <c r="C16" s="59">
        <v>0.75</v>
      </c>
      <c r="D16" s="59">
        <v>0.75</v>
      </c>
      <c r="E16" s="59">
        <v>0.75</v>
      </c>
      <c r="F16" s="59">
        <v>0.75</v>
      </c>
      <c r="G16" s="59">
        <v>0.75</v>
      </c>
      <c r="H16" s="59">
        <v>0.75</v>
      </c>
    </row>
    <row r="17" spans="1:8" ht="12.75">
      <c r="A17" s="57" t="s">
        <v>32</v>
      </c>
      <c r="B17" s="57" t="s">
        <v>8</v>
      </c>
      <c r="C17" s="59">
        <f aca="true" t="shared" si="2" ref="C17:H17">C18/C15</f>
        <v>4.6175</v>
      </c>
      <c r="D17" s="59">
        <f t="shared" si="2"/>
        <v>3.0775</v>
      </c>
      <c r="E17" s="59">
        <f t="shared" si="2"/>
        <v>3.0775</v>
      </c>
      <c r="F17" s="59">
        <f t="shared" si="2"/>
        <v>3.0775</v>
      </c>
      <c r="G17" s="59">
        <f t="shared" si="2"/>
        <v>4.6175</v>
      </c>
      <c r="H17" s="59">
        <f t="shared" si="2"/>
        <v>4.6175</v>
      </c>
    </row>
    <row r="18" spans="1:8" ht="12.75">
      <c r="A18" s="57" t="s">
        <v>33</v>
      </c>
      <c r="B18" s="57" t="s">
        <v>8</v>
      </c>
      <c r="C18" s="59">
        <v>18.47</v>
      </c>
      <c r="D18" s="59">
        <v>12.31</v>
      </c>
      <c r="E18" s="59">
        <v>12.31</v>
      </c>
      <c r="F18" s="59">
        <v>12.31</v>
      </c>
      <c r="G18" s="59">
        <v>18.47</v>
      </c>
      <c r="H18" s="59">
        <v>18.47</v>
      </c>
    </row>
    <row r="19" spans="1:8" ht="12.75">
      <c r="A19" s="57" t="s">
        <v>34</v>
      </c>
      <c r="B19" s="57" t="s">
        <v>4</v>
      </c>
      <c r="C19" s="59">
        <v>13</v>
      </c>
      <c r="D19" s="59">
        <v>13</v>
      </c>
      <c r="E19" s="59">
        <v>13</v>
      </c>
      <c r="F19" s="59">
        <v>13</v>
      </c>
      <c r="G19" s="59">
        <v>13</v>
      </c>
      <c r="H19" s="59">
        <v>13</v>
      </c>
    </row>
    <row r="20" spans="1:8" ht="12.75">
      <c r="A20" s="57" t="s">
        <v>35</v>
      </c>
      <c r="B20" s="57" t="s">
        <v>4</v>
      </c>
      <c r="C20" s="59">
        <v>13</v>
      </c>
      <c r="D20" s="59">
        <v>13</v>
      </c>
      <c r="E20" s="59">
        <v>13</v>
      </c>
      <c r="F20" s="59">
        <v>13</v>
      </c>
      <c r="G20" s="59">
        <v>13</v>
      </c>
      <c r="H20" s="59">
        <v>13</v>
      </c>
    </row>
    <row r="21" spans="1:8" ht="12.75">
      <c r="A21" s="57" t="s">
        <v>36</v>
      </c>
      <c r="B21" s="57" t="s">
        <v>4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1:8" ht="12.75">
      <c r="A22" s="57" t="s">
        <v>37</v>
      </c>
      <c r="B22" s="57" t="s">
        <v>4</v>
      </c>
      <c r="C22" s="59">
        <v>1.016</v>
      </c>
      <c r="D22" s="59">
        <v>1.016</v>
      </c>
      <c r="E22" s="59">
        <v>1.016</v>
      </c>
      <c r="F22" s="59">
        <v>1.016</v>
      </c>
      <c r="G22" s="59">
        <v>1.016</v>
      </c>
      <c r="H22" s="59">
        <v>1.016</v>
      </c>
    </row>
    <row r="23" spans="1:8" ht="12.75">
      <c r="A23" s="57" t="s">
        <v>38</v>
      </c>
      <c r="B23" s="57" t="s">
        <v>39</v>
      </c>
      <c r="C23" s="59">
        <f aca="true" t="shared" si="3" ref="C23:H23">C20*C19-((4-PI())*C22*C22)-PI()*C21^2/4</f>
        <v>168.11390386622398</v>
      </c>
      <c r="D23" s="59">
        <f t="shared" si="3"/>
        <v>168.11390386622398</v>
      </c>
      <c r="E23" s="59">
        <f t="shared" si="3"/>
        <v>168.11390386622398</v>
      </c>
      <c r="F23" s="59">
        <f t="shared" si="3"/>
        <v>168.11390386622398</v>
      </c>
      <c r="G23" s="59">
        <f t="shared" si="3"/>
        <v>168.11390386622398</v>
      </c>
      <c r="H23" s="59">
        <f t="shared" si="3"/>
        <v>168.11390386622398</v>
      </c>
    </row>
    <row r="24" spans="1:8" ht="12.75">
      <c r="A24" s="57" t="s">
        <v>41</v>
      </c>
      <c r="B24" s="57" t="s">
        <v>31</v>
      </c>
      <c r="C24" s="59">
        <f aca="true" t="shared" si="4" ref="C24:H24">C18*1000*C23*$B25</f>
        <v>26.641447441830564</v>
      </c>
      <c r="D24" s="59">
        <f t="shared" si="4"/>
        <v>17.756156903569803</v>
      </c>
      <c r="E24" s="59">
        <f t="shared" si="4"/>
        <v>17.756156903569803</v>
      </c>
      <c r="F24" s="59">
        <f t="shared" si="4"/>
        <v>17.756156903569803</v>
      </c>
      <c r="G24" s="59">
        <f t="shared" si="4"/>
        <v>26.641447441830564</v>
      </c>
      <c r="H24" s="59">
        <f t="shared" si="4"/>
        <v>26.641447441830564</v>
      </c>
    </row>
    <row r="25" spans="1:8" ht="12.75">
      <c r="A25" s="61" t="s">
        <v>24</v>
      </c>
      <c r="B25" s="62">
        <v>8.58E-06</v>
      </c>
      <c r="C25" s="63"/>
      <c r="D25" s="63"/>
      <c r="E25" s="63"/>
      <c r="F25" s="63"/>
      <c r="G25" s="63"/>
      <c r="H25" s="63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1"/>
      <c r="C28" s="29" t="s">
        <v>47</v>
      </c>
      <c r="D28" s="29" t="s">
        <v>58</v>
      </c>
      <c r="E28" s="133" t="s">
        <v>70</v>
      </c>
      <c r="F28" s="137" t="s">
        <v>71</v>
      </c>
      <c r="G28" s="137" t="s">
        <v>96</v>
      </c>
      <c r="H28" s="137" t="s">
        <v>97</v>
      </c>
    </row>
    <row r="29" spans="1:8" ht="12.75">
      <c r="A29" s="16" t="s">
        <v>45</v>
      </c>
      <c r="B29" s="22"/>
      <c r="C29" s="30"/>
      <c r="D29" s="30"/>
      <c r="E29" s="134"/>
      <c r="F29" s="138"/>
      <c r="G29" s="138"/>
      <c r="H29" s="138"/>
    </row>
    <row r="30" spans="1:9" ht="13.5" thickBot="1">
      <c r="A30" s="35" t="s">
        <v>46</v>
      </c>
      <c r="B30" s="36"/>
      <c r="C30" s="91">
        <v>12</v>
      </c>
      <c r="D30" s="91">
        <v>12</v>
      </c>
      <c r="E30" s="135">
        <v>6</v>
      </c>
      <c r="F30" s="137">
        <v>6</v>
      </c>
      <c r="G30" s="137">
        <v>0.01</v>
      </c>
      <c r="H30" s="137">
        <v>0.01</v>
      </c>
      <c r="I30" s="139">
        <f>SUM(C30:H30)</f>
        <v>36.019999999999996</v>
      </c>
    </row>
    <row r="31" spans="1:8" ht="13.5" thickBot="1">
      <c r="A31" s="55" t="s">
        <v>72</v>
      </c>
      <c r="B31" s="56"/>
      <c r="C31" s="53">
        <f>3153/(18.47*6)</f>
        <v>28.451543042772066</v>
      </c>
      <c r="D31" s="53">
        <v>28</v>
      </c>
      <c r="E31" s="53">
        <v>28</v>
      </c>
      <c r="F31" s="136">
        <v>28</v>
      </c>
      <c r="G31" s="136">
        <v>28</v>
      </c>
      <c r="H31" s="136">
        <v>28</v>
      </c>
    </row>
    <row r="32" spans="1:8" ht="13.5" thickBot="1">
      <c r="A32" s="40" t="s">
        <v>53</v>
      </c>
      <c r="B32" s="41" t="s">
        <v>1</v>
      </c>
      <c r="C32" s="53">
        <f>C31*C18</f>
        <v>525.5</v>
      </c>
      <c r="D32" s="53">
        <f>D31*D18</f>
        <v>344.68</v>
      </c>
      <c r="E32" s="53">
        <f>E31*E18</f>
        <v>344.68</v>
      </c>
      <c r="F32" s="53">
        <f>F31*F18</f>
        <v>344.68</v>
      </c>
      <c r="G32" s="53">
        <f>G31*G18</f>
        <v>517.16</v>
      </c>
      <c r="H32" s="53">
        <f>H31*H18</f>
        <v>517.16</v>
      </c>
    </row>
    <row r="33" spans="1:8" ht="12.75">
      <c r="A33" s="37" t="s">
        <v>40</v>
      </c>
      <c r="B33" s="38">
        <v>2</v>
      </c>
      <c r="C33" s="39" t="s">
        <v>23</v>
      </c>
      <c r="D33" s="39" t="s">
        <v>23</v>
      </c>
      <c r="E33" s="39" t="s">
        <v>23</v>
      </c>
      <c r="F33" s="39" t="s">
        <v>23</v>
      </c>
      <c r="G33" s="39" t="s">
        <v>23</v>
      </c>
      <c r="H33" s="39" t="s">
        <v>23</v>
      </c>
    </row>
    <row r="34" spans="1:10" ht="12.75">
      <c r="A34" s="17" t="s">
        <v>42</v>
      </c>
      <c r="B34" s="24" t="s">
        <v>4</v>
      </c>
      <c r="C34" s="31">
        <v>25.4</v>
      </c>
      <c r="D34" s="31">
        <v>25.4</v>
      </c>
      <c r="E34" s="31">
        <v>25.4</v>
      </c>
      <c r="F34" s="31">
        <v>25.4</v>
      </c>
      <c r="G34" s="31">
        <v>25.4</v>
      </c>
      <c r="H34" s="31">
        <v>25.4</v>
      </c>
      <c r="J34" s="3"/>
    </row>
    <row r="35" spans="1:8" ht="16.5" customHeight="1">
      <c r="A35" s="18" t="s">
        <v>43</v>
      </c>
      <c r="B35" s="25" t="s">
        <v>2</v>
      </c>
      <c r="C35" s="44">
        <f>(2*(C19+C20)*1000/C34)/1000</f>
        <v>2.0472440944881893</v>
      </c>
      <c r="D35" s="44">
        <f>(2*(D19+D20)*1000/D34)/1000</f>
        <v>2.0472440944881893</v>
      </c>
      <c r="E35" s="44">
        <f>(2*(E19+E20)*1000/E34)/1000</f>
        <v>2.0472440944881893</v>
      </c>
      <c r="F35" s="44">
        <f>(2*(F19+F20)*1000/F34)/1000</f>
        <v>2.0472440944881893</v>
      </c>
      <c r="G35" s="44">
        <f>(2*(G19+G20)*1000/G34)/1000</f>
        <v>2.0472440944881893</v>
      </c>
      <c r="H35" s="44">
        <f>(2*(H19+H20)*1000/H34)/1000</f>
        <v>2.0472440944881893</v>
      </c>
    </row>
    <row r="36" spans="1:8" ht="12.75">
      <c r="A36" s="18" t="s">
        <v>3</v>
      </c>
      <c r="B36" s="25" t="s">
        <v>4</v>
      </c>
      <c r="C36" s="44">
        <v>0.19</v>
      </c>
      <c r="D36" s="44">
        <v>0.19</v>
      </c>
      <c r="E36" s="44">
        <v>0.19</v>
      </c>
      <c r="F36" s="44">
        <v>0.19</v>
      </c>
      <c r="G36" s="44">
        <v>0.19</v>
      </c>
      <c r="H36" s="44">
        <v>0.19</v>
      </c>
    </row>
    <row r="37" spans="1:8" ht="12.75">
      <c r="A37" s="18" t="s">
        <v>5</v>
      </c>
      <c r="B37" s="25" t="s">
        <v>6</v>
      </c>
      <c r="C37" s="45">
        <v>2</v>
      </c>
      <c r="D37" s="45">
        <v>2</v>
      </c>
      <c r="E37" s="45">
        <v>2</v>
      </c>
      <c r="F37" s="45">
        <v>2</v>
      </c>
      <c r="G37" s="45">
        <v>2</v>
      </c>
      <c r="H37" s="45">
        <v>2</v>
      </c>
    </row>
    <row r="38" spans="1:8" ht="12.75">
      <c r="A38" s="18" t="s">
        <v>7</v>
      </c>
      <c r="B38" s="25" t="s">
        <v>8</v>
      </c>
      <c r="C38" s="44">
        <v>182</v>
      </c>
      <c r="D38" s="44">
        <v>182</v>
      </c>
      <c r="E38" s="44">
        <v>182</v>
      </c>
      <c r="F38" s="44">
        <v>182</v>
      </c>
      <c r="G38" s="44">
        <v>182</v>
      </c>
      <c r="H38" s="44">
        <v>182</v>
      </c>
    </row>
    <row r="39" spans="1:8" ht="12.75">
      <c r="A39" s="18" t="s">
        <v>9</v>
      </c>
      <c r="B39" s="25" t="s">
        <v>6</v>
      </c>
      <c r="C39" s="46">
        <f>2*C37*C18*C35/C38</f>
        <v>0.8310461192350956</v>
      </c>
      <c r="D39" s="46">
        <f>2*D37*D18*D35/D38</f>
        <v>0.5538807649043871</v>
      </c>
      <c r="E39" s="46">
        <f>2*E37*E18*E35/E38</f>
        <v>0.5538807649043871</v>
      </c>
      <c r="F39" s="46">
        <f>2*F37*F18*F35/F38</f>
        <v>0.5538807649043871</v>
      </c>
      <c r="G39" s="46">
        <f>2*G37*G18*G35/G38</f>
        <v>0.8310461192350956</v>
      </c>
      <c r="H39" s="46">
        <f>2*H37*H18*H35/H38</f>
        <v>0.8310461192350956</v>
      </c>
    </row>
    <row r="40" spans="1:8" ht="25.5">
      <c r="A40" s="18" t="s">
        <v>10</v>
      </c>
      <c r="B40" s="25" t="s">
        <v>0</v>
      </c>
      <c r="C40" s="46">
        <v>1.3</v>
      </c>
      <c r="D40" s="46">
        <v>1.3</v>
      </c>
      <c r="E40" s="46">
        <v>1.3</v>
      </c>
      <c r="F40" s="46">
        <v>1.3</v>
      </c>
      <c r="G40" s="46">
        <v>1.3</v>
      </c>
      <c r="H40" s="46">
        <v>1.3</v>
      </c>
    </row>
    <row r="41" spans="1:8" ht="12.75">
      <c r="A41" s="18" t="s">
        <v>60</v>
      </c>
      <c r="B41" s="25" t="s">
        <v>6</v>
      </c>
      <c r="C41" s="46">
        <f>C40*C39</f>
        <v>1.0803599550056244</v>
      </c>
      <c r="D41" s="46">
        <f>D40*D39*2</f>
        <v>1.4400899887514065</v>
      </c>
      <c r="E41" s="46">
        <f>E40*E39*2</f>
        <v>1.4400899887514065</v>
      </c>
      <c r="F41" s="46">
        <f>F40*F39*2</f>
        <v>1.4400899887514065</v>
      </c>
      <c r="G41" s="46">
        <f>G40*G39*2</f>
        <v>2.160719910011249</v>
      </c>
      <c r="H41" s="46">
        <f>H40*H39*2</f>
        <v>2.160719910011249</v>
      </c>
    </row>
    <row r="42" spans="1:8" ht="12.75">
      <c r="A42" s="18" t="s">
        <v>11</v>
      </c>
      <c r="B42" s="25" t="s">
        <v>12</v>
      </c>
      <c r="C42" s="45">
        <v>728</v>
      </c>
      <c r="D42" s="45">
        <v>728</v>
      </c>
      <c r="E42" s="45">
        <v>728</v>
      </c>
      <c r="F42" s="45">
        <v>728</v>
      </c>
      <c r="G42" s="45">
        <v>728</v>
      </c>
      <c r="H42" s="45">
        <v>728</v>
      </c>
    </row>
    <row r="43" spans="1:8" ht="12.75">
      <c r="A43" s="17" t="s">
        <v>63</v>
      </c>
      <c r="B43" s="24" t="s">
        <v>4</v>
      </c>
      <c r="C43" s="46">
        <v>25.4</v>
      </c>
      <c r="D43" s="46">
        <v>25.4</v>
      </c>
      <c r="E43" s="46">
        <v>25.4</v>
      </c>
      <c r="F43" s="46">
        <v>25.4</v>
      </c>
      <c r="G43" s="46">
        <v>25.4</v>
      </c>
      <c r="H43" s="46">
        <v>25.4</v>
      </c>
    </row>
    <row r="44" spans="1:10" ht="12.75">
      <c r="A44" s="18" t="s">
        <v>44</v>
      </c>
      <c r="B44" s="25" t="s">
        <v>2</v>
      </c>
      <c r="C44" s="44">
        <f>(2*(C19+C20)*1000/C43)/1000</f>
        <v>2.0472440944881893</v>
      </c>
      <c r="D44" s="44">
        <f>(2*(D19+D20)*1000/D43)/1000</f>
        <v>2.0472440944881893</v>
      </c>
      <c r="E44" s="44">
        <f>(2*(E19+E20)*1000/E43)/1000</f>
        <v>2.0472440944881893</v>
      </c>
      <c r="F44" s="44">
        <f>(2*(F19+F20)*1000/F43)/1000</f>
        <v>2.0472440944881893</v>
      </c>
      <c r="G44" s="44">
        <f>(2*(G19+G20)*1000/G43)/1000</f>
        <v>2.0472440944881893</v>
      </c>
      <c r="H44" s="44">
        <f>(2*(H19+H20)*1000/H43)/1000</f>
        <v>2.0472440944881893</v>
      </c>
      <c r="J44" s="42"/>
    </row>
    <row r="45" spans="1:8" ht="12.75">
      <c r="A45" s="18" t="s">
        <v>3</v>
      </c>
      <c r="B45" s="25" t="s">
        <v>4</v>
      </c>
      <c r="C45" s="44">
        <v>0.19</v>
      </c>
      <c r="D45" s="44">
        <v>0.19</v>
      </c>
      <c r="E45" s="44">
        <v>0.19</v>
      </c>
      <c r="F45" s="44">
        <v>0.19</v>
      </c>
      <c r="G45" s="44">
        <v>0.19</v>
      </c>
      <c r="H45" s="44">
        <v>0.19</v>
      </c>
    </row>
    <row r="46" spans="1:8" ht="12.75">
      <c r="A46" s="18" t="s">
        <v>5</v>
      </c>
      <c r="B46" s="25" t="s">
        <v>6</v>
      </c>
      <c r="C46" s="45">
        <v>2</v>
      </c>
      <c r="D46" s="45">
        <v>2</v>
      </c>
      <c r="E46" s="45">
        <v>2</v>
      </c>
      <c r="F46" s="45">
        <v>2</v>
      </c>
      <c r="G46" s="45">
        <v>2</v>
      </c>
      <c r="H46" s="45">
        <v>2</v>
      </c>
    </row>
    <row r="47" spans="1:8" ht="12.75">
      <c r="A47" s="18" t="s">
        <v>7</v>
      </c>
      <c r="B47" s="25" t="s">
        <v>8</v>
      </c>
      <c r="C47" s="44">
        <v>182</v>
      </c>
      <c r="D47" s="44">
        <v>182</v>
      </c>
      <c r="E47" s="44">
        <v>182</v>
      </c>
      <c r="F47" s="44">
        <v>182</v>
      </c>
      <c r="G47" s="44">
        <v>182</v>
      </c>
      <c r="H47" s="44">
        <v>182</v>
      </c>
    </row>
    <row r="48" spans="1:8" ht="12.75">
      <c r="A48" s="18" t="s">
        <v>9</v>
      </c>
      <c r="B48" s="25" t="s">
        <v>6</v>
      </c>
      <c r="C48" s="46">
        <f>2*C46*C18*C44/C47</f>
        <v>0.8310461192350956</v>
      </c>
      <c r="D48" s="46">
        <f>2*D46*D18*D44/D47</f>
        <v>0.5538807649043871</v>
      </c>
      <c r="E48" s="46">
        <f>2*E46*E18*E44/E47</f>
        <v>0.5538807649043871</v>
      </c>
      <c r="F48" s="46">
        <f>2*F46*F18*F44/F47</f>
        <v>0.5538807649043871</v>
      </c>
      <c r="G48" s="46">
        <f>2*G46*G18*G44/G47</f>
        <v>0.8310461192350956</v>
      </c>
      <c r="H48" s="46">
        <f>2*H46*H18*H44/H47</f>
        <v>0.8310461192350956</v>
      </c>
    </row>
    <row r="49" spans="1:8" ht="25.5">
      <c r="A49" s="18" t="s">
        <v>10</v>
      </c>
      <c r="B49" s="25" t="s">
        <v>0</v>
      </c>
      <c r="C49" s="46">
        <v>1.3</v>
      </c>
      <c r="D49" s="46">
        <v>1.3</v>
      </c>
      <c r="E49" s="46">
        <v>1.3</v>
      </c>
      <c r="F49" s="46">
        <v>1.3</v>
      </c>
      <c r="G49" s="46">
        <v>1.3</v>
      </c>
      <c r="H49" s="46">
        <v>1.3</v>
      </c>
    </row>
    <row r="50" spans="1:8" ht="12.75">
      <c r="A50" s="18" t="s">
        <v>48</v>
      </c>
      <c r="B50" s="25" t="s">
        <v>6</v>
      </c>
      <c r="C50" s="46">
        <f aca="true" t="shared" si="5" ref="C50:H50">C49*C48*C30</f>
        <v>12.964319460067493</v>
      </c>
      <c r="D50" s="46">
        <f t="shared" si="5"/>
        <v>8.640539932508439</v>
      </c>
      <c r="E50" s="46">
        <f t="shared" si="5"/>
        <v>4.320269966254219</v>
      </c>
      <c r="F50" s="46">
        <f t="shared" si="5"/>
        <v>4.320269966254219</v>
      </c>
      <c r="G50" s="46">
        <f t="shared" si="5"/>
        <v>0.010803599550056244</v>
      </c>
      <c r="H50" s="46">
        <f t="shared" si="5"/>
        <v>0.010803599550056244</v>
      </c>
    </row>
    <row r="51" spans="1:8" ht="12.75">
      <c r="A51" s="18" t="s">
        <v>11</v>
      </c>
      <c r="B51" s="23" t="s">
        <v>12</v>
      </c>
      <c r="C51" s="45">
        <v>728</v>
      </c>
      <c r="D51" s="45">
        <v>728</v>
      </c>
      <c r="E51" s="45">
        <v>728</v>
      </c>
      <c r="F51" s="45">
        <v>728</v>
      </c>
      <c r="G51" s="45">
        <v>728</v>
      </c>
      <c r="H51" s="45">
        <v>728</v>
      </c>
    </row>
    <row r="52" spans="1:8" ht="12.75">
      <c r="A52" s="18" t="s">
        <v>50</v>
      </c>
      <c r="B52" s="22" t="s">
        <v>1</v>
      </c>
      <c r="C52" s="47">
        <f aca="true" t="shared" si="6" ref="C52:H52">C51*C50/C30</f>
        <v>786.5020472440946</v>
      </c>
      <c r="D52" s="47">
        <f t="shared" si="6"/>
        <v>524.192755905512</v>
      </c>
      <c r="E52" s="47">
        <f t="shared" si="6"/>
        <v>524.192755905512</v>
      </c>
      <c r="F52" s="47">
        <f t="shared" si="6"/>
        <v>524.192755905512</v>
      </c>
      <c r="G52" s="47">
        <f t="shared" si="6"/>
        <v>786.5020472440946</v>
      </c>
      <c r="H52" s="47">
        <f t="shared" si="6"/>
        <v>786.5020472440946</v>
      </c>
    </row>
    <row r="53" spans="1:8" ht="12.75">
      <c r="A53" s="18" t="s">
        <v>64</v>
      </c>
      <c r="B53" s="24" t="s">
        <v>8</v>
      </c>
      <c r="C53" s="48">
        <f>C35*C18</f>
        <v>37.81259842519685</v>
      </c>
      <c r="D53" s="48">
        <f>D35*D18</f>
        <v>25.20157480314961</v>
      </c>
      <c r="E53" s="48">
        <f>E35*E18</f>
        <v>25.20157480314961</v>
      </c>
      <c r="F53" s="48">
        <f>F35*F18</f>
        <v>25.20157480314961</v>
      </c>
      <c r="G53" s="48">
        <f>G35*G18</f>
        <v>37.81259842519685</v>
      </c>
      <c r="H53" s="48">
        <f>H35*H18</f>
        <v>37.81259842519685</v>
      </c>
    </row>
    <row r="54" spans="1:8" ht="12.75">
      <c r="A54" s="18" t="s">
        <v>65</v>
      </c>
      <c r="B54" s="24" t="s">
        <v>66</v>
      </c>
      <c r="C54" s="49">
        <f aca="true" t="shared" si="7" ref="C54:H54">1.258</f>
        <v>1.258</v>
      </c>
      <c r="D54" s="49">
        <f t="shared" si="7"/>
        <v>1.258</v>
      </c>
      <c r="E54" s="49">
        <f t="shared" si="7"/>
        <v>1.258</v>
      </c>
      <c r="F54" s="49">
        <f t="shared" si="7"/>
        <v>1.258</v>
      </c>
      <c r="G54" s="49">
        <f t="shared" si="7"/>
        <v>1.258</v>
      </c>
      <c r="H54" s="49">
        <f t="shared" si="7"/>
        <v>1.258</v>
      </c>
    </row>
    <row r="55" spans="1:8" ht="12.75">
      <c r="A55" s="18" t="s">
        <v>67</v>
      </c>
      <c r="B55" s="24" t="s">
        <v>1</v>
      </c>
      <c r="C55" s="47">
        <f aca="true" t="shared" si="8" ref="C55:H55">C54*C53</f>
        <v>47.568248818897644</v>
      </c>
      <c r="D55" s="47">
        <f t="shared" si="8"/>
        <v>31.70358110236221</v>
      </c>
      <c r="E55" s="47">
        <f t="shared" si="8"/>
        <v>31.70358110236221</v>
      </c>
      <c r="F55" s="47">
        <f t="shared" si="8"/>
        <v>31.70358110236221</v>
      </c>
      <c r="G55" s="47">
        <f t="shared" si="8"/>
        <v>47.568248818897644</v>
      </c>
      <c r="H55" s="47">
        <f t="shared" si="8"/>
        <v>47.568248818897644</v>
      </c>
    </row>
    <row r="56" spans="1:8" ht="12.75">
      <c r="A56" s="18" t="s">
        <v>13</v>
      </c>
      <c r="B56" s="23" t="s">
        <v>4</v>
      </c>
      <c r="C56" s="49">
        <v>0.38</v>
      </c>
      <c r="D56" s="49">
        <v>0.38</v>
      </c>
      <c r="E56" s="49">
        <v>0.38</v>
      </c>
      <c r="F56" s="49">
        <v>0.38</v>
      </c>
      <c r="G56" s="49">
        <v>0.38</v>
      </c>
      <c r="H56" s="49">
        <v>0.38</v>
      </c>
    </row>
    <row r="57" spans="1:8" ht="12.75">
      <c r="A57" s="18" t="s">
        <v>5</v>
      </c>
      <c r="B57" s="23" t="s">
        <v>6</v>
      </c>
      <c r="C57" s="49">
        <v>4</v>
      </c>
      <c r="D57" s="49">
        <v>4</v>
      </c>
      <c r="E57" s="49">
        <v>4</v>
      </c>
      <c r="F57" s="49">
        <v>4</v>
      </c>
      <c r="G57" s="49">
        <v>4</v>
      </c>
      <c r="H57" s="49">
        <v>4</v>
      </c>
    </row>
    <row r="58" spans="1:8" ht="12.75">
      <c r="A58" s="18" t="s">
        <v>14</v>
      </c>
      <c r="B58" s="23" t="s">
        <v>4</v>
      </c>
      <c r="C58" s="49">
        <f aca="true" t="shared" si="9" ref="C58:H58">2*C57*C56</f>
        <v>3.04</v>
      </c>
      <c r="D58" s="49">
        <f t="shared" si="9"/>
        <v>3.04</v>
      </c>
      <c r="E58" s="49">
        <f t="shared" si="9"/>
        <v>3.04</v>
      </c>
      <c r="F58" s="49">
        <f t="shared" si="9"/>
        <v>3.04</v>
      </c>
      <c r="G58" s="49">
        <f t="shared" si="9"/>
        <v>3.04</v>
      </c>
      <c r="H58" s="49">
        <f t="shared" si="9"/>
        <v>3.04</v>
      </c>
    </row>
    <row r="59" spans="1:8" ht="12.75">
      <c r="A59" s="18" t="s">
        <v>15</v>
      </c>
      <c r="B59" s="23" t="s">
        <v>16</v>
      </c>
      <c r="C59" s="48">
        <v>6</v>
      </c>
      <c r="D59" s="48">
        <v>6</v>
      </c>
      <c r="E59" s="48">
        <v>6</v>
      </c>
      <c r="F59" s="48">
        <v>6</v>
      </c>
      <c r="G59" s="48">
        <v>6</v>
      </c>
      <c r="H59" s="48">
        <v>6</v>
      </c>
    </row>
    <row r="60" spans="1:8" ht="12.75">
      <c r="A60" s="18" t="s">
        <v>17</v>
      </c>
      <c r="B60" s="23" t="s">
        <v>8</v>
      </c>
      <c r="C60" s="48">
        <f>(C17*(100*C57/C59))*2*(C14+C13)/1000</f>
        <v>35.4624</v>
      </c>
      <c r="D60" s="48">
        <f>(D17*(100*D57/D59))*2*(D14+D13)/1000</f>
        <v>23.635200000000005</v>
      </c>
      <c r="E60" s="48">
        <f>(E17*(100*E57/E59))*2*(E14+E13)/1000</f>
        <v>23.635200000000005</v>
      </c>
      <c r="F60" s="48">
        <f>(F17*(100*F57/F59))*2*(F14+F13)/1000</f>
        <v>23.635200000000005</v>
      </c>
      <c r="G60" s="48">
        <f>(G17*(100*G57/G59))*2*(G14+G13)/1000</f>
        <v>35.4624</v>
      </c>
      <c r="H60" s="48">
        <f>(H17*(100*H57/H59))*2*(H14+H13)/1000</f>
        <v>35.4624</v>
      </c>
    </row>
    <row r="61" spans="1:8" ht="12.75">
      <c r="A61" s="18" t="s">
        <v>7</v>
      </c>
      <c r="B61" s="23" t="s">
        <v>8</v>
      </c>
      <c r="C61" s="48">
        <v>10</v>
      </c>
      <c r="D61" s="48">
        <v>10</v>
      </c>
      <c r="E61" s="48">
        <v>10</v>
      </c>
      <c r="F61" s="48">
        <v>10</v>
      </c>
      <c r="G61" s="48">
        <v>10</v>
      </c>
      <c r="H61" s="48">
        <v>10</v>
      </c>
    </row>
    <row r="62" spans="1:8" ht="12.75">
      <c r="A62" s="18" t="s">
        <v>9</v>
      </c>
      <c r="B62" s="23" t="s">
        <v>6</v>
      </c>
      <c r="C62" s="48">
        <f aca="true" t="shared" si="10" ref="C62:H62">C60/C61</f>
        <v>3.54624</v>
      </c>
      <c r="D62" s="48">
        <f t="shared" si="10"/>
        <v>2.3635200000000003</v>
      </c>
      <c r="E62" s="48">
        <f t="shared" si="10"/>
        <v>2.3635200000000003</v>
      </c>
      <c r="F62" s="48">
        <f t="shared" si="10"/>
        <v>2.3635200000000003</v>
      </c>
      <c r="G62" s="48">
        <f t="shared" si="10"/>
        <v>3.54624</v>
      </c>
      <c r="H62" s="48">
        <f t="shared" si="10"/>
        <v>3.54624</v>
      </c>
    </row>
    <row r="63" spans="1:8" ht="25.5">
      <c r="A63" s="18" t="s">
        <v>10</v>
      </c>
      <c r="B63" s="23" t="s">
        <v>0</v>
      </c>
      <c r="C63" s="49">
        <v>1.3</v>
      </c>
      <c r="D63" s="49">
        <v>1.3</v>
      </c>
      <c r="E63" s="49">
        <v>1.3</v>
      </c>
      <c r="F63" s="49">
        <v>1.3</v>
      </c>
      <c r="G63" s="49">
        <v>1.3</v>
      </c>
      <c r="H63" s="49">
        <v>1.3</v>
      </c>
    </row>
    <row r="64" spans="1:8" ht="12.75">
      <c r="A64" s="18" t="s">
        <v>49</v>
      </c>
      <c r="B64" s="23" t="s">
        <v>6</v>
      </c>
      <c r="C64" s="48">
        <f aca="true" t="shared" si="11" ref="C64:H64">C63*C62*C30</f>
        <v>55.321343999999996</v>
      </c>
      <c r="D64" s="48">
        <f t="shared" si="11"/>
        <v>36.870912000000004</v>
      </c>
      <c r="E64" s="48">
        <f t="shared" si="11"/>
        <v>18.435456000000002</v>
      </c>
      <c r="F64" s="48">
        <f t="shared" si="11"/>
        <v>18.435456000000002</v>
      </c>
      <c r="G64" s="48">
        <f t="shared" si="11"/>
        <v>0.04610112</v>
      </c>
      <c r="H64" s="48">
        <f t="shared" si="11"/>
        <v>0.04610112</v>
      </c>
    </row>
    <row r="65" spans="1:8" ht="12.75">
      <c r="A65" s="17" t="s">
        <v>18</v>
      </c>
      <c r="B65" s="26" t="s">
        <v>1</v>
      </c>
      <c r="C65" s="48">
        <v>50</v>
      </c>
      <c r="D65" s="48">
        <v>50</v>
      </c>
      <c r="E65" s="48">
        <v>50</v>
      </c>
      <c r="F65" s="48">
        <v>50</v>
      </c>
      <c r="G65" s="48">
        <v>50</v>
      </c>
      <c r="H65" s="48">
        <v>50</v>
      </c>
    </row>
    <row r="66" spans="1:8" ht="12.75">
      <c r="A66" s="17" t="s">
        <v>51</v>
      </c>
      <c r="B66" s="22" t="s">
        <v>1</v>
      </c>
      <c r="C66" s="47">
        <f aca="true" t="shared" si="12" ref="C66:H66">C65*C64/C30</f>
        <v>230.5056</v>
      </c>
      <c r="D66" s="47">
        <f t="shared" si="12"/>
        <v>153.6288</v>
      </c>
      <c r="E66" s="47">
        <f t="shared" si="12"/>
        <v>153.6288</v>
      </c>
      <c r="F66" s="47">
        <f t="shared" si="12"/>
        <v>153.6288</v>
      </c>
      <c r="G66" s="47">
        <f t="shared" si="12"/>
        <v>230.5056</v>
      </c>
      <c r="H66" s="47">
        <f t="shared" si="12"/>
        <v>230.5056</v>
      </c>
    </row>
    <row r="67" spans="1:8" ht="12.75">
      <c r="A67" s="19" t="s">
        <v>19</v>
      </c>
      <c r="B67" s="27" t="s">
        <v>20</v>
      </c>
      <c r="C67" s="49">
        <f aca="true" t="shared" si="13" ref="C67:H67">0.15*C13*C14*(C17)/1000</f>
        <v>0.57449088</v>
      </c>
      <c r="D67" s="49">
        <f t="shared" si="13"/>
        <v>0.38289024000000005</v>
      </c>
      <c r="E67" s="49">
        <f t="shared" si="13"/>
        <v>0.38289024000000005</v>
      </c>
      <c r="F67" s="49">
        <f t="shared" si="13"/>
        <v>0.38289024000000005</v>
      </c>
      <c r="G67" s="49">
        <f t="shared" si="13"/>
        <v>0.57449088</v>
      </c>
      <c r="H67" s="49">
        <f t="shared" si="13"/>
        <v>0.57449088</v>
      </c>
    </row>
    <row r="68" spans="1:8" ht="12.75">
      <c r="A68" s="17" t="s">
        <v>21</v>
      </c>
      <c r="B68" s="26" t="s">
        <v>22</v>
      </c>
      <c r="C68" s="48">
        <v>150</v>
      </c>
      <c r="D68" s="48">
        <v>150</v>
      </c>
      <c r="E68" s="48">
        <v>150</v>
      </c>
      <c r="F68" s="48">
        <v>150</v>
      </c>
      <c r="G68" s="48">
        <v>150</v>
      </c>
      <c r="H68" s="48">
        <v>150</v>
      </c>
    </row>
    <row r="69" spans="1:8" ht="12.75">
      <c r="A69" s="17" t="s">
        <v>52</v>
      </c>
      <c r="B69" s="22" t="s">
        <v>1</v>
      </c>
      <c r="C69" s="47">
        <f aca="true" t="shared" si="14" ref="C69:H69">C68*C67</f>
        <v>86.17363200000001</v>
      </c>
      <c r="D69" s="47">
        <f t="shared" si="14"/>
        <v>57.433536000000004</v>
      </c>
      <c r="E69" s="47">
        <f t="shared" si="14"/>
        <v>57.433536000000004</v>
      </c>
      <c r="F69" s="47">
        <f t="shared" si="14"/>
        <v>57.433536000000004</v>
      </c>
      <c r="G69" s="47">
        <f t="shared" si="14"/>
        <v>86.17363200000001</v>
      </c>
      <c r="H69" s="47">
        <f t="shared" si="14"/>
        <v>86.17363200000001</v>
      </c>
    </row>
    <row r="70" spans="1:8" ht="12.75">
      <c r="A70" s="17"/>
      <c r="B70" s="26"/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</row>
    <row r="71" spans="1:8" ht="13.5" thickBot="1">
      <c r="A71" s="32"/>
      <c r="B71" s="51"/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</row>
    <row r="72" spans="1:8" ht="19.5" customHeight="1" thickBot="1">
      <c r="A72" s="33" t="s">
        <v>54</v>
      </c>
      <c r="B72" s="34"/>
      <c r="C72" s="53">
        <f>C52+C66+C69+C55</f>
        <v>1150.7495280629923</v>
      </c>
      <c r="D72" s="53">
        <f>D52+D66+D69</f>
        <v>735.255091905512</v>
      </c>
      <c r="E72" s="53">
        <f>E52+E66+E69</f>
        <v>735.255091905512</v>
      </c>
      <c r="F72" s="53">
        <f>F52+F66+F69</f>
        <v>735.255091905512</v>
      </c>
      <c r="G72" s="53">
        <v>0</v>
      </c>
      <c r="H72" s="53">
        <v>0</v>
      </c>
    </row>
    <row r="73" spans="1:8" ht="24.75" customHeight="1" thickBot="1">
      <c r="A73" s="20" t="s">
        <v>55</v>
      </c>
      <c r="B73" s="28"/>
      <c r="C73" s="54">
        <f aca="true" t="shared" si="15" ref="C73:H73">C72+C32</f>
        <v>1676.2495280629923</v>
      </c>
      <c r="D73" s="54">
        <f t="shared" si="15"/>
        <v>1079.935091905512</v>
      </c>
      <c r="E73" s="54">
        <f t="shared" si="15"/>
        <v>1079.935091905512</v>
      </c>
      <c r="F73" s="54">
        <f t="shared" si="15"/>
        <v>1079.935091905512</v>
      </c>
      <c r="G73" s="54">
        <v>0</v>
      </c>
      <c r="H73" s="54">
        <v>0</v>
      </c>
    </row>
    <row r="74" spans="1:8" ht="21.75" customHeight="1" thickBot="1">
      <c r="A74" s="33" t="s">
        <v>56</v>
      </c>
      <c r="B74" s="34"/>
      <c r="C74" s="53">
        <f aca="true" t="shared" si="16" ref="C74:H74">C72*C30</f>
        <v>13808.994336755908</v>
      </c>
      <c r="D74" s="53">
        <f t="shared" si="16"/>
        <v>8823.061102866144</v>
      </c>
      <c r="E74" s="53">
        <f t="shared" si="16"/>
        <v>4411.530551433072</v>
      </c>
      <c r="F74" s="53">
        <f t="shared" si="16"/>
        <v>4411.530551433072</v>
      </c>
      <c r="G74" s="53">
        <f t="shared" si="16"/>
        <v>0</v>
      </c>
      <c r="H74" s="53">
        <f t="shared" si="16"/>
        <v>0</v>
      </c>
    </row>
    <row r="75" spans="1:8" ht="22.5" customHeight="1" thickBot="1">
      <c r="A75" s="20" t="s">
        <v>57</v>
      </c>
      <c r="B75" s="28"/>
      <c r="C75" s="54">
        <f aca="true" t="shared" si="17" ref="C75:H75">C73*C30</f>
        <v>20114.99433675591</v>
      </c>
      <c r="D75" s="54">
        <f t="shared" si="17"/>
        <v>12959.221102866144</v>
      </c>
      <c r="E75" s="54">
        <f t="shared" si="17"/>
        <v>6479.610551433072</v>
      </c>
      <c r="F75" s="54">
        <f t="shared" si="17"/>
        <v>6479.610551433072</v>
      </c>
      <c r="G75" s="54">
        <f t="shared" si="17"/>
        <v>0</v>
      </c>
      <c r="H75" s="54">
        <f t="shared" si="17"/>
        <v>0</v>
      </c>
    </row>
    <row r="76" spans="1:8" ht="22.5" customHeight="1">
      <c r="A76" s="108"/>
      <c r="B76" s="109"/>
      <c r="C76" s="110"/>
      <c r="D76" s="110"/>
      <c r="E76" s="110"/>
      <c r="F76" s="110"/>
      <c r="G76" s="110"/>
      <c r="H76" s="110"/>
    </row>
    <row r="77" spans="1:9" ht="15.75">
      <c r="A77" s="103"/>
      <c r="B77" s="104"/>
      <c r="C77" s="105"/>
      <c r="D77" s="105"/>
      <c r="E77" s="105"/>
      <c r="F77" s="105"/>
      <c r="G77" s="105"/>
      <c r="H77" s="105"/>
      <c r="I77" s="106"/>
    </row>
    <row r="78" spans="1:9" ht="16.5" thickBot="1">
      <c r="A78" s="103" t="s">
        <v>83</v>
      </c>
      <c r="B78" s="104"/>
      <c r="C78" s="105"/>
      <c r="D78" s="105"/>
      <c r="E78" s="105"/>
      <c r="F78" s="105"/>
      <c r="G78" s="105"/>
      <c r="H78" s="105"/>
      <c r="I78" s="106"/>
    </row>
    <row r="79" spans="1:9" ht="12.75">
      <c r="A79" s="76" t="s">
        <v>59</v>
      </c>
      <c r="B79" s="79"/>
      <c r="C79" s="70"/>
      <c r="D79" s="70"/>
      <c r="E79" s="70"/>
      <c r="F79" s="70"/>
      <c r="G79" s="70"/>
      <c r="H79" s="70"/>
      <c r="I79" s="80">
        <f>SUM(C75:F75)</f>
        <v>46033.4365424882</v>
      </c>
    </row>
    <row r="80" spans="1:9" ht="12.75">
      <c r="A80" s="72" t="s">
        <v>102</v>
      </c>
      <c r="B80" s="64"/>
      <c r="C80" s="87">
        <v>8450</v>
      </c>
      <c r="D80" s="87">
        <v>7575</v>
      </c>
      <c r="E80" s="87">
        <v>7575</v>
      </c>
      <c r="F80" s="87">
        <v>7575</v>
      </c>
      <c r="G80" s="87">
        <v>8450</v>
      </c>
      <c r="H80" s="87">
        <v>8450</v>
      </c>
      <c r="I80" s="73"/>
    </row>
    <row r="81" spans="1:9" ht="12.75">
      <c r="A81" t="s">
        <v>103</v>
      </c>
      <c r="B81" s="64"/>
      <c r="C81" s="87">
        <v>8450</v>
      </c>
      <c r="D81" s="87">
        <v>7575</v>
      </c>
      <c r="E81" s="87">
        <f>E80*0.85</f>
        <v>6438.75</v>
      </c>
      <c r="F81" s="87">
        <f>F80*0.85</f>
        <v>6438.75</v>
      </c>
      <c r="G81" s="87">
        <f>G80*0.85</f>
        <v>7182.5</v>
      </c>
      <c r="H81" s="87">
        <f>H80*0.85</f>
        <v>7182.5</v>
      </c>
      <c r="I81" s="73"/>
    </row>
    <row r="82" spans="1:9" ht="12.75">
      <c r="A82" s="81" t="s">
        <v>69</v>
      </c>
      <c r="B82" s="64"/>
      <c r="C82" s="107">
        <v>40000</v>
      </c>
      <c r="D82" s="87">
        <v>30000</v>
      </c>
      <c r="E82" s="87">
        <v>30000</v>
      </c>
      <c r="F82" s="87">
        <v>30000</v>
      </c>
      <c r="G82" s="107">
        <v>40000</v>
      </c>
      <c r="H82" s="107">
        <v>40000</v>
      </c>
      <c r="I82" s="82">
        <f>SUM(C82:H82)</f>
        <v>210000</v>
      </c>
    </row>
    <row r="83" spans="1:9" ht="12.75">
      <c r="A83" s="81" t="s">
        <v>98</v>
      </c>
      <c r="B83" s="64"/>
      <c r="C83" s="87">
        <f aca="true" t="shared" si="18" ref="C83:H83">C81*C$30</f>
        <v>101400</v>
      </c>
      <c r="D83" s="87">
        <f t="shared" si="18"/>
        <v>90900</v>
      </c>
      <c r="E83" s="87">
        <f t="shared" si="18"/>
        <v>38632.5</v>
      </c>
      <c r="F83" s="87">
        <f t="shared" si="18"/>
        <v>38632.5</v>
      </c>
      <c r="G83" s="87">
        <f t="shared" si="18"/>
        <v>71.825</v>
      </c>
      <c r="H83" s="87">
        <f t="shared" si="18"/>
        <v>71.825</v>
      </c>
      <c r="I83" s="82">
        <f>SUM(C83:H83)</f>
        <v>269708.65</v>
      </c>
    </row>
    <row r="84" spans="1:9" ht="12.75">
      <c r="A84" s="72" t="s">
        <v>99</v>
      </c>
      <c r="B84" s="65"/>
      <c r="C84" s="87">
        <f aca="true" t="shared" si="19" ref="C84:H84">SUM(C82:C83)+C75</f>
        <v>161514.99433675592</v>
      </c>
      <c r="D84" s="87">
        <f t="shared" si="19"/>
        <v>133859.22110286614</v>
      </c>
      <c r="E84" s="87">
        <f t="shared" si="19"/>
        <v>75112.11055143307</v>
      </c>
      <c r="F84" s="87">
        <f t="shared" si="19"/>
        <v>75112.11055143307</v>
      </c>
      <c r="G84" s="87">
        <f t="shared" si="19"/>
        <v>40071.825</v>
      </c>
      <c r="H84" s="87">
        <f t="shared" si="19"/>
        <v>40071.825</v>
      </c>
      <c r="I84" s="83"/>
    </row>
    <row r="85" spans="1:9" ht="12.75">
      <c r="A85" s="72"/>
      <c r="B85" s="78"/>
      <c r="C85" s="67"/>
      <c r="D85" s="67"/>
      <c r="E85" s="67"/>
      <c r="F85" s="67"/>
      <c r="G85" s="67"/>
      <c r="H85" s="67"/>
      <c r="I85" s="83"/>
    </row>
    <row r="86" spans="1:9" ht="16.5" thickBot="1">
      <c r="A86" s="94" t="s">
        <v>68</v>
      </c>
      <c r="B86" s="95"/>
      <c r="C86" s="96"/>
      <c r="D86" s="96"/>
      <c r="E86" s="96"/>
      <c r="F86" s="96"/>
      <c r="G86" s="96"/>
      <c r="H86" s="96"/>
      <c r="I86" s="97">
        <f>SUM(I79:I84)</f>
        <v>525742.0865424882</v>
      </c>
    </row>
    <row r="87" spans="1:9" ht="15.75">
      <c r="A87" s="103"/>
      <c r="B87" s="104"/>
      <c r="C87" s="105"/>
      <c r="D87" s="105"/>
      <c r="E87" s="105"/>
      <c r="F87" s="105"/>
      <c r="G87" s="105"/>
      <c r="H87" s="105"/>
      <c r="I87" s="106"/>
    </row>
    <row r="88" spans="1:9" ht="15.75">
      <c r="A88" s="103"/>
      <c r="B88" s="104"/>
      <c r="C88" s="105"/>
      <c r="D88" s="105"/>
      <c r="E88" s="105"/>
      <c r="F88" s="105"/>
      <c r="G88" s="105"/>
      <c r="H88" s="105"/>
      <c r="I88" s="106"/>
    </row>
    <row r="89" spans="1:9" ht="16.5" thickBot="1">
      <c r="A89" s="103" t="s">
        <v>91</v>
      </c>
      <c r="B89" s="104"/>
      <c r="C89" s="111" t="s">
        <v>85</v>
      </c>
      <c r="D89" s="112">
        <v>0.5</v>
      </c>
      <c r="I89" s="112">
        <v>0.25</v>
      </c>
    </row>
    <row r="90" spans="1:9" ht="12.75">
      <c r="A90" s="76" t="s">
        <v>59</v>
      </c>
      <c r="B90" s="79"/>
      <c r="C90" s="70"/>
      <c r="D90" s="70"/>
      <c r="E90" s="70"/>
      <c r="F90" s="70"/>
      <c r="G90" s="70"/>
      <c r="H90" s="70"/>
      <c r="I90" s="80">
        <f>SUM(C75:H75)*(1+I89)</f>
        <v>57541.79567811025</v>
      </c>
    </row>
    <row r="91" spans="1:9" ht="12.75">
      <c r="A91" s="72"/>
      <c r="B91" s="64"/>
      <c r="C91" s="63"/>
      <c r="D91" s="63"/>
      <c r="E91" s="63"/>
      <c r="F91" s="63"/>
      <c r="G91" s="63"/>
      <c r="H91" s="63"/>
      <c r="I91" s="73"/>
    </row>
    <row r="92" spans="1:11" ht="12.75">
      <c r="A92" s="72" t="s">
        <v>84</v>
      </c>
      <c r="B92" s="64"/>
      <c r="C92" s="87">
        <f aca="true" t="shared" si="20" ref="C92:H93">C81</f>
        <v>8450</v>
      </c>
      <c r="D92" s="87">
        <f t="shared" si="20"/>
        <v>7575</v>
      </c>
      <c r="E92" s="87">
        <f t="shared" si="20"/>
        <v>6438.75</v>
      </c>
      <c r="F92" s="87">
        <f t="shared" si="20"/>
        <v>6438.75</v>
      </c>
      <c r="G92" s="87">
        <f t="shared" si="20"/>
        <v>7182.5</v>
      </c>
      <c r="H92" s="87">
        <f t="shared" si="20"/>
        <v>7182.5</v>
      </c>
      <c r="I92" s="73"/>
      <c r="K92" t="s">
        <v>95</v>
      </c>
    </row>
    <row r="93" spans="1:9" ht="12.75">
      <c r="A93" s="81" t="s">
        <v>69</v>
      </c>
      <c r="B93" s="64"/>
      <c r="C93" s="107">
        <f t="shared" si="20"/>
        <v>40000</v>
      </c>
      <c r="D93" s="107">
        <f t="shared" si="20"/>
        <v>30000</v>
      </c>
      <c r="E93" s="107">
        <f t="shared" si="20"/>
        <v>30000</v>
      </c>
      <c r="F93" s="107">
        <f t="shared" si="20"/>
        <v>30000</v>
      </c>
      <c r="G93" s="151">
        <v>0</v>
      </c>
      <c r="H93" s="151">
        <v>0</v>
      </c>
      <c r="I93" s="82">
        <f>SUM(C93:H93)*(1+D89)</f>
        <v>195000</v>
      </c>
    </row>
    <row r="94" spans="1:9" ht="12.75">
      <c r="A94" s="81" t="s">
        <v>98</v>
      </c>
      <c r="B94" s="64"/>
      <c r="C94" s="87">
        <f aca="true" t="shared" si="21" ref="C94:H94">C92*C$30</f>
        <v>101400</v>
      </c>
      <c r="D94" s="87">
        <f t="shared" si="21"/>
        <v>90900</v>
      </c>
      <c r="E94" s="87">
        <f t="shared" si="21"/>
        <v>38632.5</v>
      </c>
      <c r="F94" s="87">
        <f t="shared" si="21"/>
        <v>38632.5</v>
      </c>
      <c r="G94" s="87">
        <v>0</v>
      </c>
      <c r="H94" s="87">
        <v>0</v>
      </c>
      <c r="I94" s="82">
        <f>SUM(C94:H94)*(1+I89)</f>
        <v>336956.25</v>
      </c>
    </row>
    <row r="95" spans="1:9" ht="12.75">
      <c r="A95" s="72" t="s">
        <v>99</v>
      </c>
      <c r="B95" s="65"/>
      <c r="C95" s="87">
        <f aca="true" t="shared" si="22" ref="C95:H95">SUM(C93:C94)+C$75</f>
        <v>161514.99433675592</v>
      </c>
      <c r="D95" s="87">
        <f t="shared" si="22"/>
        <v>133859.22110286614</v>
      </c>
      <c r="E95" s="87">
        <f t="shared" si="22"/>
        <v>75112.11055143307</v>
      </c>
      <c r="F95" s="87">
        <f t="shared" si="22"/>
        <v>75112.11055143307</v>
      </c>
      <c r="G95" s="87">
        <f t="shared" si="22"/>
        <v>0</v>
      </c>
      <c r="H95" s="87">
        <f t="shared" si="22"/>
        <v>0</v>
      </c>
      <c r="I95" s="83"/>
    </row>
    <row r="96" spans="1:9" ht="13.5" thickBot="1">
      <c r="A96" s="72"/>
      <c r="B96" s="78"/>
      <c r="C96" s="67"/>
      <c r="D96" s="67"/>
      <c r="E96" s="67"/>
      <c r="F96" s="67"/>
      <c r="G96" s="67"/>
      <c r="H96" s="67"/>
      <c r="I96" s="114"/>
    </row>
    <row r="97" spans="1:9" ht="16.5" thickBot="1">
      <c r="A97" s="94" t="s">
        <v>68</v>
      </c>
      <c r="B97" s="95"/>
      <c r="C97" s="96"/>
      <c r="D97" s="96"/>
      <c r="E97" s="96"/>
      <c r="F97" s="113"/>
      <c r="G97" s="113"/>
      <c r="H97" s="113"/>
      <c r="I97" s="115">
        <f>SUM(I90:I95)</f>
        <v>589498.0456781102</v>
      </c>
    </row>
    <row r="98" spans="1:9" ht="15.75">
      <c r="A98" s="103"/>
      <c r="B98" s="104"/>
      <c r="C98" s="105"/>
      <c r="D98" s="105"/>
      <c r="E98" s="105"/>
      <c r="F98" s="105"/>
      <c r="G98" s="105"/>
      <c r="H98" s="105"/>
      <c r="I98" s="106"/>
    </row>
    <row r="99" spans="2:9" ht="12.75">
      <c r="B99" s="9"/>
      <c r="C99" s="11"/>
      <c r="D99" s="11"/>
      <c r="E99" s="11"/>
      <c r="F99" s="11"/>
      <c r="G99" s="11"/>
      <c r="H99" s="11"/>
      <c r="I99" s="50"/>
    </row>
    <row r="100" spans="2:9" ht="13.5" thickBot="1">
      <c r="B100" s="9"/>
      <c r="C100" s="11"/>
      <c r="D100" s="11"/>
      <c r="E100" s="11"/>
      <c r="F100" s="11"/>
      <c r="G100" s="11"/>
      <c r="H100" s="11"/>
      <c r="I100" s="50"/>
    </row>
    <row r="101" spans="1:9" ht="12.75">
      <c r="A101" s="76" t="s">
        <v>73</v>
      </c>
      <c r="B101" s="69"/>
      <c r="C101" s="70"/>
      <c r="D101" s="70"/>
      <c r="E101" s="70"/>
      <c r="F101" s="70"/>
      <c r="G101" s="70"/>
      <c r="H101" s="70"/>
      <c r="I101" s="71"/>
    </row>
    <row r="102" spans="1:9" ht="12.75">
      <c r="A102" s="72" t="s">
        <v>104</v>
      </c>
      <c r="B102" s="65">
        <v>40</v>
      </c>
      <c r="C102" s="63"/>
      <c r="D102" s="63"/>
      <c r="E102" s="63"/>
      <c r="F102" s="63"/>
      <c r="G102" s="63"/>
      <c r="H102" s="63"/>
      <c r="I102" s="73"/>
    </row>
    <row r="103" spans="1:9" ht="12.75">
      <c r="A103" s="72" t="s">
        <v>107</v>
      </c>
      <c r="B103" s="65">
        <v>16.56</v>
      </c>
      <c r="C103" s="63"/>
      <c r="D103" s="63"/>
      <c r="E103" s="63"/>
      <c r="F103" s="63"/>
      <c r="G103" s="63"/>
      <c r="H103" s="63"/>
      <c r="I103" s="73"/>
    </row>
    <row r="104" spans="1:9" ht="12.75">
      <c r="A104" s="72" t="s">
        <v>117</v>
      </c>
      <c r="B104" s="66"/>
      <c r="C104" s="66">
        <f aca="true" t="shared" si="23" ref="C104:H104">$B$103*C17*$B$102</f>
        <v>3058.6319999999996</v>
      </c>
      <c r="D104" s="66">
        <f t="shared" si="23"/>
        <v>2038.536</v>
      </c>
      <c r="E104" s="66">
        <f t="shared" si="23"/>
        <v>2038.536</v>
      </c>
      <c r="F104" s="66">
        <f t="shared" si="23"/>
        <v>2038.536</v>
      </c>
      <c r="G104" s="66">
        <f t="shared" si="23"/>
        <v>3058.6319999999996</v>
      </c>
      <c r="H104" s="66">
        <f t="shared" si="23"/>
        <v>3058.6319999999996</v>
      </c>
      <c r="I104" s="73"/>
    </row>
    <row r="105" spans="1:9" ht="12.75">
      <c r="A105" s="72" t="s">
        <v>111</v>
      </c>
      <c r="B105" s="66"/>
      <c r="C105" s="67">
        <f aca="true" t="shared" si="24" ref="C105:H105">C104*C30</f>
        <v>36703.583999999995</v>
      </c>
      <c r="D105" s="67">
        <f t="shared" si="24"/>
        <v>24462.432</v>
      </c>
      <c r="E105" s="67">
        <f t="shared" si="24"/>
        <v>12231.216</v>
      </c>
      <c r="F105" s="67">
        <f t="shared" si="24"/>
        <v>12231.216</v>
      </c>
      <c r="G105" s="67">
        <f t="shared" si="24"/>
        <v>30.586319999999997</v>
      </c>
      <c r="H105" s="67">
        <f t="shared" si="24"/>
        <v>30.586319999999997</v>
      </c>
      <c r="I105" s="73"/>
    </row>
    <row r="106" spans="1:9" ht="12.75">
      <c r="A106" s="72" t="s">
        <v>108</v>
      </c>
      <c r="B106" s="68">
        <f>85*4</f>
        <v>340</v>
      </c>
      <c r="C106" s="67"/>
      <c r="D106" s="67"/>
      <c r="E106" s="67"/>
      <c r="F106" s="67"/>
      <c r="G106" s="67"/>
      <c r="H106" s="67"/>
      <c r="I106" s="73"/>
    </row>
    <row r="107" spans="1:9" ht="12.75">
      <c r="A107" s="72" t="s">
        <v>109</v>
      </c>
      <c r="B107" s="68"/>
      <c r="C107" s="67">
        <f>$B$106*C17</f>
        <v>1569.9499999999998</v>
      </c>
      <c r="D107" s="67">
        <f>$B$106*D17</f>
        <v>1046.3500000000001</v>
      </c>
      <c r="E107" s="67">
        <f>$B$106*E17</f>
        <v>1046.3500000000001</v>
      </c>
      <c r="F107" s="67">
        <f>$B$106*F17</f>
        <v>1046.3500000000001</v>
      </c>
      <c r="G107" s="67">
        <f>$B$106*G17</f>
        <v>1569.9499999999998</v>
      </c>
      <c r="H107" s="67">
        <f>$B$106*H17</f>
        <v>1569.9499999999998</v>
      </c>
      <c r="I107" s="73"/>
    </row>
    <row r="108" spans="1:9" ht="12.75">
      <c r="A108" s="72" t="s">
        <v>112</v>
      </c>
      <c r="B108" s="68"/>
      <c r="C108" s="67">
        <f>C107*C30</f>
        <v>18839.399999999998</v>
      </c>
      <c r="D108" s="67">
        <f>D107*D30</f>
        <v>12556.2</v>
      </c>
      <c r="E108" s="67">
        <f>E107*E30</f>
        <v>6278.1</v>
      </c>
      <c r="F108" s="67">
        <f>F107*F30</f>
        <v>6278.1</v>
      </c>
      <c r="G108" s="67">
        <f>G107*G30</f>
        <v>15.699499999999999</v>
      </c>
      <c r="H108" s="67">
        <f>H107*H30</f>
        <v>15.699499999999999</v>
      </c>
      <c r="I108" s="73"/>
    </row>
    <row r="109" spans="1:9" ht="12.75">
      <c r="A109" s="72" t="s">
        <v>113</v>
      </c>
      <c r="B109" s="64"/>
      <c r="C109" s="67">
        <f>C108+C105</f>
        <v>55542.984</v>
      </c>
      <c r="D109" s="67">
        <f>D108+D105</f>
        <v>37018.632</v>
      </c>
      <c r="E109" s="67">
        <f>E108+E105</f>
        <v>18509.316</v>
      </c>
      <c r="F109" s="67">
        <f>F108+F105</f>
        <v>18509.316</v>
      </c>
      <c r="G109" s="67">
        <f>G108+G105</f>
        <v>46.285819999999994</v>
      </c>
      <c r="H109" s="67">
        <f>H108+H105</f>
        <v>46.285819999999994</v>
      </c>
      <c r="I109" s="73"/>
    </row>
    <row r="110" spans="1:10" ht="12.75">
      <c r="A110" s="72" t="s">
        <v>113</v>
      </c>
      <c r="B110" s="85"/>
      <c r="C110" s="67">
        <f>C109+C106</f>
        <v>55542.984</v>
      </c>
      <c r="D110" s="67">
        <f>D109+D106</f>
        <v>37018.632</v>
      </c>
      <c r="E110" s="67">
        <f>E109+E106</f>
        <v>18509.316</v>
      </c>
      <c r="F110" s="67">
        <f>F109+F106</f>
        <v>18509.316</v>
      </c>
      <c r="G110" s="67">
        <v>0</v>
      </c>
      <c r="H110" s="67">
        <v>0</v>
      </c>
      <c r="I110" s="86">
        <f>SUM(C109:H109)</f>
        <v>129672.81964</v>
      </c>
      <c r="J110" s="119">
        <v>0.5</v>
      </c>
    </row>
    <row r="111" spans="1:10" ht="12.75">
      <c r="A111" s="81" t="s">
        <v>114</v>
      </c>
      <c r="B111" s="77"/>
      <c r="C111" s="87">
        <f>(C107+C104)/4</f>
        <v>1157.1454999999999</v>
      </c>
      <c r="D111" s="87">
        <f>(D107+D104)/4</f>
        <v>771.2215000000001</v>
      </c>
      <c r="E111" s="87">
        <f>(E107+E104)/4</f>
        <v>771.2215000000001</v>
      </c>
      <c r="F111" s="87">
        <f>(F107+F104)/4</f>
        <v>771.2215000000001</v>
      </c>
      <c r="G111" s="87">
        <f>(G107+G104)/4</f>
        <v>1157.1454999999999</v>
      </c>
      <c r="H111" s="87">
        <f>(H107+H104)/4</f>
        <v>1157.1454999999999</v>
      </c>
      <c r="I111" s="82"/>
      <c r="J111" s="119"/>
    </row>
    <row r="112" spans="1:10" ht="12.75">
      <c r="A112" s="88" t="s">
        <v>74</v>
      </c>
      <c r="B112" s="64"/>
      <c r="C112" s="63">
        <v>18</v>
      </c>
      <c r="D112" s="63">
        <v>18</v>
      </c>
      <c r="E112" s="63">
        <v>18</v>
      </c>
      <c r="F112" s="63">
        <v>18</v>
      </c>
      <c r="G112" s="63">
        <v>18</v>
      </c>
      <c r="H112" s="63">
        <v>18</v>
      </c>
      <c r="I112" s="89"/>
      <c r="J112" s="119"/>
    </row>
    <row r="113" spans="1:10" ht="13.5" thickBot="1">
      <c r="A113" s="140" t="s">
        <v>116</v>
      </c>
      <c r="B113" s="141"/>
      <c r="C113" s="84">
        <f>C112*4*C17*1.5</f>
        <v>498.68999999999994</v>
      </c>
      <c r="D113" s="84">
        <f>D112*4*D17*1.5</f>
        <v>332.37</v>
      </c>
      <c r="E113" s="84">
        <f>E112*4*E17*1.5</f>
        <v>332.37</v>
      </c>
      <c r="F113" s="84">
        <f>F112*4*F17*1.5</f>
        <v>332.37</v>
      </c>
      <c r="G113" s="84">
        <f>G112*4*G17*1.5</f>
        <v>498.68999999999994</v>
      </c>
      <c r="H113" s="84">
        <f>H112*4*H17*1.5</f>
        <v>498.68999999999994</v>
      </c>
      <c r="I113" s="142"/>
      <c r="J113" s="119"/>
    </row>
    <row r="114" spans="1:10" ht="13.5" thickBot="1">
      <c r="A114" s="90" t="s">
        <v>115</v>
      </c>
      <c r="B114" s="74"/>
      <c r="C114" s="84">
        <f>(C113+C111)*C30</f>
        <v>19870.025999999998</v>
      </c>
      <c r="D114" s="84">
        <f>(D113+D111)*D30</f>
        <v>13243.098</v>
      </c>
      <c r="E114" s="84">
        <f>(E113+E111)*E30</f>
        <v>6621.549</v>
      </c>
      <c r="F114" s="84">
        <f>(F113+F111)*F30</f>
        <v>6621.549</v>
      </c>
      <c r="G114" s="84">
        <f>(G113+G111)*G30</f>
        <v>16.558355</v>
      </c>
      <c r="H114" s="84">
        <f>(H113+H111)*H30</f>
        <v>16.558355</v>
      </c>
      <c r="I114" s="75">
        <f>SUM(C114:H114)</f>
        <v>46389.338709999996</v>
      </c>
      <c r="J114" s="119">
        <v>0.5</v>
      </c>
    </row>
    <row r="115" spans="1:10" ht="13.5" thickBot="1">
      <c r="A115" s="126" t="s">
        <v>92</v>
      </c>
      <c r="B115" s="127"/>
      <c r="C115" s="128">
        <v>5700</v>
      </c>
      <c r="D115" s="128">
        <v>3800</v>
      </c>
      <c r="E115" s="128">
        <v>3800</v>
      </c>
      <c r="F115" s="128">
        <v>3800</v>
      </c>
      <c r="G115" s="152">
        <v>0</v>
      </c>
      <c r="H115" s="152">
        <v>0</v>
      </c>
      <c r="I115" s="129">
        <f>SUM(C115:H115)</f>
        <v>17100</v>
      </c>
      <c r="J115" s="119">
        <v>0.5</v>
      </c>
    </row>
    <row r="116" spans="1:10" ht="13.5" thickBot="1">
      <c r="A116" s="126" t="s">
        <v>94</v>
      </c>
      <c r="B116" s="127"/>
      <c r="C116" s="128">
        <v>3000</v>
      </c>
      <c r="D116" s="128">
        <f>C116</f>
        <v>3000</v>
      </c>
      <c r="E116" s="128">
        <f>D116</f>
        <v>3000</v>
      </c>
      <c r="F116" s="128">
        <f>E116</f>
        <v>3000</v>
      </c>
      <c r="G116" s="152">
        <v>0</v>
      </c>
      <c r="H116" s="152">
        <v>0</v>
      </c>
      <c r="I116" s="129">
        <f>SUM(C116:H116)</f>
        <v>12000</v>
      </c>
      <c r="J116" s="119">
        <v>0.5</v>
      </c>
    </row>
    <row r="117" spans="1:9" ht="15.75" thickBot="1">
      <c r="A117" s="116" t="s">
        <v>75</v>
      </c>
      <c r="B117" s="92"/>
      <c r="C117" s="93"/>
      <c r="D117" s="93"/>
      <c r="E117" s="93"/>
      <c r="F117" s="93"/>
      <c r="G117" s="93"/>
      <c r="H117" s="93"/>
      <c r="I117" s="120">
        <f>SUM(I110:I116)</f>
        <v>205162.15834999998</v>
      </c>
    </row>
    <row r="118" spans="1:9" ht="16.5" thickBot="1">
      <c r="A118" s="116" t="s">
        <v>110</v>
      </c>
      <c r="B118" s="118"/>
      <c r="C118" s="117"/>
      <c r="D118" s="117"/>
      <c r="E118" s="117"/>
      <c r="F118" s="117"/>
      <c r="G118" s="117"/>
      <c r="H118" s="117"/>
      <c r="I118" s="115">
        <f>I110*(1+J110)+I114*(1+J114)+I115*(1+J115)+I116*(1+J116)</f>
        <v>307743.237525</v>
      </c>
    </row>
    <row r="119" ht="8.25" customHeight="1"/>
    <row r="120" ht="9" customHeight="1" thickBot="1"/>
    <row r="121" spans="1:9" ht="21" customHeight="1">
      <c r="A121" s="76" t="s">
        <v>76</v>
      </c>
      <c r="B121" s="79"/>
      <c r="C121" s="70"/>
      <c r="D121" s="70"/>
      <c r="E121" s="70"/>
      <c r="F121" s="70"/>
      <c r="G121" s="132"/>
      <c r="H121" s="132"/>
      <c r="I121" s="71"/>
    </row>
    <row r="122" spans="1:9" ht="15.75" thickBot="1">
      <c r="A122" s="121" t="s">
        <v>90</v>
      </c>
      <c r="B122" s="122"/>
      <c r="C122" s="99">
        <v>20</v>
      </c>
      <c r="D122" s="99">
        <v>20</v>
      </c>
      <c r="E122" s="99">
        <v>20</v>
      </c>
      <c r="F122" s="99">
        <v>20</v>
      </c>
      <c r="G122" s="153">
        <v>0</v>
      </c>
      <c r="H122" s="153">
        <v>0</v>
      </c>
      <c r="I122" s="123"/>
    </row>
    <row r="123" spans="1:9" ht="15.75" thickBot="1">
      <c r="A123" s="130" t="s">
        <v>93</v>
      </c>
      <c r="B123" s="122"/>
      <c r="C123" s="99">
        <v>6</v>
      </c>
      <c r="D123" s="99">
        <v>6</v>
      </c>
      <c r="E123" s="99">
        <v>6</v>
      </c>
      <c r="F123" s="99">
        <v>6</v>
      </c>
      <c r="G123" s="99">
        <v>6</v>
      </c>
      <c r="H123" s="99">
        <v>6</v>
      </c>
      <c r="I123" s="123"/>
    </row>
    <row r="124" spans="1:9" ht="15.75" thickBot="1">
      <c r="A124" s="72" t="s">
        <v>77</v>
      </c>
      <c r="B124" s="64"/>
      <c r="C124" s="99">
        <v>1</v>
      </c>
      <c r="D124" s="99">
        <v>1</v>
      </c>
      <c r="E124" s="99">
        <v>1</v>
      </c>
      <c r="F124" s="99">
        <v>1</v>
      </c>
      <c r="G124" s="99">
        <v>1</v>
      </c>
      <c r="H124" s="99">
        <v>1</v>
      </c>
      <c r="I124" s="73"/>
    </row>
    <row r="125" spans="1:9" ht="15.75" thickBot="1">
      <c r="A125" s="72" t="s">
        <v>78</v>
      </c>
      <c r="B125" s="64"/>
      <c r="C125" s="99">
        <f>C124*C17*1.5</f>
        <v>6.92625</v>
      </c>
      <c r="D125" s="99">
        <f>D124*D17*1.5</f>
        <v>4.61625</v>
      </c>
      <c r="E125" s="99">
        <f>E124*E17*1.5</f>
        <v>4.61625</v>
      </c>
      <c r="F125" s="99">
        <f>F124*F17*1.5</f>
        <v>4.61625</v>
      </c>
      <c r="G125" s="99">
        <f>G124*G17*1.5</f>
        <v>6.92625</v>
      </c>
      <c r="H125" s="99">
        <f>H124*H17*1.5</f>
        <v>6.92625</v>
      </c>
      <c r="I125" s="73"/>
    </row>
    <row r="126" spans="1:9" ht="15.75" thickBot="1">
      <c r="A126" s="72" t="s">
        <v>79</v>
      </c>
      <c r="B126" s="64"/>
      <c r="C126" s="99">
        <v>6</v>
      </c>
      <c r="D126" s="99">
        <v>6</v>
      </c>
      <c r="E126" s="99">
        <v>6</v>
      </c>
      <c r="F126" s="99">
        <v>6</v>
      </c>
      <c r="G126" s="99">
        <v>6</v>
      </c>
      <c r="H126" s="99">
        <v>6</v>
      </c>
      <c r="I126" s="73"/>
    </row>
    <row r="127" spans="1:9" ht="15.75" thickBot="1">
      <c r="A127" s="72" t="s">
        <v>89</v>
      </c>
      <c r="B127" s="64"/>
      <c r="C127" s="99">
        <f aca="true" t="shared" si="25" ref="C127:H127">C128*0.75/2</f>
        <v>185.33625</v>
      </c>
      <c r="D127" s="99">
        <f t="shared" si="25"/>
        <v>164.54625000000001</v>
      </c>
      <c r="E127" s="99">
        <f t="shared" si="25"/>
        <v>89.77312500000001</v>
      </c>
      <c r="F127" s="99">
        <f t="shared" si="25"/>
        <v>89.77312500000001</v>
      </c>
      <c r="G127" s="99">
        <f t="shared" si="25"/>
        <v>0</v>
      </c>
      <c r="H127" s="99">
        <f t="shared" si="25"/>
        <v>0</v>
      </c>
      <c r="I127" s="124"/>
    </row>
    <row r="128" spans="1:9" ht="16.5" thickBot="1">
      <c r="A128" s="100" t="s">
        <v>80</v>
      </c>
      <c r="B128" s="101"/>
      <c r="C128" s="99">
        <f>(C122+(C126+C125+C123)*C$30)*2</f>
        <v>494.23</v>
      </c>
      <c r="D128" s="99">
        <f>(D122+(D126+D125+D123)*D$30)*2</f>
        <v>438.79</v>
      </c>
      <c r="E128" s="99">
        <f>(E122+(E126+E125+E123)*E$30)*2</f>
        <v>239.395</v>
      </c>
      <c r="F128" s="99">
        <f>(F122+(F126+F125+F123)*F$30)*2</f>
        <v>239.395</v>
      </c>
      <c r="G128" s="99">
        <v>0</v>
      </c>
      <c r="H128" s="99">
        <v>0</v>
      </c>
      <c r="I128" s="150">
        <f>SUM(C128:H128)</f>
        <v>1411.81</v>
      </c>
    </row>
    <row r="129" spans="1:9" ht="16.5" thickBot="1">
      <c r="A129" s="72" t="s">
        <v>86</v>
      </c>
      <c r="B129" s="101"/>
      <c r="C129" s="99">
        <v>20</v>
      </c>
      <c r="D129" s="99">
        <v>20</v>
      </c>
      <c r="E129" s="99">
        <v>20</v>
      </c>
      <c r="F129" s="99">
        <v>20</v>
      </c>
      <c r="G129" s="153">
        <v>0</v>
      </c>
      <c r="H129" s="153">
        <v>0</v>
      </c>
      <c r="I129" s="125"/>
    </row>
    <row r="130" spans="1:9" ht="16.5" thickBot="1">
      <c r="A130" s="72" t="s">
        <v>87</v>
      </c>
      <c r="B130" s="101"/>
      <c r="C130" s="99">
        <v>20</v>
      </c>
      <c r="D130" s="99">
        <v>20</v>
      </c>
      <c r="E130" s="99">
        <v>20</v>
      </c>
      <c r="F130" s="99">
        <v>20</v>
      </c>
      <c r="G130" s="153">
        <v>0</v>
      </c>
      <c r="H130" s="153">
        <v>0</v>
      </c>
      <c r="I130" s="102"/>
    </row>
    <row r="131" spans="1:9" ht="16.5" thickBot="1">
      <c r="A131" s="72" t="s">
        <v>88</v>
      </c>
      <c r="B131" s="101"/>
      <c r="C131" s="99">
        <v>2</v>
      </c>
      <c r="D131" s="99">
        <v>2</v>
      </c>
      <c r="E131" s="99">
        <v>2</v>
      </c>
      <c r="F131" s="99">
        <v>2</v>
      </c>
      <c r="G131" s="99">
        <v>2</v>
      </c>
      <c r="H131" s="99">
        <v>2</v>
      </c>
      <c r="I131" s="102"/>
    </row>
    <row r="132" spans="1:9" ht="15.75" thickBot="1">
      <c r="A132" s="72" t="s">
        <v>81</v>
      </c>
      <c r="B132" s="64"/>
      <c r="C132" s="99">
        <v>4</v>
      </c>
      <c r="D132" s="99">
        <v>4</v>
      </c>
      <c r="E132" s="99">
        <v>4</v>
      </c>
      <c r="F132" s="99">
        <v>4</v>
      </c>
      <c r="G132" s="99">
        <v>4</v>
      </c>
      <c r="H132" s="99">
        <v>4</v>
      </c>
      <c r="I132" s="124"/>
    </row>
    <row r="133" spans="1:9" ht="16.5" thickBot="1">
      <c r="A133" s="94" t="s">
        <v>82</v>
      </c>
      <c r="B133" s="98"/>
      <c r="C133" s="99">
        <f>C132*C$30*2+C130+C129+C127</f>
        <v>321.33625</v>
      </c>
      <c r="D133" s="99">
        <f>D132*D$30*2+D130+D129+D127</f>
        <v>300.54625</v>
      </c>
      <c r="E133" s="99">
        <f>E132*E$30*2+E130+E129+E127</f>
        <v>177.773125</v>
      </c>
      <c r="F133" s="99">
        <f>F132*F$30*2+F130+F129+F127</f>
        <v>177.773125</v>
      </c>
      <c r="G133" s="99">
        <v>0</v>
      </c>
      <c r="H133" s="99">
        <v>0</v>
      </c>
      <c r="I133" s="150">
        <f>SUM(C133:H133)</f>
        <v>977.4287499999998</v>
      </c>
    </row>
    <row r="136" spans="2:11" ht="12.75" hidden="1">
      <c r="B136">
        <v>1849</v>
      </c>
      <c r="C136" s="4">
        <v>144</v>
      </c>
      <c r="E136" s="4">
        <f>SUM(A136:D136)</f>
        <v>1993</v>
      </c>
      <c r="I136">
        <f>E136*K136</f>
        <v>161433</v>
      </c>
      <c r="K136">
        <v>81</v>
      </c>
    </row>
    <row r="137" spans="1:11" ht="12.75" hidden="1">
      <c r="A137">
        <v>632</v>
      </c>
      <c r="B137">
        <v>1934</v>
      </c>
      <c r="C137" s="4">
        <v>192</v>
      </c>
      <c r="D137" s="4">
        <v>940</v>
      </c>
      <c r="E137" s="4">
        <f>SUM(A137:D137)</f>
        <v>3698</v>
      </c>
      <c r="I137">
        <f>E137*K137</f>
        <v>628660</v>
      </c>
      <c r="K137">
        <v>170</v>
      </c>
    </row>
    <row r="138" ht="12.75" hidden="1">
      <c r="I138" s="50">
        <f>I137+I118+I97+I136</f>
        <v>1687334.28320311</v>
      </c>
    </row>
    <row r="139" ht="13.5" thickBot="1"/>
    <row r="140" spans="1:9" ht="16.5" thickBot="1">
      <c r="A140" s="143" t="s">
        <v>118</v>
      </c>
      <c r="B140" s="143"/>
      <c r="C140" s="144">
        <f>I128/80</f>
        <v>17.647624999999998</v>
      </c>
      <c r="D140" s="145"/>
      <c r="E140" s="145"/>
      <c r="F140" s="145"/>
      <c r="G140" s="146" t="s">
        <v>122</v>
      </c>
      <c r="H140" s="146"/>
      <c r="I140" s="149">
        <f>I118+I97</f>
        <v>897241.2832031102</v>
      </c>
    </row>
    <row r="141" spans="1:9" ht="15">
      <c r="A141" s="143" t="s">
        <v>119</v>
      </c>
      <c r="B141" s="143"/>
      <c r="C141" s="144">
        <f>C140/2</f>
        <v>8.823812499999999</v>
      </c>
      <c r="D141" s="145"/>
      <c r="E141" s="145"/>
      <c r="F141" s="145"/>
      <c r="G141" s="145"/>
      <c r="H141" s="145"/>
      <c r="I141" s="143"/>
    </row>
    <row r="142" spans="1:9" ht="15">
      <c r="A142" s="143" t="s">
        <v>120</v>
      </c>
      <c r="B142" s="143"/>
      <c r="C142" s="144">
        <f>C141/2</f>
        <v>4.4119062499999995</v>
      </c>
      <c r="D142" s="145"/>
      <c r="E142" s="145"/>
      <c r="F142" s="145"/>
      <c r="G142" s="145" t="s">
        <v>105</v>
      </c>
      <c r="H142" s="145"/>
      <c r="I142" s="147">
        <f>I133+I128</f>
        <v>2389.2387499999995</v>
      </c>
    </row>
    <row r="143" spans="1:9" ht="15">
      <c r="A143" s="143"/>
      <c r="B143" s="143"/>
      <c r="C143" s="145"/>
      <c r="D143" s="145"/>
      <c r="E143" s="145"/>
      <c r="F143" s="145"/>
      <c r="G143" s="145" t="s">
        <v>123</v>
      </c>
      <c r="H143" s="145"/>
      <c r="I143" s="148">
        <v>85</v>
      </c>
    </row>
    <row r="144" spans="1:9" ht="15.75" thickBot="1">
      <c r="A144" s="143"/>
      <c r="B144" s="143"/>
      <c r="C144" s="145"/>
      <c r="D144" s="145"/>
      <c r="E144" s="145"/>
      <c r="F144" s="145"/>
      <c r="G144" s="145" t="s">
        <v>124</v>
      </c>
      <c r="H144" s="145"/>
      <c r="I144" s="148">
        <v>160</v>
      </c>
    </row>
    <row r="145" spans="1:9" ht="16.5" thickBot="1">
      <c r="A145" s="143"/>
      <c r="B145" s="143"/>
      <c r="C145" s="145"/>
      <c r="D145" s="145"/>
      <c r="E145" s="145"/>
      <c r="F145" s="145"/>
      <c r="G145" s="146" t="s">
        <v>121</v>
      </c>
      <c r="H145" s="146"/>
      <c r="I145" s="149">
        <f>I128*I143+I133*I144</f>
        <v>276392.44999999995</v>
      </c>
    </row>
    <row r="146" spans="1:9" ht="15.75" thickBot="1">
      <c r="A146" s="143"/>
      <c r="B146" s="143"/>
      <c r="C146" s="145"/>
      <c r="D146" s="145"/>
      <c r="E146" s="145"/>
      <c r="F146" s="145"/>
      <c r="G146" s="145"/>
      <c r="H146" s="145"/>
      <c r="I146" s="143"/>
    </row>
    <row r="147" spans="1:9" ht="16.5" thickBot="1">
      <c r="A147" s="143"/>
      <c r="B147" s="143"/>
      <c r="C147" s="145"/>
      <c r="D147" s="145"/>
      <c r="E147" s="145"/>
      <c r="F147" s="145"/>
      <c r="G147" s="146" t="s">
        <v>106</v>
      </c>
      <c r="H147" s="146"/>
      <c r="I147" s="149">
        <f>I145+I140</f>
        <v>1173633.7332031103</v>
      </c>
    </row>
    <row r="148" spans="1:9" ht="15">
      <c r="A148" s="143"/>
      <c r="B148" s="143"/>
      <c r="C148" s="145"/>
      <c r="D148" s="145"/>
      <c r="E148" s="145"/>
      <c r="F148" s="145"/>
      <c r="G148" s="145"/>
      <c r="H148" s="145"/>
      <c r="I148" s="143"/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2008-01-07T20:20:12Z</cp:lastPrinted>
  <dcterms:created xsi:type="dcterms:W3CDTF">2001-10-24T18:11:20Z</dcterms:created>
  <dcterms:modified xsi:type="dcterms:W3CDTF">2008-01-09T17:21:20Z</dcterms:modified>
  <cp:category/>
  <cp:version/>
  <cp:contentType/>
  <cp:contentStatus/>
</cp:coreProperties>
</file>