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15" windowHeight="12975" tabRatio="186" activeTab="0"/>
  </bookViews>
  <sheets>
    <sheet name="M&amp;S" sheetId="1" r:id="rId1"/>
  </sheets>
  <definedNames>
    <definedName name="_xlnm.Print_Area" localSheetId="0">'M&amp;S'!$A$8:$I$134</definedName>
  </definedNames>
  <calcPr fullCalcOnLoad="1"/>
</workbook>
</file>

<file path=xl/sharedStrings.xml><?xml version="1.0" encoding="utf-8"?>
<sst xmlns="http://schemas.openxmlformats.org/spreadsheetml/2006/main" count="184" uniqueCount="125">
  <si>
    <t>multiplier</t>
  </si>
  <si>
    <t>$</t>
  </si>
  <si>
    <t>m/m</t>
  </si>
  <si>
    <t>turn ins.  Tape Thickness</t>
  </si>
  <si>
    <t>mm</t>
  </si>
  <si>
    <t>No. half lapped layers</t>
  </si>
  <si>
    <t>#</t>
  </si>
  <si>
    <t>meters of ins. /roll</t>
  </si>
  <si>
    <t>m</t>
  </si>
  <si>
    <t>no. rolls/coil</t>
  </si>
  <si>
    <t>insulation waste factor</t>
  </si>
  <si>
    <t>turn insulation cost per roll</t>
  </si>
  <si>
    <t>$/roll</t>
  </si>
  <si>
    <t>ground wall tape thickness</t>
  </si>
  <si>
    <t>total ground wall thick.</t>
  </si>
  <si>
    <t>ground wall tape width</t>
  </si>
  <si>
    <t>cm</t>
  </si>
  <si>
    <t>gw tape length reqd.</t>
  </si>
  <si>
    <t>GW tape cost per roll</t>
  </si>
  <si>
    <t>Epoxy volume reqd. (15% void fraction)</t>
  </si>
  <si>
    <t>l</t>
  </si>
  <si>
    <t>Epoxy cost/liter</t>
  </si>
  <si>
    <t>$/l</t>
  </si>
  <si>
    <t>$/kg</t>
  </si>
  <si>
    <t>Cu density</t>
  </si>
  <si>
    <t>radius</t>
  </si>
  <si>
    <t xml:space="preserve">m </t>
  </si>
  <si>
    <t>bundle dr</t>
  </si>
  <si>
    <t>bundle dz</t>
  </si>
  <si>
    <t>no. of turns</t>
  </si>
  <si>
    <t>packing fraction</t>
  </si>
  <si>
    <t>kg</t>
  </si>
  <si>
    <t>length per turn</t>
  </si>
  <si>
    <t>total length of cu per coil</t>
  </si>
  <si>
    <t>turn height</t>
  </si>
  <si>
    <t>turn width</t>
  </si>
  <si>
    <t>coolant hole dia.</t>
  </si>
  <si>
    <t>corner radii</t>
  </si>
  <si>
    <t>conductor area</t>
  </si>
  <si>
    <t>mm^2</t>
  </si>
  <si>
    <t>misc matl -$ per lb of Cu in coils</t>
  </si>
  <si>
    <t>calculated coil Cu wt.</t>
  </si>
  <si>
    <t>glass insul width</t>
  </si>
  <si>
    <t>turn insul.:  length/meter of cond./layer</t>
  </si>
  <si>
    <t>turn insul. length/meter of cond./layer</t>
  </si>
  <si>
    <t>II.  Materials M&amp;S</t>
  </si>
  <si>
    <t>Number of Coils</t>
  </si>
  <si>
    <t>Trim1</t>
  </si>
  <si>
    <t>total rolls of turn ins. reqd N Coils</t>
  </si>
  <si>
    <t>no. rolls of GW insulation, for all coils</t>
  </si>
  <si>
    <t>turn insulation cost per coil</t>
  </si>
  <si>
    <t>GW insulation cost per coil</t>
  </si>
  <si>
    <t>Epoxy cost per coil</t>
  </si>
  <si>
    <t>copper cost per coil</t>
  </si>
  <si>
    <t>Material Costs Inuslation per Coil</t>
  </si>
  <si>
    <t>Material Cost Including Copper Condutor per Coil</t>
  </si>
  <si>
    <t>Material Costs Inuslation Total</t>
  </si>
  <si>
    <t>Material Cost Including Copper Condutor Total</t>
  </si>
  <si>
    <t>Trim2</t>
  </si>
  <si>
    <t>Total Material Cost All Trim Coils</t>
  </si>
  <si>
    <t>total rolls of turn ins. reqd.per coil</t>
  </si>
  <si>
    <t>Trim Coil Material Estimate</t>
  </si>
  <si>
    <t>Winding geometry</t>
  </si>
  <si>
    <t xml:space="preserve"> insul width</t>
  </si>
  <si>
    <t>Length of Kapton</t>
  </si>
  <si>
    <t>Cost per Meter of Kapton</t>
  </si>
  <si>
    <t>$/m</t>
  </si>
  <si>
    <t>Kapton Cost per Coil</t>
  </si>
  <si>
    <t>Total Cost All Coils</t>
  </si>
  <si>
    <t>Total Cost for Fixtures</t>
  </si>
  <si>
    <t>Trim3</t>
  </si>
  <si>
    <t>Trim4</t>
  </si>
  <si>
    <t>Copper Cost Per Meter</t>
  </si>
  <si>
    <t>Installation Hardware</t>
  </si>
  <si>
    <t>Hardware Cost per 3/8 Bolt (Inconnel)</t>
  </si>
  <si>
    <t>Cost for Hardware</t>
  </si>
  <si>
    <t>Installation Man Hour Estimate</t>
  </si>
  <si>
    <t>Hours per bracket</t>
  </si>
  <si>
    <t>Hours per coil for brackets</t>
  </si>
  <si>
    <t>Hours per coil for coil Installation</t>
  </si>
  <si>
    <t>Total Hours for Tech (2 work at once)</t>
  </si>
  <si>
    <t>Hours to Measure Coil Location per Coil</t>
  </si>
  <si>
    <t>Total Hours for post Installation Metrology (2 Eng.)</t>
  </si>
  <si>
    <t>Everson Budgetary Estimate</t>
  </si>
  <si>
    <t>Manufacturing Cost from Everson Budgetary Estimate</t>
  </si>
  <si>
    <t>Fixtures =</t>
  </si>
  <si>
    <t>Determine Metrology Procedure and Setup</t>
  </si>
  <si>
    <t>Interpret Results and Report</t>
  </si>
  <si>
    <t>Charicterize Coils Before Assembly</t>
  </si>
  <si>
    <t>Metrology for bracket installation</t>
  </si>
  <si>
    <t>Tooling / Training / Preperation</t>
  </si>
  <si>
    <r>
      <t xml:space="preserve">Everson Budgetary Estimate </t>
    </r>
    <r>
      <rPr>
        <b/>
        <sz val="10"/>
        <rFont val="Arial"/>
        <family val="2"/>
      </rPr>
      <t>(adjusted for uncertainty)</t>
    </r>
  </si>
  <si>
    <t>Cost for Mockups of Each Coil</t>
  </si>
  <si>
    <t>Hours to Position Coil and mark locations</t>
  </si>
  <si>
    <t>Cost For Installation Fixtures</t>
  </si>
  <si>
    <t>`</t>
  </si>
  <si>
    <t>Trim5</t>
  </si>
  <si>
    <t>Trim6</t>
  </si>
  <si>
    <t>Recurring Costs for N Coils no materials</t>
  </si>
  <si>
    <t>Total Cost For N Coils with Materials</t>
  </si>
  <si>
    <t>Trim5-Mid</t>
  </si>
  <si>
    <t>Trim6-Mid</t>
  </si>
  <si>
    <t>Cost from Everson Budgetary Estimate out of Plane</t>
  </si>
  <si>
    <t>Adjusted Cost for Planar Coils</t>
  </si>
  <si>
    <t>$ per lb for plate (316 SS $8/lb  AL $5/lb, $40/lb inconel)</t>
  </si>
  <si>
    <t>Total Hours</t>
  </si>
  <si>
    <t>Total Cost</t>
  </si>
  <si>
    <t>Weight LB per meter</t>
  </si>
  <si>
    <t>Fabrication Cost per meter</t>
  </si>
  <si>
    <t>Cost Bracket Fabrication per coil</t>
  </si>
  <si>
    <t>Cost for Hardware adjusted for uncertainty</t>
  </si>
  <si>
    <t>Cost of Material for Brackets Total</t>
  </si>
  <si>
    <t>Cost Bracket Fabrication Total</t>
  </si>
  <si>
    <t>Cost Bracket Fabrication with Materials Total</t>
  </si>
  <si>
    <t>Cost for Clamps per Coil</t>
  </si>
  <si>
    <t>Cost for all Bolts and Studs &amp; Brackets Total</t>
  </si>
  <si>
    <t>Cost for Bolts and Studs per coil</t>
  </si>
  <si>
    <t>$$ per coil for brackets material per coil</t>
  </si>
  <si>
    <t>Weeks for two technicians</t>
  </si>
  <si>
    <t>Weeks for four technicians</t>
  </si>
  <si>
    <t>Weeks for four technicians two shifts</t>
  </si>
  <si>
    <t>Cost Man-hours</t>
  </si>
  <si>
    <t>Cost Total M&amp;S</t>
  </si>
  <si>
    <t>Technicican Rate</t>
  </si>
  <si>
    <t>Eng Rate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</si>
</sst>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0.000"/>
    <numFmt numFmtId="175" formatCode="0.0000"/>
    <numFmt numFmtId="176" formatCode="0.000E+00"/>
    <numFmt numFmtId="177" formatCode="&quot;$&quot;#,##0.00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center" wrapText="1"/>
    </xf>
    <xf numFmtId="0" fontId="0" fillId="0" borderId="0" xfId="0" applyAlignment="1">
      <alignment horizontal="right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5" fontId="4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174" fontId="0" fillId="0" borderId="2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0" fillId="0" borderId="4" xfId="0" applyFill="1" applyBorder="1" applyAlignment="1">
      <alignment/>
    </xf>
    <xf numFmtId="165" fontId="1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0" fillId="0" borderId="5" xfId="0" applyNumberFormat="1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74" fontId="5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/>
    </xf>
    <xf numFmtId="165" fontId="0" fillId="0" borderId="7" xfId="0" applyNumberFormat="1" applyFont="1" applyFill="1" applyBorder="1" applyAlignment="1">
      <alignment wrapText="1"/>
    </xf>
    <xf numFmtId="165" fontId="3" fillId="0" borderId="8" xfId="0" applyNumberFormat="1" applyFont="1" applyFill="1" applyBorder="1" applyAlignment="1">
      <alignment horizontal="left" wrapText="1"/>
    </xf>
    <xf numFmtId="165" fontId="3" fillId="0" borderId="9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 wrapText="1"/>
    </xf>
    <xf numFmtId="165" fontId="0" fillId="0" borderId="11" xfId="0" applyNumberFormat="1" applyFont="1" applyFill="1" applyBorder="1" applyAlignment="1">
      <alignment wrapText="1"/>
    </xf>
    <xf numFmtId="165" fontId="0" fillId="0" borderId="12" xfId="0" applyNumberFormat="1" applyFont="1" applyBorder="1" applyAlignment="1">
      <alignment horizontal="center" wrapText="1"/>
    </xf>
    <xf numFmtId="2" fontId="0" fillId="0" borderId="11" xfId="0" applyNumberFormat="1" applyFont="1" applyFill="1" applyBorder="1" applyAlignment="1">
      <alignment horizontal="center" wrapText="1"/>
    </xf>
    <xf numFmtId="165" fontId="0" fillId="0" borderId="8" xfId="0" applyNumberFormat="1" applyFont="1" applyFill="1" applyBorder="1" applyAlignment="1">
      <alignment wrapText="1"/>
    </xf>
    <xf numFmtId="165" fontId="1" fillId="0" borderId="9" xfId="0" applyNumberFormat="1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5" fontId="0" fillId="0" borderId="10" xfId="0" applyNumberFormat="1" applyFont="1" applyBorder="1" applyAlignment="1">
      <alignment horizontal="center" wrapText="1"/>
    </xf>
    <xf numFmtId="166" fontId="0" fillId="0" borderId="7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174" fontId="0" fillId="0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11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66" fontId="0" fillId="0" borderId="14" xfId="0" applyNumberFormat="1" applyFont="1" applyBorder="1" applyAlignment="1">
      <alignment wrapText="1"/>
    </xf>
    <xf numFmtId="166" fontId="0" fillId="0" borderId="14" xfId="0" applyNumberFormat="1" applyFill="1" applyBorder="1" applyAlignment="1">
      <alignment/>
    </xf>
    <xf numFmtId="166" fontId="0" fillId="0" borderId="14" xfId="0" applyNumberForma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5" xfId="0" applyBorder="1" applyAlignment="1">
      <alignment/>
    </xf>
    <xf numFmtId="166" fontId="1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Fill="1" applyBorder="1" applyAlignment="1">
      <alignment/>
    </xf>
    <xf numFmtId="0" fontId="0" fillId="0" borderId="22" xfId="0" applyFont="1" applyBorder="1" applyAlignment="1">
      <alignment/>
    </xf>
    <xf numFmtId="166" fontId="1" fillId="0" borderId="23" xfId="0" applyNumberFormat="1" applyFont="1" applyBorder="1" applyAlignment="1">
      <alignment/>
    </xf>
    <xf numFmtId="166" fontId="0" fillId="0" borderId="14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Border="1" applyAlignment="1">
      <alignment/>
    </xf>
    <xf numFmtId="0" fontId="0" fillId="0" borderId="24" xfId="0" applyBorder="1" applyAlignment="1">
      <alignment/>
    </xf>
    <xf numFmtId="0" fontId="1" fillId="0" borderId="7" xfId="0" applyFont="1" applyFill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9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19" xfId="0" applyFont="1" applyBorder="1" applyAlignment="1">
      <alignment wrapText="1"/>
    </xf>
    <xf numFmtId="166" fontId="9" fillId="0" borderId="19" xfId="0" applyNumberFormat="1" applyFont="1" applyFill="1" applyBorder="1" applyAlignment="1">
      <alignment/>
    </xf>
    <xf numFmtId="166" fontId="8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1" fontId="9" fillId="0" borderId="19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9" fillId="0" borderId="14" xfId="0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66" fontId="9" fillId="0" borderId="0" xfId="0" applyNumberFormat="1" applyFont="1" applyFill="1" applyBorder="1" applyAlignment="1">
      <alignment/>
    </xf>
    <xf numFmtId="166" fontId="8" fillId="0" borderId="0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9" fillId="0" borderId="0" xfId="0" applyNumberFormat="1" applyFont="1" applyFill="1" applyBorder="1" applyAlignment="1">
      <alignment horizontal="left"/>
    </xf>
    <xf numFmtId="166" fontId="9" fillId="0" borderId="25" xfId="0" applyNumberFormat="1" applyFont="1" applyFill="1" applyBorder="1" applyAlignment="1">
      <alignment/>
    </xf>
    <xf numFmtId="166" fontId="0" fillId="0" borderId="23" xfId="0" applyNumberFormat="1" applyBorder="1" applyAlignment="1">
      <alignment/>
    </xf>
    <xf numFmtId="166" fontId="10" fillId="0" borderId="8" xfId="0" applyNumberFormat="1" applyFont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10" fontId="0" fillId="0" borderId="0" xfId="0" applyNumberFormat="1" applyAlignment="1">
      <alignment/>
    </xf>
    <xf numFmtId="166" fontId="9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1" fontId="8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6" fontId="0" fillId="0" borderId="32" xfId="0" applyNumberFormat="1" applyFill="1" applyBorder="1" applyAlignment="1">
      <alignment/>
    </xf>
    <xf numFmtId="166" fontId="1" fillId="0" borderId="33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/>
    </xf>
    <xf numFmtId="166" fontId="1" fillId="0" borderId="38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39" xfId="0" applyFill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9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10" fillId="0" borderId="8" xfId="0" applyNumberFormat="1" applyFont="1" applyBorder="1" applyAlignment="1">
      <alignment/>
    </xf>
    <xf numFmtId="1" fontId="8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="125" zoomScaleNormal="125" workbookViewId="0" topLeftCell="A116">
      <selection activeCell="J35" sqref="J35"/>
    </sheetView>
  </sheetViews>
  <sheetFormatPr defaultColWidth="9.140625" defaultRowHeight="12.75"/>
  <cols>
    <col min="1" max="1" width="47.421875" style="0" customWidth="1"/>
    <col min="2" max="2" width="8.00390625" style="0" customWidth="1"/>
    <col min="3" max="3" width="10.00390625" style="4" customWidth="1"/>
    <col min="4" max="4" width="9.140625" style="4" customWidth="1"/>
    <col min="5" max="5" width="9.57421875" style="4" customWidth="1"/>
    <col min="6" max="8" width="9.8515625" style="4" customWidth="1"/>
    <col min="9" max="9" width="12.8515625" style="0" customWidth="1"/>
    <col min="11" max="11" width="11.00390625" style="0" customWidth="1"/>
  </cols>
  <sheetData>
    <row r="1" spans="1:2" ht="12.75" hidden="1">
      <c r="A1" s="10"/>
      <c r="B1" s="4"/>
    </row>
    <row r="2" spans="1:2" ht="12.75" hidden="1">
      <c r="A2" s="4"/>
      <c r="B2" s="11"/>
    </row>
    <row r="3" spans="1:2" ht="12.75" hidden="1">
      <c r="A3" s="4"/>
      <c r="B3" s="11"/>
    </row>
    <row r="4" spans="1:2" ht="12.75" hidden="1">
      <c r="A4" s="4"/>
      <c r="B4" s="11"/>
    </row>
    <row r="5" spans="1:2" ht="12.75" hidden="1">
      <c r="A5" s="4"/>
      <c r="B5" s="11"/>
    </row>
    <row r="6" spans="1:2" ht="12.75" hidden="1">
      <c r="A6" s="12"/>
      <c r="B6" s="11"/>
    </row>
    <row r="7" spans="1:2" ht="12.75" hidden="1">
      <c r="A7" s="4"/>
      <c r="B7" s="4"/>
    </row>
    <row r="8" spans="1:8" ht="12.75">
      <c r="A8" s="10"/>
      <c r="B8" s="4"/>
      <c r="C8" s="30" t="s">
        <v>47</v>
      </c>
      <c r="D8" s="30" t="s">
        <v>58</v>
      </c>
      <c r="E8" s="30" t="s">
        <v>70</v>
      </c>
      <c r="F8" s="30" t="s">
        <v>71</v>
      </c>
      <c r="G8" s="133" t="s">
        <v>100</v>
      </c>
      <c r="H8" s="133" t="s">
        <v>101</v>
      </c>
    </row>
    <row r="9" spans="1:2" ht="12.75">
      <c r="A9" s="10"/>
      <c r="B9" s="4"/>
    </row>
    <row r="10" spans="1:2" ht="12.75">
      <c r="A10" s="10" t="s">
        <v>62</v>
      </c>
      <c r="B10" s="4"/>
    </row>
    <row r="11" spans="1:12" ht="12.75">
      <c r="A11" s="13"/>
      <c r="B11" s="13"/>
      <c r="C11" s="14"/>
      <c r="D11" s="14"/>
      <c r="E11" s="14"/>
      <c r="F11" s="14"/>
      <c r="G11" s="14"/>
      <c r="H11" s="14"/>
      <c r="I11" s="8"/>
      <c r="J11" s="7"/>
      <c r="K11" s="2"/>
      <c r="L11" s="2"/>
    </row>
    <row r="12" spans="1:12" ht="12.75">
      <c r="A12" s="59" t="s">
        <v>25</v>
      </c>
      <c r="B12" s="59" t="s">
        <v>26</v>
      </c>
      <c r="C12" s="60">
        <v>0.5219446</v>
      </c>
      <c r="D12" s="60">
        <v>0.5219446</v>
      </c>
      <c r="E12" s="60">
        <v>0.5219446</v>
      </c>
      <c r="F12" s="60">
        <v>0.5219446</v>
      </c>
      <c r="G12" s="60">
        <v>0.5219446</v>
      </c>
      <c r="H12" s="60">
        <v>0.5219446</v>
      </c>
      <c r="I12" s="5"/>
      <c r="J12" s="6"/>
      <c r="K12" s="1"/>
      <c r="L12" s="1"/>
    </row>
    <row r="13" spans="1:8" ht="12.75">
      <c r="A13" s="59" t="s">
        <v>27</v>
      </c>
      <c r="B13" s="59" t="s">
        <v>4</v>
      </c>
      <c r="C13" s="61">
        <f aca="true" t="shared" si="0" ref="C13:H13">C20*2+2.8</f>
        <v>28.8</v>
      </c>
      <c r="D13" s="61">
        <f t="shared" si="0"/>
        <v>28.8</v>
      </c>
      <c r="E13" s="61">
        <f t="shared" si="0"/>
        <v>28.8</v>
      </c>
      <c r="F13" s="61">
        <f t="shared" si="0"/>
        <v>28.8</v>
      </c>
      <c r="G13" s="61">
        <f t="shared" si="0"/>
        <v>28.8</v>
      </c>
      <c r="H13" s="61">
        <f t="shared" si="0"/>
        <v>28.8</v>
      </c>
    </row>
    <row r="14" spans="1:8" ht="12.75">
      <c r="A14" s="59" t="s">
        <v>28</v>
      </c>
      <c r="B14" s="59" t="s">
        <v>4</v>
      </c>
      <c r="C14" s="61">
        <f aca="true" t="shared" si="1" ref="C14:H14">C13</f>
        <v>28.8</v>
      </c>
      <c r="D14" s="61">
        <f t="shared" si="1"/>
        <v>28.8</v>
      </c>
      <c r="E14" s="61">
        <f t="shared" si="1"/>
        <v>28.8</v>
      </c>
      <c r="F14" s="61">
        <f t="shared" si="1"/>
        <v>28.8</v>
      </c>
      <c r="G14" s="61">
        <f t="shared" si="1"/>
        <v>28.8</v>
      </c>
      <c r="H14" s="61">
        <f t="shared" si="1"/>
        <v>28.8</v>
      </c>
    </row>
    <row r="15" spans="1:8" ht="12.75">
      <c r="A15" s="59" t="s">
        <v>29</v>
      </c>
      <c r="B15" s="59"/>
      <c r="C15" s="62">
        <v>4</v>
      </c>
      <c r="D15" s="62">
        <v>4</v>
      </c>
      <c r="E15" s="62">
        <v>4</v>
      </c>
      <c r="F15" s="62">
        <v>4</v>
      </c>
      <c r="G15" s="62">
        <v>4</v>
      </c>
      <c r="H15" s="62">
        <v>4</v>
      </c>
    </row>
    <row r="16" spans="1:8" ht="12.75">
      <c r="A16" s="59" t="s">
        <v>30</v>
      </c>
      <c r="B16" s="59"/>
      <c r="C16" s="61">
        <v>0.75</v>
      </c>
      <c r="D16" s="61">
        <v>0.75</v>
      </c>
      <c r="E16" s="61">
        <v>0.75</v>
      </c>
      <c r="F16" s="61">
        <v>0.75</v>
      </c>
      <c r="G16" s="61">
        <v>0.75</v>
      </c>
      <c r="H16" s="61">
        <v>0.75</v>
      </c>
    </row>
    <row r="17" spans="1:8" ht="12.75">
      <c r="A17" s="59" t="s">
        <v>32</v>
      </c>
      <c r="B17" s="59" t="s">
        <v>8</v>
      </c>
      <c r="C17" s="61">
        <f aca="true" t="shared" si="2" ref="C17:H17">C18/C15</f>
        <v>4.6175</v>
      </c>
      <c r="D17" s="61">
        <f t="shared" si="2"/>
        <v>3.0775</v>
      </c>
      <c r="E17" s="61">
        <f t="shared" si="2"/>
        <v>3.0775</v>
      </c>
      <c r="F17" s="61">
        <f t="shared" si="2"/>
        <v>3.0775</v>
      </c>
      <c r="G17" s="61">
        <f t="shared" si="2"/>
        <v>4.6175</v>
      </c>
      <c r="H17" s="61">
        <f t="shared" si="2"/>
        <v>4.6175</v>
      </c>
    </row>
    <row r="18" spans="1:8" ht="12.75">
      <c r="A18" s="59" t="s">
        <v>33</v>
      </c>
      <c r="B18" s="59" t="s">
        <v>8</v>
      </c>
      <c r="C18" s="61">
        <v>18.47</v>
      </c>
      <c r="D18" s="61">
        <v>12.31</v>
      </c>
      <c r="E18" s="61">
        <v>12.31</v>
      </c>
      <c r="F18" s="61">
        <v>12.31</v>
      </c>
      <c r="G18" s="61">
        <v>18.47</v>
      </c>
      <c r="H18" s="61">
        <v>18.47</v>
      </c>
    </row>
    <row r="19" spans="1:8" ht="12.75">
      <c r="A19" s="59" t="s">
        <v>34</v>
      </c>
      <c r="B19" s="59" t="s">
        <v>4</v>
      </c>
      <c r="C19" s="61">
        <v>13</v>
      </c>
      <c r="D19" s="61">
        <v>13</v>
      </c>
      <c r="E19" s="61">
        <v>13</v>
      </c>
      <c r="F19" s="61">
        <v>13</v>
      </c>
      <c r="G19" s="61">
        <v>13</v>
      </c>
      <c r="H19" s="61">
        <v>13</v>
      </c>
    </row>
    <row r="20" spans="1:8" ht="12.75">
      <c r="A20" s="59" t="s">
        <v>35</v>
      </c>
      <c r="B20" s="59" t="s">
        <v>4</v>
      </c>
      <c r="C20" s="61">
        <v>13</v>
      </c>
      <c r="D20" s="61">
        <v>13</v>
      </c>
      <c r="E20" s="61">
        <v>13</v>
      </c>
      <c r="F20" s="61">
        <v>13</v>
      </c>
      <c r="G20" s="61">
        <v>13</v>
      </c>
      <c r="H20" s="61">
        <v>13</v>
      </c>
    </row>
    <row r="21" spans="1:8" ht="12.75">
      <c r="A21" s="59" t="s">
        <v>36</v>
      </c>
      <c r="B21" s="59" t="s">
        <v>4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</row>
    <row r="22" spans="1:8" ht="12.75">
      <c r="A22" s="59" t="s">
        <v>37</v>
      </c>
      <c r="B22" s="59" t="s">
        <v>4</v>
      </c>
      <c r="C22" s="61">
        <v>1.016</v>
      </c>
      <c r="D22" s="61">
        <v>1.016</v>
      </c>
      <c r="E22" s="61">
        <v>1.016</v>
      </c>
      <c r="F22" s="61">
        <v>1.016</v>
      </c>
      <c r="G22" s="61">
        <v>1.016</v>
      </c>
      <c r="H22" s="61">
        <v>1.016</v>
      </c>
    </row>
    <row r="23" spans="1:8" ht="12.75">
      <c r="A23" s="59" t="s">
        <v>38</v>
      </c>
      <c r="B23" s="59" t="s">
        <v>39</v>
      </c>
      <c r="C23" s="61">
        <f aca="true" t="shared" si="3" ref="C23:H23">C20*C19-((4-PI())*C22*C22)-PI()*C21^2/4</f>
        <v>168.11390386622398</v>
      </c>
      <c r="D23" s="61">
        <f t="shared" si="3"/>
        <v>168.11390386622398</v>
      </c>
      <c r="E23" s="61">
        <f t="shared" si="3"/>
        <v>168.11390386622398</v>
      </c>
      <c r="F23" s="61">
        <f t="shared" si="3"/>
        <v>168.11390386622398</v>
      </c>
      <c r="G23" s="61">
        <f t="shared" si="3"/>
        <v>168.11390386622398</v>
      </c>
      <c r="H23" s="61">
        <f t="shared" si="3"/>
        <v>168.11390386622398</v>
      </c>
    </row>
    <row r="24" spans="1:8" ht="12.75">
      <c r="A24" s="59" t="s">
        <v>41</v>
      </c>
      <c r="B24" s="59" t="s">
        <v>31</v>
      </c>
      <c r="C24" s="61">
        <f aca="true" t="shared" si="4" ref="C24:H24">C18*1000*C23*$B25</f>
        <v>26.641447441830564</v>
      </c>
      <c r="D24" s="61">
        <f t="shared" si="4"/>
        <v>17.756156903569803</v>
      </c>
      <c r="E24" s="61">
        <f t="shared" si="4"/>
        <v>17.756156903569803</v>
      </c>
      <c r="F24" s="61">
        <f t="shared" si="4"/>
        <v>17.756156903569803</v>
      </c>
      <c r="G24" s="61">
        <f t="shared" si="4"/>
        <v>26.641447441830564</v>
      </c>
      <c r="H24" s="61">
        <f t="shared" si="4"/>
        <v>26.641447441830564</v>
      </c>
    </row>
    <row r="25" spans="1:8" ht="12.75">
      <c r="A25" s="63" t="s">
        <v>24</v>
      </c>
      <c r="B25" s="64">
        <v>8.58E-06</v>
      </c>
      <c r="C25" s="65"/>
      <c r="D25" s="65"/>
      <c r="E25" s="65"/>
      <c r="F25" s="65"/>
      <c r="G25" s="65"/>
      <c r="H25" s="65"/>
    </row>
    <row r="26" spans="1:2" ht="12.75">
      <c r="A26" s="4"/>
      <c r="B26" s="4"/>
    </row>
    <row r="27" spans="1:2" ht="13.5" thickBot="1">
      <c r="A27" s="10" t="s">
        <v>61</v>
      </c>
      <c r="B27" s="4"/>
    </row>
    <row r="28" spans="1:8" ht="12.75">
      <c r="A28" s="15"/>
      <c r="B28" s="22"/>
      <c r="C28" s="30" t="s">
        <v>47</v>
      </c>
      <c r="D28" s="30" t="s">
        <v>58</v>
      </c>
      <c r="E28" s="135" t="s">
        <v>70</v>
      </c>
      <c r="F28" s="140" t="s">
        <v>71</v>
      </c>
      <c r="G28" s="140" t="s">
        <v>96</v>
      </c>
      <c r="H28" s="140" t="s">
        <v>97</v>
      </c>
    </row>
    <row r="29" spans="1:8" ht="12.75">
      <c r="A29" s="16" t="s">
        <v>45</v>
      </c>
      <c r="B29" s="23"/>
      <c r="C29" s="31"/>
      <c r="D29" s="31"/>
      <c r="E29" s="136"/>
      <c r="F29" s="141"/>
      <c r="G29" s="141"/>
      <c r="H29" s="141"/>
    </row>
    <row r="30" spans="1:8" ht="12.75">
      <c r="A30" s="17"/>
      <c r="B30" s="24"/>
      <c r="C30" s="32"/>
      <c r="D30" s="32"/>
      <c r="E30" s="137"/>
      <c r="F30" s="142"/>
      <c r="G30" s="142"/>
      <c r="H30" s="142"/>
    </row>
    <row r="31" spans="1:9" ht="13.5" thickBot="1">
      <c r="A31" s="37" t="s">
        <v>46</v>
      </c>
      <c r="B31" s="38"/>
      <c r="C31" s="93">
        <v>12</v>
      </c>
      <c r="D31" s="93">
        <v>12</v>
      </c>
      <c r="E31" s="138">
        <v>6</v>
      </c>
      <c r="F31" s="140">
        <v>6</v>
      </c>
      <c r="G31" s="140">
        <v>3</v>
      </c>
      <c r="H31" s="140">
        <v>9</v>
      </c>
      <c r="I31" s="143">
        <f>SUM(C31:H31)</f>
        <v>48</v>
      </c>
    </row>
    <row r="32" spans="1:8" ht="13.5" thickBot="1">
      <c r="A32" s="57" t="s">
        <v>72</v>
      </c>
      <c r="B32" s="58"/>
      <c r="C32" s="55">
        <f>3153/(18.47*6)</f>
        <v>28.451543042772066</v>
      </c>
      <c r="D32" s="55">
        <v>28</v>
      </c>
      <c r="E32" s="55">
        <v>28</v>
      </c>
      <c r="F32" s="139">
        <v>28</v>
      </c>
      <c r="G32" s="139">
        <v>28</v>
      </c>
      <c r="H32" s="139">
        <v>28</v>
      </c>
    </row>
    <row r="33" spans="1:8" ht="13.5" thickBot="1">
      <c r="A33" s="42" t="s">
        <v>53</v>
      </c>
      <c r="B33" s="43" t="s">
        <v>1</v>
      </c>
      <c r="C33" s="55">
        <f aca="true" t="shared" si="5" ref="C33:H33">C32*C18</f>
        <v>525.5</v>
      </c>
      <c r="D33" s="55">
        <f t="shared" si="5"/>
        <v>344.68</v>
      </c>
      <c r="E33" s="55">
        <f t="shared" si="5"/>
        <v>344.68</v>
      </c>
      <c r="F33" s="55">
        <f t="shared" si="5"/>
        <v>344.68</v>
      </c>
      <c r="G33" s="55">
        <f t="shared" si="5"/>
        <v>517.16</v>
      </c>
      <c r="H33" s="55">
        <f t="shared" si="5"/>
        <v>517.16</v>
      </c>
    </row>
    <row r="34" spans="1:8" ht="12.75">
      <c r="A34" s="39" t="s">
        <v>40</v>
      </c>
      <c r="B34" s="40">
        <v>2</v>
      </c>
      <c r="C34" s="41" t="s">
        <v>23</v>
      </c>
      <c r="D34" s="41" t="s">
        <v>23</v>
      </c>
      <c r="E34" s="41" t="s">
        <v>23</v>
      </c>
      <c r="F34" s="41" t="s">
        <v>23</v>
      </c>
      <c r="G34" s="41" t="s">
        <v>23</v>
      </c>
      <c r="H34" s="41" t="s">
        <v>23</v>
      </c>
    </row>
    <row r="35" spans="1:10" ht="12.75">
      <c r="A35" s="18" t="s">
        <v>42</v>
      </c>
      <c r="B35" s="25" t="s">
        <v>4</v>
      </c>
      <c r="C35" s="33">
        <v>25.4</v>
      </c>
      <c r="D35" s="33">
        <v>25.4</v>
      </c>
      <c r="E35" s="33">
        <v>25.4</v>
      </c>
      <c r="F35" s="33">
        <v>25.4</v>
      </c>
      <c r="G35" s="33">
        <v>25.4</v>
      </c>
      <c r="H35" s="33">
        <v>25.4</v>
      </c>
      <c r="J35" s="3"/>
    </row>
    <row r="36" spans="1:8" ht="16.5" customHeight="1">
      <c r="A36" s="19" t="s">
        <v>43</v>
      </c>
      <c r="B36" s="26" t="s">
        <v>2</v>
      </c>
      <c r="C36" s="46">
        <f aca="true" t="shared" si="6" ref="C36:H36">(2*(C19+C20)*1000/C35)/1000</f>
        <v>2.0472440944881893</v>
      </c>
      <c r="D36" s="46">
        <f t="shared" si="6"/>
        <v>2.0472440944881893</v>
      </c>
      <c r="E36" s="46">
        <f t="shared" si="6"/>
        <v>2.0472440944881893</v>
      </c>
      <c r="F36" s="46">
        <f t="shared" si="6"/>
        <v>2.0472440944881893</v>
      </c>
      <c r="G36" s="46">
        <f t="shared" si="6"/>
        <v>2.0472440944881893</v>
      </c>
      <c r="H36" s="46">
        <f t="shared" si="6"/>
        <v>2.0472440944881893</v>
      </c>
    </row>
    <row r="37" spans="1:8" ht="12.75">
      <c r="A37" s="19" t="s">
        <v>3</v>
      </c>
      <c r="B37" s="26" t="s">
        <v>4</v>
      </c>
      <c r="C37" s="46">
        <v>0.19</v>
      </c>
      <c r="D37" s="46">
        <v>0.19</v>
      </c>
      <c r="E37" s="46">
        <v>0.19</v>
      </c>
      <c r="F37" s="46">
        <v>0.19</v>
      </c>
      <c r="G37" s="46">
        <v>0.19</v>
      </c>
      <c r="H37" s="46">
        <v>0.19</v>
      </c>
    </row>
    <row r="38" spans="1:8" ht="12.75">
      <c r="A38" s="19" t="s">
        <v>5</v>
      </c>
      <c r="B38" s="26" t="s">
        <v>6</v>
      </c>
      <c r="C38" s="47">
        <v>2</v>
      </c>
      <c r="D38" s="47">
        <v>2</v>
      </c>
      <c r="E38" s="47">
        <v>2</v>
      </c>
      <c r="F38" s="47">
        <v>2</v>
      </c>
      <c r="G38" s="47">
        <v>2</v>
      </c>
      <c r="H38" s="47">
        <v>2</v>
      </c>
    </row>
    <row r="39" spans="1:8" ht="12.75">
      <c r="A39" s="19" t="s">
        <v>7</v>
      </c>
      <c r="B39" s="26" t="s">
        <v>8</v>
      </c>
      <c r="C39" s="46">
        <v>182</v>
      </c>
      <c r="D39" s="46">
        <v>182</v>
      </c>
      <c r="E39" s="46">
        <v>182</v>
      </c>
      <c r="F39" s="46">
        <v>182</v>
      </c>
      <c r="G39" s="46">
        <v>182</v>
      </c>
      <c r="H39" s="46">
        <v>182</v>
      </c>
    </row>
    <row r="40" spans="1:8" ht="12.75">
      <c r="A40" s="19" t="s">
        <v>9</v>
      </c>
      <c r="B40" s="26" t="s">
        <v>6</v>
      </c>
      <c r="C40" s="48">
        <f aca="true" t="shared" si="7" ref="C40:H40">2*C38*C18*C36/C39</f>
        <v>0.8310461192350956</v>
      </c>
      <c r="D40" s="48">
        <f t="shared" si="7"/>
        <v>0.5538807649043871</v>
      </c>
      <c r="E40" s="48">
        <f t="shared" si="7"/>
        <v>0.5538807649043871</v>
      </c>
      <c r="F40" s="48">
        <f t="shared" si="7"/>
        <v>0.5538807649043871</v>
      </c>
      <c r="G40" s="48">
        <f t="shared" si="7"/>
        <v>0.8310461192350956</v>
      </c>
      <c r="H40" s="48">
        <f t="shared" si="7"/>
        <v>0.8310461192350956</v>
      </c>
    </row>
    <row r="41" spans="1:8" ht="25.5">
      <c r="A41" s="19" t="s">
        <v>10</v>
      </c>
      <c r="B41" s="26" t="s">
        <v>0</v>
      </c>
      <c r="C41" s="48">
        <v>1.3</v>
      </c>
      <c r="D41" s="48">
        <v>1.3</v>
      </c>
      <c r="E41" s="48">
        <v>1.3</v>
      </c>
      <c r="F41" s="48">
        <v>1.3</v>
      </c>
      <c r="G41" s="48">
        <v>1.3</v>
      </c>
      <c r="H41" s="48">
        <v>1.3</v>
      </c>
    </row>
    <row r="42" spans="1:8" ht="12.75">
      <c r="A42" s="19" t="s">
        <v>60</v>
      </c>
      <c r="B42" s="26" t="s">
        <v>6</v>
      </c>
      <c r="C42" s="48">
        <f>C41*C40</f>
        <v>1.0803599550056244</v>
      </c>
      <c r="D42" s="48">
        <f>D41*D40*2</f>
        <v>1.4400899887514065</v>
      </c>
      <c r="E42" s="48">
        <f>E41*E40*2</f>
        <v>1.4400899887514065</v>
      </c>
      <c r="F42" s="48">
        <f>F41*F40*2</f>
        <v>1.4400899887514065</v>
      </c>
      <c r="G42" s="48">
        <f>G41*G40*2</f>
        <v>2.160719910011249</v>
      </c>
      <c r="H42" s="48">
        <f>H41*H40*2</f>
        <v>2.160719910011249</v>
      </c>
    </row>
    <row r="43" spans="1:8" ht="12.75">
      <c r="A43" s="19" t="s">
        <v>11</v>
      </c>
      <c r="B43" s="26" t="s">
        <v>12</v>
      </c>
      <c r="C43" s="47">
        <v>728</v>
      </c>
      <c r="D43" s="47">
        <v>728</v>
      </c>
      <c r="E43" s="47">
        <v>728</v>
      </c>
      <c r="F43" s="47">
        <v>728</v>
      </c>
      <c r="G43" s="47">
        <v>728</v>
      </c>
      <c r="H43" s="47">
        <v>728</v>
      </c>
    </row>
    <row r="44" spans="1:8" ht="12.75">
      <c r="A44" s="18" t="s">
        <v>63</v>
      </c>
      <c r="B44" s="25" t="s">
        <v>4</v>
      </c>
      <c r="C44" s="48">
        <v>25.4</v>
      </c>
      <c r="D44" s="48">
        <v>25.4</v>
      </c>
      <c r="E44" s="48">
        <v>25.4</v>
      </c>
      <c r="F44" s="48">
        <v>25.4</v>
      </c>
      <c r="G44" s="48">
        <v>25.4</v>
      </c>
      <c r="H44" s="48">
        <v>25.4</v>
      </c>
    </row>
    <row r="45" spans="1:10" ht="12.75">
      <c r="A45" s="19" t="s">
        <v>44</v>
      </c>
      <c r="B45" s="26" t="s">
        <v>2</v>
      </c>
      <c r="C45" s="46">
        <f aca="true" t="shared" si="8" ref="C45:H45">(2*(C19+C20)*1000/C44)/1000</f>
        <v>2.0472440944881893</v>
      </c>
      <c r="D45" s="46">
        <f t="shared" si="8"/>
        <v>2.0472440944881893</v>
      </c>
      <c r="E45" s="46">
        <f t="shared" si="8"/>
        <v>2.0472440944881893</v>
      </c>
      <c r="F45" s="46">
        <f t="shared" si="8"/>
        <v>2.0472440944881893</v>
      </c>
      <c r="G45" s="46">
        <f t="shared" si="8"/>
        <v>2.0472440944881893</v>
      </c>
      <c r="H45" s="46">
        <f t="shared" si="8"/>
        <v>2.0472440944881893</v>
      </c>
      <c r="J45" s="44"/>
    </row>
    <row r="46" spans="1:8" ht="12.75">
      <c r="A46" s="19" t="s">
        <v>3</v>
      </c>
      <c r="B46" s="26" t="s">
        <v>4</v>
      </c>
      <c r="C46" s="46">
        <v>0.19</v>
      </c>
      <c r="D46" s="46">
        <v>0.19</v>
      </c>
      <c r="E46" s="46">
        <v>0.19</v>
      </c>
      <c r="F46" s="46">
        <v>0.19</v>
      </c>
      <c r="G46" s="46">
        <v>0.19</v>
      </c>
      <c r="H46" s="46">
        <v>0.19</v>
      </c>
    </row>
    <row r="47" spans="1:8" ht="12.75">
      <c r="A47" s="19" t="s">
        <v>5</v>
      </c>
      <c r="B47" s="26" t="s">
        <v>6</v>
      </c>
      <c r="C47" s="47">
        <v>2</v>
      </c>
      <c r="D47" s="47">
        <v>2</v>
      </c>
      <c r="E47" s="47">
        <v>2</v>
      </c>
      <c r="F47" s="47">
        <v>2</v>
      </c>
      <c r="G47" s="47">
        <v>2</v>
      </c>
      <c r="H47" s="47">
        <v>2</v>
      </c>
    </row>
    <row r="48" spans="1:8" ht="12.75">
      <c r="A48" s="19" t="s">
        <v>7</v>
      </c>
      <c r="B48" s="26" t="s">
        <v>8</v>
      </c>
      <c r="C48" s="46">
        <v>182</v>
      </c>
      <c r="D48" s="46">
        <v>182</v>
      </c>
      <c r="E48" s="46">
        <v>182</v>
      </c>
      <c r="F48" s="46">
        <v>182</v>
      </c>
      <c r="G48" s="46">
        <v>182</v>
      </c>
      <c r="H48" s="46">
        <v>182</v>
      </c>
    </row>
    <row r="49" spans="1:8" ht="12.75">
      <c r="A49" s="19" t="s">
        <v>9</v>
      </c>
      <c r="B49" s="26" t="s">
        <v>6</v>
      </c>
      <c r="C49" s="48">
        <f aca="true" t="shared" si="9" ref="C49:H49">2*C47*C18*C45/C48</f>
        <v>0.8310461192350956</v>
      </c>
      <c r="D49" s="48">
        <f t="shared" si="9"/>
        <v>0.5538807649043871</v>
      </c>
      <c r="E49" s="48">
        <f t="shared" si="9"/>
        <v>0.5538807649043871</v>
      </c>
      <c r="F49" s="48">
        <f t="shared" si="9"/>
        <v>0.5538807649043871</v>
      </c>
      <c r="G49" s="48">
        <f t="shared" si="9"/>
        <v>0.8310461192350956</v>
      </c>
      <c r="H49" s="48">
        <f t="shared" si="9"/>
        <v>0.8310461192350956</v>
      </c>
    </row>
    <row r="50" spans="1:8" ht="25.5">
      <c r="A50" s="19" t="s">
        <v>10</v>
      </c>
      <c r="B50" s="26" t="s">
        <v>0</v>
      </c>
      <c r="C50" s="48">
        <v>1.3</v>
      </c>
      <c r="D50" s="48">
        <v>1.3</v>
      </c>
      <c r="E50" s="48">
        <v>1.3</v>
      </c>
      <c r="F50" s="48">
        <v>1.3</v>
      </c>
      <c r="G50" s="48">
        <v>1.3</v>
      </c>
      <c r="H50" s="48">
        <v>1.3</v>
      </c>
    </row>
    <row r="51" spans="1:8" ht="12.75">
      <c r="A51" s="19" t="s">
        <v>48</v>
      </c>
      <c r="B51" s="26" t="s">
        <v>6</v>
      </c>
      <c r="C51" s="48">
        <f aca="true" t="shared" si="10" ref="C51:H51">C50*C49*C31</f>
        <v>12.964319460067493</v>
      </c>
      <c r="D51" s="48">
        <f t="shared" si="10"/>
        <v>8.640539932508439</v>
      </c>
      <c r="E51" s="48">
        <f t="shared" si="10"/>
        <v>4.320269966254219</v>
      </c>
      <c r="F51" s="48">
        <f t="shared" si="10"/>
        <v>4.320269966254219</v>
      </c>
      <c r="G51" s="48">
        <f t="shared" si="10"/>
        <v>3.2410798650168733</v>
      </c>
      <c r="H51" s="48">
        <f t="shared" si="10"/>
        <v>9.72323959505062</v>
      </c>
    </row>
    <row r="52" spans="1:8" ht="12.75">
      <c r="A52" s="19" t="s">
        <v>11</v>
      </c>
      <c r="B52" s="24" t="s">
        <v>12</v>
      </c>
      <c r="C52" s="47">
        <v>728</v>
      </c>
      <c r="D52" s="47">
        <v>728</v>
      </c>
      <c r="E52" s="47">
        <v>728</v>
      </c>
      <c r="F52" s="47">
        <v>728</v>
      </c>
      <c r="G52" s="47">
        <v>728</v>
      </c>
      <c r="H52" s="47">
        <v>728</v>
      </c>
    </row>
    <row r="53" spans="1:8" ht="12.75">
      <c r="A53" s="19" t="s">
        <v>50</v>
      </c>
      <c r="B53" s="23" t="s">
        <v>1</v>
      </c>
      <c r="C53" s="49">
        <f aca="true" t="shared" si="11" ref="C53:H53">C52*C51/C31</f>
        <v>786.5020472440946</v>
      </c>
      <c r="D53" s="49">
        <f t="shared" si="11"/>
        <v>524.192755905512</v>
      </c>
      <c r="E53" s="49">
        <f t="shared" si="11"/>
        <v>524.192755905512</v>
      </c>
      <c r="F53" s="49">
        <f t="shared" si="11"/>
        <v>524.192755905512</v>
      </c>
      <c r="G53" s="49">
        <f t="shared" si="11"/>
        <v>786.5020472440946</v>
      </c>
      <c r="H53" s="49">
        <f t="shared" si="11"/>
        <v>786.5020472440946</v>
      </c>
    </row>
    <row r="54" spans="1:8" ht="12.75">
      <c r="A54" s="19" t="s">
        <v>64</v>
      </c>
      <c r="B54" s="25" t="s">
        <v>8</v>
      </c>
      <c r="C54" s="50">
        <f aca="true" t="shared" si="12" ref="C54:H54">C36*C18</f>
        <v>37.81259842519685</v>
      </c>
      <c r="D54" s="50">
        <f t="shared" si="12"/>
        <v>25.20157480314961</v>
      </c>
      <c r="E54" s="50">
        <f t="shared" si="12"/>
        <v>25.20157480314961</v>
      </c>
      <c r="F54" s="50">
        <f t="shared" si="12"/>
        <v>25.20157480314961</v>
      </c>
      <c r="G54" s="50">
        <f t="shared" si="12"/>
        <v>37.81259842519685</v>
      </c>
      <c r="H54" s="50">
        <f t="shared" si="12"/>
        <v>37.81259842519685</v>
      </c>
    </row>
    <row r="55" spans="1:8" ht="12.75">
      <c r="A55" s="19" t="s">
        <v>65</v>
      </c>
      <c r="B55" s="25" t="s">
        <v>66</v>
      </c>
      <c r="C55" s="51">
        <f aca="true" t="shared" si="13" ref="C55:H55">1.258</f>
        <v>1.258</v>
      </c>
      <c r="D55" s="51">
        <f t="shared" si="13"/>
        <v>1.258</v>
      </c>
      <c r="E55" s="51">
        <f t="shared" si="13"/>
        <v>1.258</v>
      </c>
      <c r="F55" s="51">
        <f t="shared" si="13"/>
        <v>1.258</v>
      </c>
      <c r="G55" s="51">
        <f t="shared" si="13"/>
        <v>1.258</v>
      </c>
      <c r="H55" s="51">
        <f t="shared" si="13"/>
        <v>1.258</v>
      </c>
    </row>
    <row r="56" spans="1:8" ht="12.75">
      <c r="A56" s="19" t="s">
        <v>67</v>
      </c>
      <c r="B56" s="25" t="s">
        <v>1</v>
      </c>
      <c r="C56" s="49">
        <f aca="true" t="shared" si="14" ref="C56:H56">C55*C54</f>
        <v>47.568248818897644</v>
      </c>
      <c r="D56" s="49">
        <f t="shared" si="14"/>
        <v>31.70358110236221</v>
      </c>
      <c r="E56" s="49">
        <f t="shared" si="14"/>
        <v>31.70358110236221</v>
      </c>
      <c r="F56" s="49">
        <f t="shared" si="14"/>
        <v>31.70358110236221</v>
      </c>
      <c r="G56" s="49">
        <f t="shared" si="14"/>
        <v>47.568248818897644</v>
      </c>
      <c r="H56" s="49">
        <f t="shared" si="14"/>
        <v>47.568248818897644</v>
      </c>
    </row>
    <row r="57" spans="1:8" ht="12.75">
      <c r="A57" s="19" t="s">
        <v>13</v>
      </c>
      <c r="B57" s="24" t="s">
        <v>4</v>
      </c>
      <c r="C57" s="51">
        <v>0.38</v>
      </c>
      <c r="D57" s="51">
        <v>0.38</v>
      </c>
      <c r="E57" s="51">
        <v>0.38</v>
      </c>
      <c r="F57" s="51">
        <v>0.38</v>
      </c>
      <c r="G57" s="51">
        <v>0.38</v>
      </c>
      <c r="H57" s="51">
        <v>0.38</v>
      </c>
    </row>
    <row r="58" spans="1:8" ht="12.75">
      <c r="A58" s="19" t="s">
        <v>5</v>
      </c>
      <c r="B58" s="24" t="s">
        <v>6</v>
      </c>
      <c r="C58" s="51">
        <v>4</v>
      </c>
      <c r="D58" s="51">
        <v>4</v>
      </c>
      <c r="E58" s="51">
        <v>4</v>
      </c>
      <c r="F58" s="51">
        <v>4</v>
      </c>
      <c r="G58" s="51">
        <v>4</v>
      </c>
      <c r="H58" s="51">
        <v>4</v>
      </c>
    </row>
    <row r="59" spans="1:8" ht="12.75">
      <c r="A59" s="19" t="s">
        <v>14</v>
      </c>
      <c r="B59" s="24" t="s">
        <v>4</v>
      </c>
      <c r="C59" s="51">
        <f aca="true" t="shared" si="15" ref="C59:H59">2*C58*C57</f>
        <v>3.04</v>
      </c>
      <c r="D59" s="51">
        <f t="shared" si="15"/>
        <v>3.04</v>
      </c>
      <c r="E59" s="51">
        <f t="shared" si="15"/>
        <v>3.04</v>
      </c>
      <c r="F59" s="51">
        <f t="shared" si="15"/>
        <v>3.04</v>
      </c>
      <c r="G59" s="51">
        <f t="shared" si="15"/>
        <v>3.04</v>
      </c>
      <c r="H59" s="51">
        <f t="shared" si="15"/>
        <v>3.04</v>
      </c>
    </row>
    <row r="60" spans="1:8" ht="12.75">
      <c r="A60" s="19" t="s">
        <v>15</v>
      </c>
      <c r="B60" s="24" t="s">
        <v>16</v>
      </c>
      <c r="C60" s="50">
        <v>6</v>
      </c>
      <c r="D60" s="50">
        <v>6</v>
      </c>
      <c r="E60" s="50">
        <v>6</v>
      </c>
      <c r="F60" s="50">
        <v>6</v>
      </c>
      <c r="G60" s="50">
        <v>6</v>
      </c>
      <c r="H60" s="50">
        <v>6</v>
      </c>
    </row>
    <row r="61" spans="1:8" ht="12.75">
      <c r="A61" s="19" t="s">
        <v>17</v>
      </c>
      <c r="B61" s="24" t="s">
        <v>8</v>
      </c>
      <c r="C61" s="50">
        <f aca="true" t="shared" si="16" ref="C61:H61">(C17*(100*C58/C60))*2*(C14+C13)/1000</f>
        <v>35.4624</v>
      </c>
      <c r="D61" s="50">
        <f t="shared" si="16"/>
        <v>23.635200000000005</v>
      </c>
      <c r="E61" s="50">
        <f t="shared" si="16"/>
        <v>23.635200000000005</v>
      </c>
      <c r="F61" s="50">
        <f t="shared" si="16"/>
        <v>23.635200000000005</v>
      </c>
      <c r="G61" s="50">
        <f t="shared" si="16"/>
        <v>35.4624</v>
      </c>
      <c r="H61" s="50">
        <f t="shared" si="16"/>
        <v>35.4624</v>
      </c>
    </row>
    <row r="62" spans="1:8" ht="12.75">
      <c r="A62" s="19" t="s">
        <v>7</v>
      </c>
      <c r="B62" s="24" t="s">
        <v>8</v>
      </c>
      <c r="C62" s="50">
        <v>10</v>
      </c>
      <c r="D62" s="50">
        <v>10</v>
      </c>
      <c r="E62" s="50">
        <v>10</v>
      </c>
      <c r="F62" s="50">
        <v>10</v>
      </c>
      <c r="G62" s="50">
        <v>10</v>
      </c>
      <c r="H62" s="50">
        <v>10</v>
      </c>
    </row>
    <row r="63" spans="1:8" ht="12.75">
      <c r="A63" s="19" t="s">
        <v>9</v>
      </c>
      <c r="B63" s="24" t="s">
        <v>6</v>
      </c>
      <c r="C63" s="50">
        <f aca="true" t="shared" si="17" ref="C63:H63">C61/C62</f>
        <v>3.54624</v>
      </c>
      <c r="D63" s="50">
        <f t="shared" si="17"/>
        <v>2.3635200000000003</v>
      </c>
      <c r="E63" s="50">
        <f t="shared" si="17"/>
        <v>2.3635200000000003</v>
      </c>
      <c r="F63" s="50">
        <f t="shared" si="17"/>
        <v>2.3635200000000003</v>
      </c>
      <c r="G63" s="50">
        <f t="shared" si="17"/>
        <v>3.54624</v>
      </c>
      <c r="H63" s="50">
        <f t="shared" si="17"/>
        <v>3.54624</v>
      </c>
    </row>
    <row r="64" spans="1:8" ht="25.5">
      <c r="A64" s="19" t="s">
        <v>10</v>
      </c>
      <c r="B64" s="24" t="s">
        <v>0</v>
      </c>
      <c r="C64" s="51">
        <v>1.3</v>
      </c>
      <c r="D64" s="51">
        <v>1.3</v>
      </c>
      <c r="E64" s="51">
        <v>1.3</v>
      </c>
      <c r="F64" s="51">
        <v>1.3</v>
      </c>
      <c r="G64" s="51">
        <v>1.3</v>
      </c>
      <c r="H64" s="51">
        <v>1.3</v>
      </c>
    </row>
    <row r="65" spans="1:8" ht="12.75">
      <c r="A65" s="19" t="s">
        <v>49</v>
      </c>
      <c r="B65" s="24" t="s">
        <v>6</v>
      </c>
      <c r="C65" s="50">
        <f aca="true" t="shared" si="18" ref="C65:H65">C64*C63*C31</f>
        <v>55.321343999999996</v>
      </c>
      <c r="D65" s="50">
        <f t="shared" si="18"/>
        <v>36.870912000000004</v>
      </c>
      <c r="E65" s="50">
        <f t="shared" si="18"/>
        <v>18.435456000000002</v>
      </c>
      <c r="F65" s="50">
        <f t="shared" si="18"/>
        <v>18.435456000000002</v>
      </c>
      <c r="G65" s="50">
        <f t="shared" si="18"/>
        <v>13.830335999999999</v>
      </c>
      <c r="H65" s="50">
        <f t="shared" si="18"/>
        <v>41.491008</v>
      </c>
    </row>
    <row r="66" spans="1:8" ht="12.75">
      <c r="A66" s="18" t="s">
        <v>18</v>
      </c>
      <c r="B66" s="27" t="s">
        <v>1</v>
      </c>
      <c r="C66" s="50">
        <v>50</v>
      </c>
      <c r="D66" s="50">
        <v>50</v>
      </c>
      <c r="E66" s="50">
        <v>50</v>
      </c>
      <c r="F66" s="50">
        <v>50</v>
      </c>
      <c r="G66" s="50">
        <v>50</v>
      </c>
      <c r="H66" s="50">
        <v>50</v>
      </c>
    </row>
    <row r="67" spans="1:8" ht="12.75">
      <c r="A67" s="18" t="s">
        <v>51</v>
      </c>
      <c r="B67" s="23" t="s">
        <v>1</v>
      </c>
      <c r="C67" s="49">
        <f aca="true" t="shared" si="19" ref="C67:H67">C66*C65/C31</f>
        <v>230.5056</v>
      </c>
      <c r="D67" s="49">
        <f t="shared" si="19"/>
        <v>153.6288</v>
      </c>
      <c r="E67" s="49">
        <f t="shared" si="19"/>
        <v>153.6288</v>
      </c>
      <c r="F67" s="49">
        <f t="shared" si="19"/>
        <v>153.6288</v>
      </c>
      <c r="G67" s="49">
        <f t="shared" si="19"/>
        <v>230.5056</v>
      </c>
      <c r="H67" s="49">
        <f t="shared" si="19"/>
        <v>230.50560000000002</v>
      </c>
    </row>
    <row r="68" spans="1:8" ht="12.75">
      <c r="A68" s="20" t="s">
        <v>19</v>
      </c>
      <c r="B68" s="28" t="s">
        <v>20</v>
      </c>
      <c r="C68" s="51">
        <f aca="true" t="shared" si="20" ref="C68:H68">0.15*C13*C14*(C17)/1000</f>
        <v>0.57449088</v>
      </c>
      <c r="D68" s="51">
        <f t="shared" si="20"/>
        <v>0.38289024000000005</v>
      </c>
      <c r="E68" s="51">
        <f t="shared" si="20"/>
        <v>0.38289024000000005</v>
      </c>
      <c r="F68" s="51">
        <f t="shared" si="20"/>
        <v>0.38289024000000005</v>
      </c>
      <c r="G68" s="51">
        <f t="shared" si="20"/>
        <v>0.57449088</v>
      </c>
      <c r="H68" s="51">
        <f t="shared" si="20"/>
        <v>0.57449088</v>
      </c>
    </row>
    <row r="69" spans="1:8" ht="12.75">
      <c r="A69" s="18" t="s">
        <v>21</v>
      </c>
      <c r="B69" s="27" t="s">
        <v>22</v>
      </c>
      <c r="C69" s="50">
        <v>150</v>
      </c>
      <c r="D69" s="50">
        <v>150</v>
      </c>
      <c r="E69" s="50">
        <v>150</v>
      </c>
      <c r="F69" s="50">
        <v>150</v>
      </c>
      <c r="G69" s="50">
        <v>150</v>
      </c>
      <c r="H69" s="50">
        <v>150</v>
      </c>
    </row>
    <row r="70" spans="1:8" ht="12.75">
      <c r="A70" s="18" t="s">
        <v>52</v>
      </c>
      <c r="B70" s="23" t="s">
        <v>1</v>
      </c>
      <c r="C70" s="49">
        <f aca="true" t="shared" si="21" ref="C70:H70">C69*C68</f>
        <v>86.17363200000001</v>
      </c>
      <c r="D70" s="49">
        <f t="shared" si="21"/>
        <v>57.433536000000004</v>
      </c>
      <c r="E70" s="49">
        <f t="shared" si="21"/>
        <v>57.433536000000004</v>
      </c>
      <c r="F70" s="49">
        <f t="shared" si="21"/>
        <v>57.433536000000004</v>
      </c>
      <c r="G70" s="49">
        <f t="shared" si="21"/>
        <v>86.17363200000001</v>
      </c>
      <c r="H70" s="49">
        <f t="shared" si="21"/>
        <v>86.17363200000001</v>
      </c>
    </row>
    <row r="71" spans="1:8" ht="12.75">
      <c r="A71" s="18"/>
      <c r="B71" s="27"/>
      <c r="C71" s="45">
        <v>0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</row>
    <row r="72" spans="1:8" ht="13.5" thickBot="1">
      <c r="A72" s="34"/>
      <c r="B72" s="53"/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</row>
    <row r="73" spans="1:8" ht="19.5" customHeight="1" thickBot="1">
      <c r="A73" s="35" t="s">
        <v>54</v>
      </c>
      <c r="B73" s="36"/>
      <c r="C73" s="55">
        <f>C53+C67+C70+C56</f>
        <v>1150.7495280629923</v>
      </c>
      <c r="D73" s="55">
        <f>D53+D67+D70</f>
        <v>735.255091905512</v>
      </c>
      <c r="E73" s="55">
        <f>E53+E67+E70</f>
        <v>735.255091905512</v>
      </c>
      <c r="F73" s="55">
        <f>F53+F67+F70</f>
        <v>735.255091905512</v>
      </c>
      <c r="G73" s="55">
        <f>G53+G67+G70</f>
        <v>1103.1812792440946</v>
      </c>
      <c r="H73" s="55">
        <f>H53+H67+H70</f>
        <v>1103.1812792440946</v>
      </c>
    </row>
    <row r="74" spans="1:8" ht="24.75" customHeight="1" thickBot="1">
      <c r="A74" s="21" t="s">
        <v>55</v>
      </c>
      <c r="B74" s="29"/>
      <c r="C74" s="56">
        <f aca="true" t="shared" si="22" ref="C74:H74">C73+C33</f>
        <v>1676.2495280629923</v>
      </c>
      <c r="D74" s="56">
        <f t="shared" si="22"/>
        <v>1079.935091905512</v>
      </c>
      <c r="E74" s="56">
        <f t="shared" si="22"/>
        <v>1079.935091905512</v>
      </c>
      <c r="F74" s="56">
        <f t="shared" si="22"/>
        <v>1079.935091905512</v>
      </c>
      <c r="G74" s="56">
        <f t="shared" si="22"/>
        <v>1620.3412792440945</v>
      </c>
      <c r="H74" s="56">
        <f t="shared" si="22"/>
        <v>1620.3412792440945</v>
      </c>
    </row>
    <row r="75" spans="1:8" ht="21.75" customHeight="1" thickBot="1">
      <c r="A75" s="35" t="s">
        <v>56</v>
      </c>
      <c r="B75" s="36"/>
      <c r="C75" s="55">
        <f aca="true" t="shared" si="23" ref="C75:H75">C73*C31</f>
        <v>13808.994336755908</v>
      </c>
      <c r="D75" s="55">
        <f t="shared" si="23"/>
        <v>8823.061102866144</v>
      </c>
      <c r="E75" s="55">
        <f t="shared" si="23"/>
        <v>4411.530551433072</v>
      </c>
      <c r="F75" s="55">
        <f t="shared" si="23"/>
        <v>4411.530551433072</v>
      </c>
      <c r="G75" s="55">
        <f t="shared" si="23"/>
        <v>3309.543837732284</v>
      </c>
      <c r="H75" s="55">
        <f t="shared" si="23"/>
        <v>9928.631513196851</v>
      </c>
    </row>
    <row r="76" spans="1:8" ht="22.5" customHeight="1" thickBot="1">
      <c r="A76" s="21" t="s">
        <v>57</v>
      </c>
      <c r="B76" s="29"/>
      <c r="C76" s="56">
        <f aca="true" t="shared" si="24" ref="C76:H76">C74*C31</f>
        <v>20114.99433675591</v>
      </c>
      <c r="D76" s="56">
        <f t="shared" si="24"/>
        <v>12959.221102866144</v>
      </c>
      <c r="E76" s="56">
        <f t="shared" si="24"/>
        <v>6479.610551433072</v>
      </c>
      <c r="F76" s="56">
        <f t="shared" si="24"/>
        <v>6479.610551433072</v>
      </c>
      <c r="G76" s="56">
        <f t="shared" si="24"/>
        <v>4861.023837732284</v>
      </c>
      <c r="H76" s="56">
        <f t="shared" si="24"/>
        <v>14583.07151319685</v>
      </c>
    </row>
    <row r="77" spans="1:8" ht="22.5" customHeight="1">
      <c r="A77" s="110"/>
      <c r="B77" s="111"/>
      <c r="C77" s="112"/>
      <c r="D77" s="112"/>
      <c r="E77" s="112"/>
      <c r="F77" s="112"/>
      <c r="G77" s="112"/>
      <c r="H77" s="112"/>
    </row>
    <row r="78" spans="1:9" ht="15.75">
      <c r="A78" s="105"/>
      <c r="B78" s="106"/>
      <c r="C78" s="107"/>
      <c r="D78" s="107"/>
      <c r="E78" s="107"/>
      <c r="F78" s="107"/>
      <c r="G78" s="107"/>
      <c r="H78" s="107"/>
      <c r="I78" s="108"/>
    </row>
    <row r="79" spans="1:9" ht="16.5" thickBot="1">
      <c r="A79" s="105" t="s">
        <v>83</v>
      </c>
      <c r="B79" s="106"/>
      <c r="C79" s="107"/>
      <c r="D79" s="107"/>
      <c r="E79" s="107"/>
      <c r="F79" s="107"/>
      <c r="G79" s="107"/>
      <c r="H79" s="107"/>
      <c r="I79" s="108"/>
    </row>
    <row r="80" spans="1:9" ht="12.75">
      <c r="A80" s="78" t="s">
        <v>59</v>
      </c>
      <c r="B80" s="81"/>
      <c r="C80" s="72"/>
      <c r="D80" s="72"/>
      <c r="E80" s="72"/>
      <c r="F80" s="72"/>
      <c r="G80" s="72"/>
      <c r="H80" s="72"/>
      <c r="I80" s="82">
        <f>SUM(C76:H766)</f>
        <v>3305233.491805255</v>
      </c>
    </row>
    <row r="81" spans="1:9" ht="12.75">
      <c r="A81" s="74" t="s">
        <v>102</v>
      </c>
      <c r="B81" s="66"/>
      <c r="C81" s="89">
        <v>8450</v>
      </c>
      <c r="D81" s="89">
        <v>7575</v>
      </c>
      <c r="E81" s="89">
        <v>7575</v>
      </c>
      <c r="F81" s="89">
        <v>7575</v>
      </c>
      <c r="G81" s="89">
        <v>8450</v>
      </c>
      <c r="H81" s="89">
        <v>8450</v>
      </c>
      <c r="I81" s="75"/>
    </row>
    <row r="82" spans="1:9" ht="12.75">
      <c r="A82" t="s">
        <v>103</v>
      </c>
      <c r="B82" s="66"/>
      <c r="C82" s="89">
        <v>8450</v>
      </c>
      <c r="D82" s="89">
        <v>7575</v>
      </c>
      <c r="E82" s="89">
        <f>E81*0.85</f>
        <v>6438.75</v>
      </c>
      <c r="F82" s="89">
        <f>F81*0.85</f>
        <v>6438.75</v>
      </c>
      <c r="G82" s="89">
        <f>G81*0.85</f>
        <v>7182.5</v>
      </c>
      <c r="H82" s="89">
        <f>H81*0.85</f>
        <v>7182.5</v>
      </c>
      <c r="I82" s="75"/>
    </row>
    <row r="83" spans="1:9" ht="12.75">
      <c r="A83" s="83" t="s">
        <v>69</v>
      </c>
      <c r="B83" s="66"/>
      <c r="C83" s="109">
        <v>40000</v>
      </c>
      <c r="D83" s="89">
        <v>30000</v>
      </c>
      <c r="E83" s="89">
        <v>30000</v>
      </c>
      <c r="F83" s="89">
        <v>30000</v>
      </c>
      <c r="G83" s="109">
        <v>40000</v>
      </c>
      <c r="H83" s="109">
        <v>40000</v>
      </c>
      <c r="I83" s="84">
        <f>SUM(C83:H83)</f>
        <v>210000</v>
      </c>
    </row>
    <row r="84" spans="1:9" ht="12.75">
      <c r="A84" s="83" t="s">
        <v>98</v>
      </c>
      <c r="B84" s="66"/>
      <c r="C84" s="89">
        <f aca="true" t="shared" si="25" ref="C84:H84">C82*C$31</f>
        <v>101400</v>
      </c>
      <c r="D84" s="89">
        <f t="shared" si="25"/>
        <v>90900</v>
      </c>
      <c r="E84" s="89">
        <f t="shared" si="25"/>
        <v>38632.5</v>
      </c>
      <c r="F84" s="89">
        <f t="shared" si="25"/>
        <v>38632.5</v>
      </c>
      <c r="G84" s="89">
        <f t="shared" si="25"/>
        <v>21547.5</v>
      </c>
      <c r="H84" s="89">
        <f t="shared" si="25"/>
        <v>64642.5</v>
      </c>
      <c r="I84" s="84">
        <f>SUM(C84:H84)</f>
        <v>355755</v>
      </c>
    </row>
    <row r="85" spans="1:9" ht="12.75">
      <c r="A85" s="74" t="s">
        <v>99</v>
      </c>
      <c r="B85" s="67"/>
      <c r="C85" s="89">
        <f aca="true" t="shared" si="26" ref="C85:H85">SUM(C83:C84)+C76</f>
        <v>161514.99433675592</v>
      </c>
      <c r="D85" s="89">
        <f t="shared" si="26"/>
        <v>133859.22110286614</v>
      </c>
      <c r="E85" s="89">
        <f t="shared" si="26"/>
        <v>75112.11055143307</v>
      </c>
      <c r="F85" s="89">
        <f t="shared" si="26"/>
        <v>75112.11055143307</v>
      </c>
      <c r="G85" s="89">
        <f t="shared" si="26"/>
        <v>66408.52383773228</v>
      </c>
      <c r="H85" s="89">
        <f t="shared" si="26"/>
        <v>119225.57151319685</v>
      </c>
      <c r="I85" s="85"/>
    </row>
    <row r="86" spans="1:9" ht="12.75">
      <c r="A86" s="74"/>
      <c r="B86" s="80"/>
      <c r="C86" s="69"/>
      <c r="D86" s="69"/>
      <c r="E86" s="69"/>
      <c r="F86" s="69"/>
      <c r="G86" s="69"/>
      <c r="H86" s="69"/>
      <c r="I86" s="85"/>
    </row>
    <row r="87" spans="1:9" ht="16.5" thickBot="1">
      <c r="A87" s="96" t="s">
        <v>68</v>
      </c>
      <c r="B87" s="97"/>
      <c r="C87" s="98"/>
      <c r="D87" s="98"/>
      <c r="E87" s="98"/>
      <c r="F87" s="98"/>
      <c r="G87" s="98"/>
      <c r="H87" s="98"/>
      <c r="I87" s="99">
        <f>SUM(I80:I85)</f>
        <v>3870988.491805255</v>
      </c>
    </row>
    <row r="88" spans="1:9" ht="15.75">
      <c r="A88" s="105"/>
      <c r="B88" s="106"/>
      <c r="C88" s="107"/>
      <c r="D88" s="107"/>
      <c r="E88" s="107"/>
      <c r="F88" s="107"/>
      <c r="G88" s="107"/>
      <c r="H88" s="107"/>
      <c r="I88" s="108"/>
    </row>
    <row r="89" spans="1:9" ht="15.75">
      <c r="A89" s="105"/>
      <c r="B89" s="106"/>
      <c r="C89" s="107"/>
      <c r="D89" s="107"/>
      <c r="E89" s="107"/>
      <c r="F89" s="107"/>
      <c r="G89" s="107"/>
      <c r="H89" s="107"/>
      <c r="I89" s="108"/>
    </row>
    <row r="90" spans="1:9" ht="16.5" thickBot="1">
      <c r="A90" s="105" t="s">
        <v>91</v>
      </c>
      <c r="B90" s="106"/>
      <c r="C90" s="113" t="s">
        <v>85</v>
      </c>
      <c r="D90" s="114">
        <v>0.5</v>
      </c>
      <c r="I90" s="114">
        <v>0.25</v>
      </c>
    </row>
    <row r="91" spans="1:9" ht="12.75">
      <c r="A91" s="78" t="s">
        <v>59</v>
      </c>
      <c r="B91" s="81"/>
      <c r="C91" s="72"/>
      <c r="D91" s="72"/>
      <c r="E91" s="72"/>
      <c r="F91" s="72"/>
      <c r="G91" s="72"/>
      <c r="H91" s="72"/>
      <c r="I91" s="82">
        <f>SUM(C76:H76)*(1+I90)</f>
        <v>81846.91486677167</v>
      </c>
    </row>
    <row r="92" spans="1:9" ht="12.75">
      <c r="A92" s="74"/>
      <c r="B92" s="66"/>
      <c r="C92" s="65"/>
      <c r="D92" s="65"/>
      <c r="E92" s="65"/>
      <c r="F92" s="65"/>
      <c r="G92" s="65"/>
      <c r="H92" s="65"/>
      <c r="I92" s="75"/>
    </row>
    <row r="93" spans="1:11" ht="12.75">
      <c r="A93" s="74" t="s">
        <v>84</v>
      </c>
      <c r="B93" s="66"/>
      <c r="C93" s="89">
        <f aca="true" t="shared" si="27" ref="C93:H94">C82</f>
        <v>8450</v>
      </c>
      <c r="D93" s="89">
        <f t="shared" si="27"/>
        <v>7575</v>
      </c>
      <c r="E93" s="89">
        <f t="shared" si="27"/>
        <v>6438.75</v>
      </c>
      <c r="F93" s="89">
        <f t="shared" si="27"/>
        <v>6438.75</v>
      </c>
      <c r="G93" s="89">
        <f t="shared" si="27"/>
        <v>7182.5</v>
      </c>
      <c r="H93" s="89">
        <f t="shared" si="27"/>
        <v>7182.5</v>
      </c>
      <c r="I93" s="75"/>
      <c r="K93" t="s">
        <v>95</v>
      </c>
    </row>
    <row r="94" spans="1:9" ht="12.75">
      <c r="A94" s="83" t="s">
        <v>69</v>
      </c>
      <c r="B94" s="66"/>
      <c r="C94" s="109">
        <f t="shared" si="27"/>
        <v>40000</v>
      </c>
      <c r="D94" s="109">
        <f t="shared" si="27"/>
        <v>30000</v>
      </c>
      <c r="E94" s="109">
        <f t="shared" si="27"/>
        <v>30000</v>
      </c>
      <c r="F94" s="109">
        <f t="shared" si="27"/>
        <v>30000</v>
      </c>
      <c r="G94" s="109">
        <f t="shared" si="27"/>
        <v>40000</v>
      </c>
      <c r="H94" s="109">
        <f t="shared" si="27"/>
        <v>40000</v>
      </c>
      <c r="I94" s="84">
        <f>SUM(C94:H94)*(1+D90)</f>
        <v>315000</v>
      </c>
    </row>
    <row r="95" spans="1:9" ht="12.75">
      <c r="A95" s="83" t="s">
        <v>98</v>
      </c>
      <c r="B95" s="66"/>
      <c r="C95" s="89">
        <f aca="true" t="shared" si="28" ref="C95:H95">C93*C$31</f>
        <v>101400</v>
      </c>
      <c r="D95" s="89">
        <f t="shared" si="28"/>
        <v>90900</v>
      </c>
      <c r="E95" s="89">
        <f t="shared" si="28"/>
        <v>38632.5</v>
      </c>
      <c r="F95" s="89">
        <f t="shared" si="28"/>
        <v>38632.5</v>
      </c>
      <c r="G95" s="89">
        <f t="shared" si="28"/>
        <v>21547.5</v>
      </c>
      <c r="H95" s="89">
        <f t="shared" si="28"/>
        <v>64642.5</v>
      </c>
      <c r="I95" s="84">
        <f>SUM(C95:H95)*(1+I90)</f>
        <v>444693.75</v>
      </c>
    </row>
    <row r="96" spans="1:9" ht="12.75">
      <c r="A96" s="74" t="s">
        <v>99</v>
      </c>
      <c r="B96" s="67"/>
      <c r="C96" s="89">
        <f aca="true" t="shared" si="29" ref="C96:H96">SUM(C94:C95)+C$76</f>
        <v>161514.99433675592</v>
      </c>
      <c r="D96" s="89">
        <f t="shared" si="29"/>
        <v>133859.22110286614</v>
      </c>
      <c r="E96" s="89">
        <f t="shared" si="29"/>
        <v>75112.11055143307</v>
      </c>
      <c r="F96" s="89">
        <f t="shared" si="29"/>
        <v>75112.11055143307</v>
      </c>
      <c r="G96" s="89">
        <f t="shared" si="29"/>
        <v>66408.52383773228</v>
      </c>
      <c r="H96" s="89">
        <f t="shared" si="29"/>
        <v>119225.57151319685</v>
      </c>
      <c r="I96" s="85"/>
    </row>
    <row r="97" spans="1:9" ht="13.5" thickBot="1">
      <c r="A97" s="74"/>
      <c r="B97" s="80"/>
      <c r="C97" s="69"/>
      <c r="D97" s="69"/>
      <c r="E97" s="69"/>
      <c r="F97" s="69"/>
      <c r="G97" s="69"/>
      <c r="H97" s="69"/>
      <c r="I97" s="116"/>
    </row>
    <row r="98" spans="1:9" ht="16.5" thickBot="1">
      <c r="A98" s="96" t="s">
        <v>68</v>
      </c>
      <c r="B98" s="97"/>
      <c r="C98" s="98"/>
      <c r="D98" s="98"/>
      <c r="E98" s="98"/>
      <c r="F98" s="115"/>
      <c r="G98" s="115"/>
      <c r="H98" s="115"/>
      <c r="I98" s="117">
        <f>SUM(I91:I96)</f>
        <v>841540.6648667717</v>
      </c>
    </row>
    <row r="99" spans="1:9" ht="15.75">
      <c r="A99" s="105"/>
      <c r="B99" s="106"/>
      <c r="C99" s="107"/>
      <c r="D99" s="107"/>
      <c r="E99" s="107"/>
      <c r="F99" s="107"/>
      <c r="G99" s="107"/>
      <c r="H99" s="107"/>
      <c r="I99" s="108"/>
    </row>
    <row r="100" spans="2:9" ht="12.75">
      <c r="B100" s="9"/>
      <c r="C100" s="11"/>
      <c r="D100" s="11"/>
      <c r="E100" s="11"/>
      <c r="F100" s="11"/>
      <c r="G100" s="11"/>
      <c r="H100" s="11"/>
      <c r="I100" s="52"/>
    </row>
    <row r="101" spans="2:9" ht="13.5" thickBot="1">
      <c r="B101" s="9"/>
      <c r="C101" s="11"/>
      <c r="D101" s="11"/>
      <c r="E101" s="11"/>
      <c r="F101" s="11"/>
      <c r="G101" s="11"/>
      <c r="H101" s="11"/>
      <c r="I101" s="52"/>
    </row>
    <row r="102" spans="1:9" ht="12.75">
      <c r="A102" s="78" t="s">
        <v>73</v>
      </c>
      <c r="B102" s="71"/>
      <c r="C102" s="72"/>
      <c r="D102" s="72"/>
      <c r="E102" s="72"/>
      <c r="F102" s="72"/>
      <c r="G102" s="72"/>
      <c r="H102" s="72"/>
      <c r="I102" s="73"/>
    </row>
    <row r="103" spans="1:9" ht="12.75">
      <c r="A103" s="74" t="s">
        <v>104</v>
      </c>
      <c r="B103" s="67">
        <v>40</v>
      </c>
      <c r="C103" s="65"/>
      <c r="D103" s="65"/>
      <c r="E103" s="65"/>
      <c r="F103" s="65"/>
      <c r="G103" s="65"/>
      <c r="H103" s="65"/>
      <c r="I103" s="75"/>
    </row>
    <row r="104" spans="1:9" ht="12.75">
      <c r="A104" s="74" t="s">
        <v>107</v>
      </c>
      <c r="B104" s="67">
        <v>16.56</v>
      </c>
      <c r="C104" s="65"/>
      <c r="D104" s="65"/>
      <c r="E104" s="65"/>
      <c r="F104" s="65"/>
      <c r="G104" s="65"/>
      <c r="H104" s="65"/>
      <c r="I104" s="75"/>
    </row>
    <row r="105" spans="1:9" ht="12.75">
      <c r="A105" s="74" t="s">
        <v>117</v>
      </c>
      <c r="B105" s="68"/>
      <c r="C105" s="68">
        <f aca="true" t="shared" si="30" ref="C105:H105">$B$104*C17*$B$103</f>
        <v>3058.6319999999996</v>
      </c>
      <c r="D105" s="68">
        <f t="shared" si="30"/>
        <v>2038.536</v>
      </c>
      <c r="E105" s="68">
        <f t="shared" si="30"/>
        <v>2038.536</v>
      </c>
      <c r="F105" s="68">
        <f t="shared" si="30"/>
        <v>2038.536</v>
      </c>
      <c r="G105" s="68">
        <f t="shared" si="30"/>
        <v>3058.6319999999996</v>
      </c>
      <c r="H105" s="68">
        <f t="shared" si="30"/>
        <v>3058.6319999999996</v>
      </c>
      <c r="I105" s="75"/>
    </row>
    <row r="106" spans="1:9" ht="12.75">
      <c r="A106" s="74" t="s">
        <v>111</v>
      </c>
      <c r="B106" s="68"/>
      <c r="C106" s="69">
        <f aca="true" t="shared" si="31" ref="C106:H106">C105*C31</f>
        <v>36703.583999999995</v>
      </c>
      <c r="D106" s="69">
        <f t="shared" si="31"/>
        <v>24462.432</v>
      </c>
      <c r="E106" s="69">
        <f t="shared" si="31"/>
        <v>12231.216</v>
      </c>
      <c r="F106" s="69">
        <f t="shared" si="31"/>
        <v>12231.216</v>
      </c>
      <c r="G106" s="69">
        <f t="shared" si="31"/>
        <v>9175.895999999999</v>
      </c>
      <c r="H106" s="69">
        <f t="shared" si="31"/>
        <v>27527.687999999995</v>
      </c>
      <c r="I106" s="75"/>
    </row>
    <row r="107" spans="1:9" ht="12.75">
      <c r="A107" s="74" t="s">
        <v>108</v>
      </c>
      <c r="B107" s="70">
        <f>85*4</f>
        <v>340</v>
      </c>
      <c r="C107" s="69"/>
      <c r="D107" s="69"/>
      <c r="E107" s="69"/>
      <c r="F107" s="69"/>
      <c r="G107" s="69"/>
      <c r="H107" s="69"/>
      <c r="I107" s="75"/>
    </row>
    <row r="108" spans="1:9" ht="12.75">
      <c r="A108" s="74" t="s">
        <v>109</v>
      </c>
      <c r="B108" s="70"/>
      <c r="C108" s="69">
        <f aca="true" t="shared" si="32" ref="C108:H108">$B$107*C17</f>
        <v>1569.9499999999998</v>
      </c>
      <c r="D108" s="69">
        <f t="shared" si="32"/>
        <v>1046.3500000000001</v>
      </c>
      <c r="E108" s="69">
        <f t="shared" si="32"/>
        <v>1046.3500000000001</v>
      </c>
      <c r="F108" s="69">
        <f t="shared" si="32"/>
        <v>1046.3500000000001</v>
      </c>
      <c r="G108" s="69">
        <f t="shared" si="32"/>
        <v>1569.9499999999998</v>
      </c>
      <c r="H108" s="69">
        <f t="shared" si="32"/>
        <v>1569.9499999999998</v>
      </c>
      <c r="I108" s="75"/>
    </row>
    <row r="109" spans="1:9" ht="12.75">
      <c r="A109" s="74" t="s">
        <v>112</v>
      </c>
      <c r="B109" s="70"/>
      <c r="C109" s="69">
        <f aca="true" t="shared" si="33" ref="C109:H109">C108*C31</f>
        <v>18839.399999999998</v>
      </c>
      <c r="D109" s="69">
        <f t="shared" si="33"/>
        <v>12556.2</v>
      </c>
      <c r="E109" s="69">
        <f t="shared" si="33"/>
        <v>6278.1</v>
      </c>
      <c r="F109" s="69">
        <f t="shared" si="33"/>
        <v>6278.1</v>
      </c>
      <c r="G109" s="69">
        <f t="shared" si="33"/>
        <v>4709.849999999999</v>
      </c>
      <c r="H109" s="69">
        <f t="shared" si="33"/>
        <v>14129.55</v>
      </c>
      <c r="I109" s="75"/>
    </row>
    <row r="110" spans="1:9" ht="12.75">
      <c r="A110" s="74" t="s">
        <v>113</v>
      </c>
      <c r="B110" s="66"/>
      <c r="C110" s="69">
        <f aca="true" t="shared" si="34" ref="C110:H111">C109+C106</f>
        <v>55542.984</v>
      </c>
      <c r="D110" s="69">
        <f t="shared" si="34"/>
        <v>37018.632</v>
      </c>
      <c r="E110" s="69">
        <f t="shared" si="34"/>
        <v>18509.316</v>
      </c>
      <c r="F110" s="69">
        <f t="shared" si="34"/>
        <v>18509.316</v>
      </c>
      <c r="G110" s="69">
        <f t="shared" si="34"/>
        <v>13885.746</v>
      </c>
      <c r="H110" s="69">
        <f t="shared" si="34"/>
        <v>41657.238</v>
      </c>
      <c r="I110" s="75"/>
    </row>
    <row r="111" spans="1:10" ht="12.75">
      <c r="A111" s="74" t="s">
        <v>113</v>
      </c>
      <c r="B111" s="87"/>
      <c r="C111" s="69">
        <f t="shared" si="34"/>
        <v>55542.984</v>
      </c>
      <c r="D111" s="69">
        <f t="shared" si="34"/>
        <v>37018.632</v>
      </c>
      <c r="E111" s="69">
        <f t="shared" si="34"/>
        <v>18509.316</v>
      </c>
      <c r="F111" s="69">
        <f t="shared" si="34"/>
        <v>18509.316</v>
      </c>
      <c r="G111" s="69">
        <f t="shared" si="34"/>
        <v>13885.746</v>
      </c>
      <c r="H111" s="69">
        <f t="shared" si="34"/>
        <v>41657.238</v>
      </c>
      <c r="I111" s="88">
        <f>SUM(C110:H110)</f>
        <v>185123.23200000002</v>
      </c>
      <c r="J111" s="121">
        <v>0.5</v>
      </c>
    </row>
    <row r="112" spans="1:10" ht="12.75">
      <c r="A112" s="83" t="s">
        <v>114</v>
      </c>
      <c r="B112" s="79"/>
      <c r="C112" s="89">
        <f aca="true" t="shared" si="35" ref="C112:H112">(C108+C105)/4</f>
        <v>1157.1454999999999</v>
      </c>
      <c r="D112" s="89">
        <f t="shared" si="35"/>
        <v>771.2215000000001</v>
      </c>
      <c r="E112" s="89">
        <f t="shared" si="35"/>
        <v>771.2215000000001</v>
      </c>
      <c r="F112" s="89">
        <f t="shared" si="35"/>
        <v>771.2215000000001</v>
      </c>
      <c r="G112" s="89">
        <f t="shared" si="35"/>
        <v>1157.1454999999999</v>
      </c>
      <c r="H112" s="89">
        <f t="shared" si="35"/>
        <v>1157.1454999999999</v>
      </c>
      <c r="I112" s="84"/>
      <c r="J112" s="121"/>
    </row>
    <row r="113" spans="1:10" ht="12.75">
      <c r="A113" s="90" t="s">
        <v>74</v>
      </c>
      <c r="B113" s="66"/>
      <c r="C113" s="65">
        <v>18</v>
      </c>
      <c r="D113" s="65">
        <v>18</v>
      </c>
      <c r="E113" s="65">
        <v>18</v>
      </c>
      <c r="F113" s="65">
        <v>18</v>
      </c>
      <c r="G113" s="65">
        <v>18</v>
      </c>
      <c r="H113" s="65">
        <v>18</v>
      </c>
      <c r="I113" s="91"/>
      <c r="J113" s="121"/>
    </row>
    <row r="114" spans="1:10" ht="13.5" thickBot="1">
      <c r="A114" s="144" t="s">
        <v>116</v>
      </c>
      <c r="B114" s="145"/>
      <c r="C114" s="86">
        <f aca="true" t="shared" si="36" ref="C114:H114">C113*4*C17*1.5</f>
        <v>498.68999999999994</v>
      </c>
      <c r="D114" s="86">
        <f t="shared" si="36"/>
        <v>332.37</v>
      </c>
      <c r="E114" s="86">
        <f t="shared" si="36"/>
        <v>332.37</v>
      </c>
      <c r="F114" s="86">
        <f t="shared" si="36"/>
        <v>332.37</v>
      </c>
      <c r="G114" s="86">
        <f t="shared" si="36"/>
        <v>498.68999999999994</v>
      </c>
      <c r="H114" s="86">
        <f t="shared" si="36"/>
        <v>498.68999999999994</v>
      </c>
      <c r="I114" s="146"/>
      <c r="J114" s="121"/>
    </row>
    <row r="115" spans="1:10" ht="13.5" thickBot="1">
      <c r="A115" s="92" t="s">
        <v>115</v>
      </c>
      <c r="B115" s="76"/>
      <c r="C115" s="86">
        <f aca="true" t="shared" si="37" ref="C115:H115">(C114+C112)*C31</f>
        <v>19870.025999999998</v>
      </c>
      <c r="D115" s="86">
        <f t="shared" si="37"/>
        <v>13243.098</v>
      </c>
      <c r="E115" s="86">
        <f t="shared" si="37"/>
        <v>6621.549</v>
      </c>
      <c r="F115" s="86">
        <f t="shared" si="37"/>
        <v>6621.549</v>
      </c>
      <c r="G115" s="86">
        <f t="shared" si="37"/>
        <v>4967.5064999999995</v>
      </c>
      <c r="H115" s="86">
        <f t="shared" si="37"/>
        <v>14902.519499999997</v>
      </c>
      <c r="I115" s="77">
        <f>SUM(C115:H115)</f>
        <v>66226.24799999999</v>
      </c>
      <c r="J115" s="121">
        <v>0.5</v>
      </c>
    </row>
    <row r="116" spans="1:10" ht="13.5" thickBot="1">
      <c r="A116" s="128" t="s">
        <v>92</v>
      </c>
      <c r="B116" s="129"/>
      <c r="C116" s="130">
        <v>5700</v>
      </c>
      <c r="D116" s="130">
        <v>3800</v>
      </c>
      <c r="E116" s="130">
        <v>3800</v>
      </c>
      <c r="F116" s="130">
        <v>3800</v>
      </c>
      <c r="G116" s="130">
        <v>5700</v>
      </c>
      <c r="H116" s="130">
        <v>5700</v>
      </c>
      <c r="I116" s="131">
        <f>SUM(C116:H116)</f>
        <v>28500</v>
      </c>
      <c r="J116" s="121">
        <v>0.5</v>
      </c>
    </row>
    <row r="117" spans="1:10" ht="13.5" thickBot="1">
      <c r="A117" s="128" t="s">
        <v>94</v>
      </c>
      <c r="B117" s="129"/>
      <c r="C117" s="130">
        <v>3000</v>
      </c>
      <c r="D117" s="130">
        <f>C117</f>
        <v>3000</v>
      </c>
      <c r="E117" s="130">
        <f>D117</f>
        <v>3000</v>
      </c>
      <c r="F117" s="130">
        <f>E117</f>
        <v>3000</v>
      </c>
      <c r="G117" s="130">
        <f>F117</f>
        <v>3000</v>
      </c>
      <c r="H117" s="130">
        <f>G117</f>
        <v>3000</v>
      </c>
      <c r="I117" s="131">
        <f>SUM(C117:H117)</f>
        <v>18000</v>
      </c>
      <c r="J117" s="121">
        <v>0.5</v>
      </c>
    </row>
    <row r="118" spans="1:9" ht="15.75" thickBot="1">
      <c r="A118" s="118" t="s">
        <v>75</v>
      </c>
      <c r="B118" s="94"/>
      <c r="C118" s="95"/>
      <c r="D118" s="95"/>
      <c r="E118" s="95"/>
      <c r="F118" s="95"/>
      <c r="G118" s="95"/>
      <c r="H118" s="95"/>
      <c r="I118" s="122">
        <f>SUM(I111:I117)</f>
        <v>297849.48</v>
      </c>
    </row>
    <row r="119" spans="1:9" ht="16.5" thickBot="1">
      <c r="A119" s="118" t="s">
        <v>110</v>
      </c>
      <c r="B119" s="120"/>
      <c r="C119" s="119"/>
      <c r="D119" s="119"/>
      <c r="E119" s="119"/>
      <c r="F119" s="119"/>
      <c r="G119" s="119"/>
      <c r="H119" s="119"/>
      <c r="I119" s="117">
        <f>I111*(1+J111)+I115*(1+J115)+I116*(1+J116)+I117*(1+J117)</f>
        <v>446774.22</v>
      </c>
    </row>
    <row r="120" ht="8.25" customHeight="1"/>
    <row r="121" ht="9" customHeight="1" thickBot="1"/>
    <row r="122" spans="1:9" ht="21" customHeight="1">
      <c r="A122" s="78" t="s">
        <v>76</v>
      </c>
      <c r="B122" s="81"/>
      <c r="C122" s="72"/>
      <c r="D122" s="72"/>
      <c r="E122" s="72"/>
      <c r="F122" s="72"/>
      <c r="G122" s="134"/>
      <c r="H122" s="134"/>
      <c r="I122" s="73"/>
    </row>
    <row r="123" spans="1:9" ht="15.75" thickBot="1">
      <c r="A123" s="123" t="s">
        <v>90</v>
      </c>
      <c r="B123" s="124"/>
      <c r="C123" s="101">
        <v>20</v>
      </c>
      <c r="D123" s="101">
        <v>20</v>
      </c>
      <c r="E123" s="101">
        <v>20</v>
      </c>
      <c r="F123" s="101">
        <v>20</v>
      </c>
      <c r="G123" s="101">
        <v>20</v>
      </c>
      <c r="H123" s="101">
        <v>20</v>
      </c>
      <c r="I123" s="125"/>
    </row>
    <row r="124" spans="1:9" ht="15.75" thickBot="1">
      <c r="A124" s="132" t="s">
        <v>93</v>
      </c>
      <c r="B124" s="124"/>
      <c r="C124" s="101">
        <v>6</v>
      </c>
      <c r="D124" s="101">
        <v>6</v>
      </c>
      <c r="E124" s="101">
        <v>6</v>
      </c>
      <c r="F124" s="101">
        <v>6</v>
      </c>
      <c r="G124" s="101">
        <v>6</v>
      </c>
      <c r="H124" s="101">
        <v>6</v>
      </c>
      <c r="I124" s="125"/>
    </row>
    <row r="125" spans="1:9" ht="15.75" thickBot="1">
      <c r="A125" s="74" t="s">
        <v>77</v>
      </c>
      <c r="B125" s="66"/>
      <c r="C125" s="101">
        <v>1</v>
      </c>
      <c r="D125" s="101">
        <v>1</v>
      </c>
      <c r="E125" s="101">
        <v>1</v>
      </c>
      <c r="F125" s="101">
        <v>1</v>
      </c>
      <c r="G125" s="101">
        <v>1</v>
      </c>
      <c r="H125" s="101">
        <v>1</v>
      </c>
      <c r="I125" s="75"/>
    </row>
    <row r="126" spans="1:9" ht="15.75" thickBot="1">
      <c r="A126" s="74" t="s">
        <v>78</v>
      </c>
      <c r="B126" s="66"/>
      <c r="C126" s="101">
        <f aca="true" t="shared" si="38" ref="C126:H126">C125*C17*1.5</f>
        <v>6.92625</v>
      </c>
      <c r="D126" s="101">
        <f t="shared" si="38"/>
        <v>4.61625</v>
      </c>
      <c r="E126" s="101">
        <f t="shared" si="38"/>
        <v>4.61625</v>
      </c>
      <c r="F126" s="101">
        <f t="shared" si="38"/>
        <v>4.61625</v>
      </c>
      <c r="G126" s="101">
        <f t="shared" si="38"/>
        <v>6.92625</v>
      </c>
      <c r="H126" s="101">
        <f t="shared" si="38"/>
        <v>6.92625</v>
      </c>
      <c r="I126" s="75"/>
    </row>
    <row r="127" spans="1:9" ht="15.75" thickBot="1">
      <c r="A127" s="74" t="s">
        <v>79</v>
      </c>
      <c r="B127" s="66"/>
      <c r="C127" s="101">
        <v>6</v>
      </c>
      <c r="D127" s="101">
        <v>6</v>
      </c>
      <c r="E127" s="101">
        <v>6</v>
      </c>
      <c r="F127" s="101">
        <v>6</v>
      </c>
      <c r="G127" s="101">
        <v>6</v>
      </c>
      <c r="H127" s="101">
        <v>6</v>
      </c>
      <c r="I127" s="75"/>
    </row>
    <row r="128" spans="1:9" ht="15.75" thickBot="1">
      <c r="A128" s="74" t="s">
        <v>89</v>
      </c>
      <c r="B128" s="66"/>
      <c r="C128" s="101">
        <f aca="true" t="shared" si="39" ref="C128:H128">C129*0.75/2</f>
        <v>185.33625</v>
      </c>
      <c r="D128" s="101">
        <f t="shared" si="39"/>
        <v>164.54625000000001</v>
      </c>
      <c r="E128" s="101">
        <f t="shared" si="39"/>
        <v>89.77312500000001</v>
      </c>
      <c r="F128" s="101">
        <f t="shared" si="39"/>
        <v>89.77312500000001</v>
      </c>
      <c r="G128" s="101">
        <f t="shared" si="39"/>
        <v>57.5840625</v>
      </c>
      <c r="H128" s="101">
        <f t="shared" si="39"/>
        <v>142.7521875</v>
      </c>
      <c r="I128" s="126"/>
    </row>
    <row r="129" spans="1:9" ht="16.5" thickBot="1">
      <c r="A129" s="102" t="s">
        <v>80</v>
      </c>
      <c r="B129" s="103"/>
      <c r="C129" s="101">
        <f aca="true" t="shared" si="40" ref="C129:H129">(C123+(C127+C126+C124)*C$31)*2</f>
        <v>494.23</v>
      </c>
      <c r="D129" s="101">
        <f t="shared" si="40"/>
        <v>438.79</v>
      </c>
      <c r="E129" s="101">
        <f t="shared" si="40"/>
        <v>239.395</v>
      </c>
      <c r="F129" s="101">
        <f t="shared" si="40"/>
        <v>239.395</v>
      </c>
      <c r="G129" s="101">
        <f t="shared" si="40"/>
        <v>153.5575</v>
      </c>
      <c r="H129" s="101">
        <f t="shared" si="40"/>
        <v>380.6725</v>
      </c>
      <c r="I129" s="154">
        <f>SUM(C129:H129)</f>
        <v>1946.04</v>
      </c>
    </row>
    <row r="130" spans="1:9" ht="16.5" thickBot="1">
      <c r="A130" s="74" t="s">
        <v>86</v>
      </c>
      <c r="B130" s="103"/>
      <c r="C130" s="101">
        <v>20</v>
      </c>
      <c r="D130" s="101">
        <v>20</v>
      </c>
      <c r="E130" s="101">
        <v>20</v>
      </c>
      <c r="F130" s="101">
        <v>20</v>
      </c>
      <c r="G130" s="101">
        <v>20</v>
      </c>
      <c r="H130" s="101">
        <v>20</v>
      </c>
      <c r="I130" s="127"/>
    </row>
    <row r="131" spans="1:9" ht="16.5" thickBot="1">
      <c r="A131" s="74" t="s">
        <v>87</v>
      </c>
      <c r="B131" s="103"/>
      <c r="C131" s="101">
        <v>20</v>
      </c>
      <c r="D131" s="101">
        <v>20</v>
      </c>
      <c r="E131" s="101">
        <v>20</v>
      </c>
      <c r="F131" s="101">
        <v>20</v>
      </c>
      <c r="G131" s="101">
        <v>20</v>
      </c>
      <c r="H131" s="101">
        <v>20</v>
      </c>
      <c r="I131" s="104"/>
    </row>
    <row r="132" spans="1:9" ht="16.5" thickBot="1">
      <c r="A132" s="74" t="s">
        <v>88</v>
      </c>
      <c r="B132" s="103"/>
      <c r="C132" s="101">
        <v>2</v>
      </c>
      <c r="D132" s="101">
        <v>2</v>
      </c>
      <c r="E132" s="101">
        <v>2</v>
      </c>
      <c r="F132" s="101">
        <v>2</v>
      </c>
      <c r="G132" s="101">
        <v>2</v>
      </c>
      <c r="H132" s="101">
        <v>2</v>
      </c>
      <c r="I132" s="104"/>
    </row>
    <row r="133" spans="1:9" ht="15.75" thickBot="1">
      <c r="A133" s="74" t="s">
        <v>81</v>
      </c>
      <c r="B133" s="66"/>
      <c r="C133" s="101">
        <v>4</v>
      </c>
      <c r="D133" s="101">
        <v>4</v>
      </c>
      <c r="E133" s="101">
        <v>4</v>
      </c>
      <c r="F133" s="101">
        <v>4</v>
      </c>
      <c r="G133" s="101">
        <v>4</v>
      </c>
      <c r="H133" s="101">
        <v>4</v>
      </c>
      <c r="I133" s="126"/>
    </row>
    <row r="134" spans="1:9" ht="16.5" thickBot="1">
      <c r="A134" s="96" t="s">
        <v>82</v>
      </c>
      <c r="B134" s="100"/>
      <c r="C134" s="101">
        <f aca="true" t="shared" si="41" ref="C134:H134">C133*C$31*2+C131+C130+C128</f>
        <v>321.33625</v>
      </c>
      <c r="D134" s="101">
        <f t="shared" si="41"/>
        <v>300.54625</v>
      </c>
      <c r="E134" s="101">
        <f t="shared" si="41"/>
        <v>177.773125</v>
      </c>
      <c r="F134" s="101">
        <f t="shared" si="41"/>
        <v>177.773125</v>
      </c>
      <c r="G134" s="101">
        <f t="shared" si="41"/>
        <v>121.5840625</v>
      </c>
      <c r="H134" s="101">
        <f t="shared" si="41"/>
        <v>254.7521875</v>
      </c>
      <c r="I134" s="154">
        <f>SUM(C134:H134)</f>
        <v>1353.7649999999999</v>
      </c>
    </row>
    <row r="137" spans="2:11" ht="12.75" hidden="1">
      <c r="B137">
        <v>1849</v>
      </c>
      <c r="C137" s="4">
        <v>144</v>
      </c>
      <c r="E137" s="4">
        <f>SUM(A137:D137)</f>
        <v>1993</v>
      </c>
      <c r="I137">
        <f>E137*K137</f>
        <v>161433</v>
      </c>
      <c r="K137">
        <v>81</v>
      </c>
    </row>
    <row r="138" spans="1:11" ht="12.75" hidden="1">
      <c r="A138">
        <v>632</v>
      </c>
      <c r="B138">
        <v>1934</v>
      </c>
      <c r="C138" s="4">
        <v>192</v>
      </c>
      <c r="D138" s="4">
        <v>940</v>
      </c>
      <c r="E138" s="4">
        <f>SUM(A138:D138)</f>
        <v>3698</v>
      </c>
      <c r="I138">
        <f>E138*K138</f>
        <v>628660</v>
      </c>
      <c r="K138">
        <v>170</v>
      </c>
    </row>
    <row r="139" ht="12.75" hidden="1">
      <c r="I139" s="52">
        <f>I138+I119+I98+I137</f>
        <v>2078407.8848667718</v>
      </c>
    </row>
    <row r="140" ht="13.5" thickBot="1"/>
    <row r="141" spans="1:9" ht="16.5" thickBot="1">
      <c r="A141" s="147" t="s">
        <v>118</v>
      </c>
      <c r="B141" s="147"/>
      <c r="C141" s="148">
        <f>I129/80</f>
        <v>24.325499999999998</v>
      </c>
      <c r="D141" s="149"/>
      <c r="E141" s="149"/>
      <c r="F141" s="149"/>
      <c r="G141" s="150" t="s">
        <v>122</v>
      </c>
      <c r="H141" s="150"/>
      <c r="I141" s="153">
        <f>I119+I98</f>
        <v>1288314.8848667718</v>
      </c>
    </row>
    <row r="142" spans="1:9" ht="15">
      <c r="A142" s="147" t="s">
        <v>119</v>
      </c>
      <c r="B142" s="147"/>
      <c r="C142" s="148">
        <f>C141/2</f>
        <v>12.162749999999999</v>
      </c>
      <c r="D142" s="149"/>
      <c r="E142" s="149"/>
      <c r="F142" s="149"/>
      <c r="G142" s="149"/>
      <c r="H142" s="149"/>
      <c r="I142" s="147"/>
    </row>
    <row r="143" spans="1:9" ht="15">
      <c r="A143" s="147" t="s">
        <v>120</v>
      </c>
      <c r="B143" s="147"/>
      <c r="C143" s="148">
        <f>C142/2</f>
        <v>6.0813749999999995</v>
      </c>
      <c r="D143" s="149"/>
      <c r="E143" s="149"/>
      <c r="F143" s="149"/>
      <c r="G143" s="149" t="s">
        <v>105</v>
      </c>
      <c r="H143" s="149"/>
      <c r="I143" s="151">
        <f>I134+I129</f>
        <v>3299.805</v>
      </c>
    </row>
    <row r="144" spans="1:9" ht="15">
      <c r="A144" s="147"/>
      <c r="B144" s="147"/>
      <c r="C144" s="149"/>
      <c r="D144" s="149"/>
      <c r="E144" s="149"/>
      <c r="F144" s="149"/>
      <c r="G144" s="149" t="s">
        <v>123</v>
      </c>
      <c r="H144" s="149"/>
      <c r="I144" s="152">
        <v>85</v>
      </c>
    </row>
    <row r="145" spans="1:9" ht="15.75" thickBot="1">
      <c r="A145" s="147"/>
      <c r="B145" s="147"/>
      <c r="C145" s="149"/>
      <c r="D145" s="149"/>
      <c r="E145" s="149"/>
      <c r="F145" s="149"/>
      <c r="G145" s="149" t="s">
        <v>124</v>
      </c>
      <c r="H145" s="149"/>
      <c r="I145" s="152">
        <v>160</v>
      </c>
    </row>
    <row r="146" spans="1:9" ht="16.5" thickBot="1">
      <c r="A146" s="147"/>
      <c r="B146" s="147"/>
      <c r="C146" s="149"/>
      <c r="D146" s="149"/>
      <c r="E146" s="149"/>
      <c r="F146" s="149"/>
      <c r="G146" s="150" t="s">
        <v>121</v>
      </c>
      <c r="H146" s="150"/>
      <c r="I146" s="153">
        <f>I129*I144+I134*I145</f>
        <v>382015.79999999993</v>
      </c>
    </row>
    <row r="147" spans="1:9" ht="15.75" thickBot="1">
      <c r="A147" s="147"/>
      <c r="B147" s="147"/>
      <c r="C147" s="149"/>
      <c r="D147" s="149"/>
      <c r="E147" s="149"/>
      <c r="F147" s="149"/>
      <c r="G147" s="149"/>
      <c r="H147" s="149"/>
      <c r="I147" s="147"/>
    </row>
    <row r="148" spans="1:9" ht="16.5" thickBot="1">
      <c r="A148" s="147"/>
      <c r="B148" s="147"/>
      <c r="C148" s="149"/>
      <c r="D148" s="149"/>
      <c r="E148" s="149"/>
      <c r="F148" s="149"/>
      <c r="G148" s="150" t="s">
        <v>106</v>
      </c>
      <c r="H148" s="150"/>
      <c r="I148" s="153">
        <f>I146+I141</f>
        <v>1670330.6848667716</v>
      </c>
    </row>
    <row r="149" spans="1:9" ht="15">
      <c r="A149" s="147"/>
      <c r="B149" s="147"/>
      <c r="C149" s="149"/>
      <c r="D149" s="149"/>
      <c r="E149" s="149"/>
      <c r="F149" s="149"/>
      <c r="G149" s="149"/>
      <c r="H149" s="149"/>
      <c r="I149" s="147"/>
    </row>
  </sheetData>
  <printOptions/>
  <pageMargins left="0.75" right="0.75" top="1" bottom="1" header="0.5" footer="0.5"/>
  <pageSetup horizontalDpi="600" verticalDpi="600" orientation="portrait" paperSize="3" r:id="rId1"/>
  <headerFooter alignWithMargins="0">
    <oddHeader>&amp;C&amp;"Arial,Bold"&amp;14NCSX PF Fabrication Material Cost Estimate</oddHeader>
  </headerFooter>
  <rowBreaks count="2" manualBreakCount="2">
    <brk id="7" max="9" man="1"/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helpdesk</cp:lastModifiedBy>
  <cp:lastPrinted>2008-01-07T20:20:12Z</cp:lastPrinted>
  <dcterms:created xsi:type="dcterms:W3CDTF">2001-10-24T18:11:20Z</dcterms:created>
  <dcterms:modified xsi:type="dcterms:W3CDTF">2008-01-09T17:47:51Z</dcterms:modified>
  <cp:category/>
  <cp:version/>
  <cp:contentType/>
  <cp:contentStatus/>
</cp:coreProperties>
</file>