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15" windowHeight="12975" tabRatio="186" activeTab="0"/>
  </bookViews>
  <sheets>
    <sheet name="M&amp;S" sheetId="1" r:id="rId1"/>
  </sheets>
  <definedNames>
    <definedName name="_xlnm.Print_Area" localSheetId="0">'M&amp;S'!$A$8:$G$151</definedName>
  </definedNames>
  <calcPr fullCalcOnLoad="1"/>
</workbook>
</file>

<file path=xl/sharedStrings.xml><?xml version="1.0" encoding="utf-8"?>
<sst xmlns="http://schemas.openxmlformats.org/spreadsheetml/2006/main" count="183" uniqueCount="121">
  <si>
    <t>multiplier</t>
  </si>
  <si>
    <t>$</t>
  </si>
  <si>
    <t>m/m</t>
  </si>
  <si>
    <t>turn ins.  Tape Thickness</t>
  </si>
  <si>
    <t>mm</t>
  </si>
  <si>
    <t>No. half lapped layers</t>
  </si>
  <si>
    <t>#</t>
  </si>
  <si>
    <t>meters of ins. /roll</t>
  </si>
  <si>
    <t>m</t>
  </si>
  <si>
    <t>no. rolls/coil</t>
  </si>
  <si>
    <t>insulation waste factor</t>
  </si>
  <si>
    <t>turn insulation cost per roll</t>
  </si>
  <si>
    <t>$/roll</t>
  </si>
  <si>
    <t>ground wall tape thickness</t>
  </si>
  <si>
    <t>total ground wall thick.</t>
  </si>
  <si>
    <t>ground wall tape width</t>
  </si>
  <si>
    <t>cm</t>
  </si>
  <si>
    <t>gw tape length reqd.</t>
  </si>
  <si>
    <t>GW tape cost per roll</t>
  </si>
  <si>
    <t>Epoxy volume reqd. (15% void fraction)</t>
  </si>
  <si>
    <t>l</t>
  </si>
  <si>
    <t>Epoxy cost/liter</t>
  </si>
  <si>
    <t>$/l</t>
  </si>
  <si>
    <t>$/kg</t>
  </si>
  <si>
    <t>Cu density</t>
  </si>
  <si>
    <t>radius</t>
  </si>
  <si>
    <t xml:space="preserve">m </t>
  </si>
  <si>
    <t>bundle dr</t>
  </si>
  <si>
    <t>bundle dz</t>
  </si>
  <si>
    <t>no. of turns</t>
  </si>
  <si>
    <t>packing fraction</t>
  </si>
  <si>
    <t>kg</t>
  </si>
  <si>
    <t>length per turn</t>
  </si>
  <si>
    <t>total length of cu per coil</t>
  </si>
  <si>
    <t>turn height</t>
  </si>
  <si>
    <t>turn width</t>
  </si>
  <si>
    <t>coolant hole dia.</t>
  </si>
  <si>
    <t>corner radii</t>
  </si>
  <si>
    <t>conductor area</t>
  </si>
  <si>
    <t>mm^2</t>
  </si>
  <si>
    <t>misc matl -$ per lb of Cu in coils</t>
  </si>
  <si>
    <t>calculated coil Cu wt.</t>
  </si>
  <si>
    <t>glass insul width</t>
  </si>
  <si>
    <t>turn insul.:  length/meter of cond./layer</t>
  </si>
  <si>
    <t>turn insul. length/meter of cond./layer</t>
  </si>
  <si>
    <t>II.  Materials M&amp;S</t>
  </si>
  <si>
    <t>Number of Coils</t>
  </si>
  <si>
    <t>Trim1</t>
  </si>
  <si>
    <t>total rolls of turn ins. reqd N Coils</t>
  </si>
  <si>
    <t>no. rolls of GW insulation, for all coils</t>
  </si>
  <si>
    <t>turn insulation cost per coil</t>
  </si>
  <si>
    <t>GW insulation cost per coil</t>
  </si>
  <si>
    <t>Epoxy cost per coil</t>
  </si>
  <si>
    <t>copper cost per coil</t>
  </si>
  <si>
    <t>Material Costs Inuslation per Coil</t>
  </si>
  <si>
    <t>Material Cost Including Copper Condutor per Coil</t>
  </si>
  <si>
    <t>Material Costs Inuslation Total</t>
  </si>
  <si>
    <t>Material Cost Including Copper Condutor Total</t>
  </si>
  <si>
    <t>Trim2</t>
  </si>
  <si>
    <t>Total Material Cost All Trim Coils</t>
  </si>
  <si>
    <t>total rolls of turn ins. reqd.per coil</t>
  </si>
  <si>
    <t>Trim Coil Material Estimate</t>
  </si>
  <si>
    <t>Winding geometry</t>
  </si>
  <si>
    <t xml:space="preserve"> insul width</t>
  </si>
  <si>
    <t>Length of Kapton</t>
  </si>
  <si>
    <t>Cost per Meter of Kapton</t>
  </si>
  <si>
    <t>$/m</t>
  </si>
  <si>
    <t>Kapton Cost per Coil</t>
  </si>
  <si>
    <t>VPI Mold</t>
  </si>
  <si>
    <t>Manufacturing Cost per Coil based on Jupiter Coil Cost</t>
  </si>
  <si>
    <t>Total Cost All Coils</t>
  </si>
  <si>
    <t>Winding Mandrel, Lead Forming, Clamps etc</t>
  </si>
  <si>
    <t>Total Cost for Fixtures</t>
  </si>
  <si>
    <t>Total Cost For N Coils</t>
  </si>
  <si>
    <t>Recurring Costs for N Coils</t>
  </si>
  <si>
    <t>Trim3</t>
  </si>
  <si>
    <t>Trim4</t>
  </si>
  <si>
    <t>Copper Cost Per Meter</t>
  </si>
  <si>
    <t>Installation Hardware</t>
  </si>
  <si>
    <t>Weight per Bracket</t>
  </si>
  <si>
    <t>$ per bracket</t>
  </si>
  <si>
    <t>Brackets Spacing meters</t>
  </si>
  <si>
    <t>Brackets per Coil</t>
  </si>
  <si>
    <t>Total Brackets</t>
  </si>
  <si>
    <t>Fabrication Cost per Bracket (3weeks of water jet)</t>
  </si>
  <si>
    <t>Cost Bracket Fabrication</t>
  </si>
  <si>
    <t>Cost Bracket Fabrication with Materials</t>
  </si>
  <si>
    <t>$ per lb for plate (316 SS $8/lb  AL $5/lb)</t>
  </si>
  <si>
    <t>Cost of Material for Brackets</t>
  </si>
  <si>
    <t>Total Cost Brackets</t>
  </si>
  <si>
    <t>Hardware Cost per 3/8 Bolt (Inconnel)</t>
  </si>
  <si>
    <t>Cost for one Compression Plate</t>
  </si>
  <si>
    <t>Cost for all compression plates</t>
  </si>
  <si>
    <t>Cost for Hardware</t>
  </si>
  <si>
    <t>Cost for all Bolts and Studs</t>
  </si>
  <si>
    <t>G11 Plates</t>
  </si>
  <si>
    <t>Installation Man Hour Estimate</t>
  </si>
  <si>
    <t>Hours per bracket</t>
  </si>
  <si>
    <t>Hours per coil for brackets</t>
  </si>
  <si>
    <t>Hours per coil for coil Installation</t>
  </si>
  <si>
    <t>Total Hours for Tech (2 work at once)</t>
  </si>
  <si>
    <t>Hours to Measure Coil Location per Coil</t>
  </si>
  <si>
    <t>Total Hours for post Installation Metrology (2 Eng.)</t>
  </si>
  <si>
    <t>Estimate Based on Past Job Costs</t>
  </si>
  <si>
    <t>Everson Budgetary Estimate</t>
  </si>
  <si>
    <t>Manufacturing Cost from Everson Budgetary Estimate</t>
  </si>
  <si>
    <t>Fixtures =</t>
  </si>
  <si>
    <t>Coils&amp; Materials =</t>
  </si>
  <si>
    <t>Determine Metrology Procedure and Setup</t>
  </si>
  <si>
    <t>Interpret Results and Report</t>
  </si>
  <si>
    <t>Charicterize Coils Before Assembly</t>
  </si>
  <si>
    <t>Metrology for bracket installation</t>
  </si>
  <si>
    <t>Tooling / Training / Preperation</t>
  </si>
  <si>
    <t>Cost for Hardware with adjusted for uncertainty</t>
  </si>
  <si>
    <r>
      <t xml:space="preserve">Everson Budgetary Estimate </t>
    </r>
    <r>
      <rPr>
        <b/>
        <sz val="10"/>
        <rFont val="Arial"/>
        <family val="2"/>
      </rPr>
      <t>(adjusted for uncertainty)</t>
    </r>
  </si>
  <si>
    <t>Cost per Channel Material Per Coil</t>
  </si>
  <si>
    <t>Weight Support Channels Material lbs per coil</t>
  </si>
  <si>
    <t>Cost for Channels For Coil Type</t>
  </si>
  <si>
    <t>Cost for Mockups of Each Coil</t>
  </si>
  <si>
    <t>Hours to Position Coil and mark locations</t>
  </si>
  <si>
    <t>Cost For Installation Fixtures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</si>
</sst>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0.000"/>
    <numFmt numFmtId="175" formatCode="0.0000"/>
    <numFmt numFmtId="176" formatCode="0.000E+00"/>
    <numFmt numFmtId="177" formatCode="&quot;$&quot;#,##0.00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5" fontId="4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174" fontId="0" fillId="0" borderId="2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0" fillId="0" borderId="4" xfId="0" applyFill="1" applyBorder="1" applyAlignment="1">
      <alignment/>
    </xf>
    <xf numFmtId="165" fontId="1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74" fontId="5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/>
    </xf>
    <xf numFmtId="165" fontId="0" fillId="0" borderId="7" xfId="0" applyNumberFormat="1" applyFont="1" applyFill="1" applyBorder="1" applyAlignment="1">
      <alignment wrapText="1"/>
    </xf>
    <xf numFmtId="165" fontId="3" fillId="0" borderId="8" xfId="0" applyNumberFormat="1" applyFont="1" applyFill="1" applyBorder="1" applyAlignment="1">
      <alignment horizontal="left" wrapText="1"/>
    </xf>
    <xf numFmtId="165" fontId="3" fillId="0" borderId="9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 wrapText="1"/>
    </xf>
    <xf numFmtId="165" fontId="0" fillId="0" borderId="11" xfId="0" applyNumberFormat="1" applyFont="1" applyFill="1" applyBorder="1" applyAlignment="1">
      <alignment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165" fontId="0" fillId="0" borderId="8" xfId="0" applyNumberFormat="1" applyFont="1" applyFill="1" applyBorder="1" applyAlignment="1">
      <alignment wrapText="1"/>
    </xf>
    <xf numFmtId="165" fontId="1" fillId="0" borderId="9" xfId="0" applyNumberFormat="1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 wrapText="1"/>
    </xf>
    <xf numFmtId="166" fontId="0" fillId="0" borderId="7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74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11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66" fontId="0" fillId="0" borderId="14" xfId="0" applyNumberFormat="1" applyFont="1" applyBorder="1" applyAlignment="1">
      <alignment wrapText="1"/>
    </xf>
    <xf numFmtId="166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66" fontId="0" fillId="0" borderId="14" xfId="0" applyNumberForma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166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/>
    </xf>
    <xf numFmtId="166" fontId="1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166" fontId="1" fillId="0" borderId="24" xfId="0" applyNumberFormat="1" applyFont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25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9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19" xfId="0" applyFont="1" applyBorder="1" applyAlignment="1">
      <alignment wrapText="1"/>
    </xf>
    <xf numFmtId="166" fontId="9" fillId="0" borderId="19" xfId="0" applyNumberFormat="1" applyFont="1" applyFill="1" applyBorder="1" applyAlignment="1">
      <alignment/>
    </xf>
    <xf numFmtId="166" fontId="8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1" fontId="9" fillId="0" borderId="19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66" fontId="9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 horizontal="left"/>
    </xf>
    <xf numFmtId="166" fontId="9" fillId="0" borderId="26" xfId="0" applyNumberFormat="1" applyFont="1" applyFill="1" applyBorder="1" applyAlignment="1">
      <alignment/>
    </xf>
    <xf numFmtId="166" fontId="0" fillId="0" borderId="24" xfId="0" applyNumberFormat="1" applyBorder="1" applyAlignment="1">
      <alignment/>
    </xf>
    <xf numFmtId="166" fontId="10" fillId="0" borderId="8" xfId="0" applyNumberFormat="1" applyFont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0" fontId="0" fillId="0" borderId="0" xfId="0" applyNumberFormat="1" applyAlignment="1">
      <alignment/>
    </xf>
    <xf numFmtId="166" fontId="9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9" fillId="0" borderId="26" xfId="0" applyNumberFormat="1" applyFont="1" applyFill="1" applyBorder="1" applyAlignment="1">
      <alignment/>
    </xf>
    <xf numFmtId="0" fontId="0" fillId="0" borderId="24" xfId="0" applyBorder="1" applyAlignment="1">
      <alignment/>
    </xf>
    <xf numFmtId="1" fontId="8" fillId="0" borderId="31" xfId="0" applyNumberFormat="1" applyFont="1" applyBorder="1" applyAlignment="1">
      <alignment/>
    </xf>
    <xf numFmtId="1" fontId="10" fillId="0" borderId="8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6" fontId="0" fillId="0" borderId="33" xfId="0" applyNumberFormat="1" applyFill="1" applyBorder="1" applyAlignment="1">
      <alignment/>
    </xf>
    <xf numFmtId="166" fontId="1" fillId="0" borderId="34" xfId="0" applyNumberFormat="1" applyFont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2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="125" zoomScaleNormal="125" workbookViewId="0" topLeftCell="A120">
      <selection activeCell="I29" sqref="I29"/>
    </sheetView>
  </sheetViews>
  <sheetFormatPr defaultColWidth="9.140625" defaultRowHeight="12.75"/>
  <cols>
    <col min="1" max="1" width="47.421875" style="0" customWidth="1"/>
    <col min="2" max="2" width="6.7109375" style="0" customWidth="1"/>
    <col min="3" max="3" width="7.8515625" style="4" customWidth="1"/>
    <col min="4" max="4" width="7.7109375" style="4" customWidth="1"/>
    <col min="5" max="5" width="9.57421875" style="4" customWidth="1"/>
    <col min="6" max="6" width="9.8515625" style="4" customWidth="1"/>
    <col min="7" max="7" width="11.00390625" style="0" customWidth="1"/>
    <col min="8" max="8" width="9.140625" style="0" customWidth="1"/>
    <col min="9" max="9" width="5.28125" style="0" customWidth="1"/>
  </cols>
  <sheetData>
    <row r="1" spans="1:2" ht="12.75" hidden="1">
      <c r="A1" s="10"/>
      <c r="B1" s="4"/>
    </row>
    <row r="2" spans="1:2" ht="12.75" hidden="1">
      <c r="A2" s="4"/>
      <c r="B2" s="11"/>
    </row>
    <row r="3" spans="1:2" ht="12.75" hidden="1">
      <c r="A3" s="4"/>
      <c r="B3" s="11"/>
    </row>
    <row r="4" spans="1:2" ht="12.75" hidden="1">
      <c r="A4" s="4"/>
      <c r="B4" s="11"/>
    </row>
    <row r="5" spans="1:2" ht="12.75" hidden="1">
      <c r="A5" s="4"/>
      <c r="B5" s="11"/>
    </row>
    <row r="6" spans="1:2" ht="12.75" hidden="1">
      <c r="A6" s="12"/>
      <c r="B6" s="11"/>
    </row>
    <row r="7" spans="1:2" ht="12.75" hidden="1">
      <c r="A7" s="4"/>
      <c r="B7" s="4"/>
    </row>
    <row r="8" spans="1:6" ht="12.75">
      <c r="A8" s="10"/>
      <c r="B8" s="4"/>
      <c r="C8" s="30" t="s">
        <v>47</v>
      </c>
      <c r="D8" s="30" t="s">
        <v>58</v>
      </c>
      <c r="E8" s="30" t="s">
        <v>75</v>
      </c>
      <c r="F8" s="30" t="s">
        <v>76</v>
      </c>
    </row>
    <row r="9" spans="1:2" ht="12.75">
      <c r="A9" s="10"/>
      <c r="B9" s="4"/>
    </row>
    <row r="10" spans="1:2" ht="12.75">
      <c r="A10" s="10" t="s">
        <v>62</v>
      </c>
      <c r="B10" s="4"/>
    </row>
    <row r="11" spans="1:10" ht="12.75">
      <c r="A11" s="13"/>
      <c r="B11" s="13"/>
      <c r="C11" s="14"/>
      <c r="D11" s="14"/>
      <c r="E11" s="14"/>
      <c r="F11" s="14"/>
      <c r="G11" s="8"/>
      <c r="H11" s="7"/>
      <c r="I11" s="2"/>
      <c r="J11" s="2"/>
    </row>
    <row r="12" spans="1:10" ht="12.75">
      <c r="A12" s="59" t="s">
        <v>25</v>
      </c>
      <c r="B12" s="59" t="s">
        <v>26</v>
      </c>
      <c r="C12" s="60">
        <v>0.5219446</v>
      </c>
      <c r="D12" s="60">
        <v>0.5219446</v>
      </c>
      <c r="E12" s="60">
        <v>0.5219446</v>
      </c>
      <c r="F12" s="60">
        <v>0.5219446</v>
      </c>
      <c r="G12" s="5"/>
      <c r="H12" s="6"/>
      <c r="I12" s="1"/>
      <c r="J12" s="1"/>
    </row>
    <row r="13" spans="1:6" ht="12.75">
      <c r="A13" s="59" t="s">
        <v>27</v>
      </c>
      <c r="B13" s="59" t="s">
        <v>4</v>
      </c>
      <c r="C13" s="61">
        <f>C20*2+2.8</f>
        <v>28.8</v>
      </c>
      <c r="D13" s="61">
        <f>D20*2+2.8</f>
        <v>28.8</v>
      </c>
      <c r="E13" s="61">
        <f>E20*2+2.8</f>
        <v>28.8</v>
      </c>
      <c r="F13" s="61">
        <f>F20*2+2.8</f>
        <v>28.8</v>
      </c>
    </row>
    <row r="14" spans="1:6" ht="12.75">
      <c r="A14" s="59" t="s">
        <v>28</v>
      </c>
      <c r="B14" s="59" t="s">
        <v>4</v>
      </c>
      <c r="C14" s="61">
        <f>C13</f>
        <v>28.8</v>
      </c>
      <c r="D14" s="61">
        <f>D13</f>
        <v>28.8</v>
      </c>
      <c r="E14" s="61">
        <f>E13</f>
        <v>28.8</v>
      </c>
      <c r="F14" s="61">
        <f>F13</f>
        <v>28.8</v>
      </c>
    </row>
    <row r="15" spans="1:6" ht="12.75">
      <c r="A15" s="59" t="s">
        <v>29</v>
      </c>
      <c r="B15" s="59"/>
      <c r="C15" s="62">
        <v>4</v>
      </c>
      <c r="D15" s="62">
        <v>4</v>
      </c>
      <c r="E15" s="62">
        <v>4</v>
      </c>
      <c r="F15" s="62">
        <v>4</v>
      </c>
    </row>
    <row r="16" spans="1:6" ht="12.75">
      <c r="A16" s="59" t="s">
        <v>30</v>
      </c>
      <c r="B16" s="59"/>
      <c r="C16" s="61">
        <v>0.75</v>
      </c>
      <c r="D16" s="61">
        <v>0.75</v>
      </c>
      <c r="E16" s="61">
        <v>0.75</v>
      </c>
      <c r="F16" s="61">
        <v>0.75</v>
      </c>
    </row>
    <row r="17" spans="1:6" ht="12.75">
      <c r="A17" s="59" t="s">
        <v>32</v>
      </c>
      <c r="B17" s="59" t="s">
        <v>8</v>
      </c>
      <c r="C17" s="61">
        <f>C18/C15</f>
        <v>4.6175</v>
      </c>
      <c r="D17" s="61">
        <f>D18/D15</f>
        <v>3.0775</v>
      </c>
      <c r="E17" s="61">
        <f>E18/E15</f>
        <v>5.6</v>
      </c>
      <c r="F17" s="61">
        <f>F18/F15</f>
        <v>3.41</v>
      </c>
    </row>
    <row r="18" spans="1:6" ht="12.75">
      <c r="A18" s="59" t="s">
        <v>33</v>
      </c>
      <c r="B18" s="59" t="s">
        <v>8</v>
      </c>
      <c r="C18" s="61">
        <v>18.47</v>
      </c>
      <c r="D18" s="61">
        <v>12.31</v>
      </c>
      <c r="E18" s="61">
        <v>22.4</v>
      </c>
      <c r="F18" s="61">
        <v>13.64</v>
      </c>
    </row>
    <row r="19" spans="1:6" ht="12.75">
      <c r="A19" s="59" t="s">
        <v>34</v>
      </c>
      <c r="B19" s="59" t="s">
        <v>4</v>
      </c>
      <c r="C19" s="61">
        <v>13</v>
      </c>
      <c r="D19" s="61">
        <v>13</v>
      </c>
      <c r="E19" s="61">
        <v>13</v>
      </c>
      <c r="F19" s="61">
        <v>13</v>
      </c>
    </row>
    <row r="20" spans="1:6" ht="12.75">
      <c r="A20" s="59" t="s">
        <v>35</v>
      </c>
      <c r="B20" s="59" t="s">
        <v>4</v>
      </c>
      <c r="C20" s="61">
        <v>13</v>
      </c>
      <c r="D20" s="61">
        <v>13</v>
      </c>
      <c r="E20" s="61">
        <v>13</v>
      </c>
      <c r="F20" s="61">
        <v>13</v>
      </c>
    </row>
    <row r="21" spans="1:6" ht="12.75">
      <c r="A21" s="59" t="s">
        <v>36</v>
      </c>
      <c r="B21" s="59" t="s">
        <v>4</v>
      </c>
      <c r="C21" s="61">
        <v>0</v>
      </c>
      <c r="D21" s="61">
        <v>0</v>
      </c>
      <c r="E21" s="61">
        <v>0</v>
      </c>
      <c r="F21" s="61">
        <v>0</v>
      </c>
    </row>
    <row r="22" spans="1:6" ht="12.75">
      <c r="A22" s="59" t="s">
        <v>37</v>
      </c>
      <c r="B22" s="59" t="s">
        <v>4</v>
      </c>
      <c r="C22" s="61">
        <v>1.016</v>
      </c>
      <c r="D22" s="61">
        <v>1.016</v>
      </c>
      <c r="E22" s="61">
        <v>1.016</v>
      </c>
      <c r="F22" s="61">
        <v>1.016</v>
      </c>
    </row>
    <row r="23" spans="1:6" ht="12.75">
      <c r="A23" s="59" t="s">
        <v>38</v>
      </c>
      <c r="B23" s="59" t="s">
        <v>39</v>
      </c>
      <c r="C23" s="61">
        <f>C20*C19-((4-PI())*C22*C22)-PI()*C21^2/4</f>
        <v>168.11390386622398</v>
      </c>
      <c r="D23" s="61">
        <f>D20*D19-((4-PI())*D22*D22)-PI()*D21^2/4</f>
        <v>168.11390386622398</v>
      </c>
      <c r="E23" s="61">
        <f>E20*E19-((4-PI())*E22*E22)-PI()*E21^2/4</f>
        <v>168.11390386622398</v>
      </c>
      <c r="F23" s="61">
        <f>F20*F19-((4-PI())*F22*F22)-PI()*F21^2/4</f>
        <v>168.11390386622398</v>
      </c>
    </row>
    <row r="24" spans="1:6" ht="12.75">
      <c r="A24" s="59" t="s">
        <v>41</v>
      </c>
      <c r="B24" s="59" t="s">
        <v>31</v>
      </c>
      <c r="C24" s="61">
        <f>C18*1000*C23*$B25</f>
        <v>26.641447441830564</v>
      </c>
      <c r="D24" s="61">
        <f>D18*1000*D23*$B25</f>
        <v>17.756156903569803</v>
      </c>
      <c r="E24" s="61">
        <f>E18*1000*E23*$B25</f>
        <v>32.310147411857315</v>
      </c>
      <c r="F24" s="61">
        <f>F18*1000*F23*$B25</f>
        <v>19.67457190614883</v>
      </c>
    </row>
    <row r="25" spans="1:6" ht="12.75">
      <c r="A25" s="63" t="s">
        <v>24</v>
      </c>
      <c r="B25" s="64">
        <v>8.58E-06</v>
      </c>
      <c r="C25" s="65"/>
      <c r="D25" s="65"/>
      <c r="E25" s="65"/>
      <c r="F25" s="65"/>
    </row>
    <row r="26" spans="1:2" ht="12.75">
      <c r="A26" s="4"/>
      <c r="B26" s="4"/>
    </row>
    <row r="27" spans="1:2" ht="13.5" thickBot="1">
      <c r="A27" s="10" t="s">
        <v>61</v>
      </c>
      <c r="B27" s="4"/>
    </row>
    <row r="28" spans="1:6" ht="12.75">
      <c r="A28" s="15"/>
      <c r="B28" s="22"/>
      <c r="C28" s="30" t="s">
        <v>47</v>
      </c>
      <c r="D28" s="30" t="s">
        <v>58</v>
      </c>
      <c r="E28" s="30" t="s">
        <v>75</v>
      </c>
      <c r="F28" s="30" t="s">
        <v>76</v>
      </c>
    </row>
    <row r="29" spans="1:6" ht="12.75">
      <c r="A29" s="16" t="s">
        <v>45</v>
      </c>
      <c r="B29" s="23"/>
      <c r="C29" s="31"/>
      <c r="D29" s="31"/>
      <c r="E29" s="31"/>
      <c r="F29" s="31"/>
    </row>
    <row r="30" spans="1:6" ht="12.75">
      <c r="A30" s="17"/>
      <c r="B30" s="24"/>
      <c r="C30" s="32"/>
      <c r="D30" s="32"/>
      <c r="E30" s="32"/>
      <c r="F30" s="32"/>
    </row>
    <row r="31" spans="1:6" ht="13.5" thickBot="1">
      <c r="A31" s="37" t="s">
        <v>46</v>
      </c>
      <c r="B31" s="38"/>
      <c r="C31" s="98">
        <v>6</v>
      </c>
      <c r="D31" s="98">
        <v>12</v>
      </c>
      <c r="E31" s="98">
        <v>6</v>
      </c>
      <c r="F31" s="98">
        <v>12</v>
      </c>
    </row>
    <row r="32" spans="1:6" ht="13.5" thickBot="1">
      <c r="A32" s="57" t="s">
        <v>77</v>
      </c>
      <c r="B32" s="58"/>
      <c r="C32" s="55">
        <f>3153/(18.47*6)</f>
        <v>28.451543042772066</v>
      </c>
      <c r="D32" s="55">
        <v>28</v>
      </c>
      <c r="E32" s="55">
        <v>28</v>
      </c>
      <c r="F32" s="55">
        <v>28</v>
      </c>
    </row>
    <row r="33" spans="1:6" ht="13.5" thickBot="1">
      <c r="A33" s="42" t="s">
        <v>53</v>
      </c>
      <c r="B33" s="43" t="s">
        <v>1</v>
      </c>
      <c r="C33" s="55">
        <f>C32*C18</f>
        <v>525.5</v>
      </c>
      <c r="D33" s="55">
        <f>D32*D18</f>
        <v>344.68</v>
      </c>
      <c r="E33" s="55">
        <f>E32*E18</f>
        <v>627.1999999999999</v>
      </c>
      <c r="F33" s="55">
        <f>F32*F18</f>
        <v>381.92</v>
      </c>
    </row>
    <row r="34" spans="1:6" ht="12.75">
      <c r="A34" s="39" t="s">
        <v>40</v>
      </c>
      <c r="B34" s="40">
        <v>2</v>
      </c>
      <c r="C34" s="41" t="s">
        <v>23</v>
      </c>
      <c r="D34" s="41" t="s">
        <v>23</v>
      </c>
      <c r="E34" s="41" t="s">
        <v>23</v>
      </c>
      <c r="F34" s="41" t="s">
        <v>23</v>
      </c>
    </row>
    <row r="35" spans="1:8" ht="12.75">
      <c r="A35" s="18" t="s">
        <v>42</v>
      </c>
      <c r="B35" s="25" t="s">
        <v>4</v>
      </c>
      <c r="C35" s="33">
        <v>25.4</v>
      </c>
      <c r="D35" s="33">
        <v>25.4</v>
      </c>
      <c r="E35" s="33">
        <v>25.4</v>
      </c>
      <c r="F35" s="33">
        <v>25.4</v>
      </c>
      <c r="H35" s="3"/>
    </row>
    <row r="36" spans="1:6" ht="16.5" customHeight="1">
      <c r="A36" s="19" t="s">
        <v>43</v>
      </c>
      <c r="B36" s="26" t="s">
        <v>2</v>
      </c>
      <c r="C36" s="46">
        <f>(2*(C19+C20)*1000/C35)/1000</f>
        <v>2.0472440944881893</v>
      </c>
      <c r="D36" s="46">
        <f>(2*(D19+D20)*1000/D35)/1000</f>
        <v>2.0472440944881893</v>
      </c>
      <c r="E36" s="46">
        <f>(2*(E19+E20)*1000/E35)/1000</f>
        <v>2.0472440944881893</v>
      </c>
      <c r="F36" s="46">
        <f>(2*(F19+F20)*1000/F35)/1000</f>
        <v>2.0472440944881893</v>
      </c>
    </row>
    <row r="37" spans="1:6" ht="12.75">
      <c r="A37" s="19" t="s">
        <v>3</v>
      </c>
      <c r="B37" s="26" t="s">
        <v>4</v>
      </c>
      <c r="C37" s="46">
        <v>0.19</v>
      </c>
      <c r="D37" s="46">
        <v>0.19</v>
      </c>
      <c r="E37" s="46">
        <v>0.19</v>
      </c>
      <c r="F37" s="46">
        <v>0.19</v>
      </c>
    </row>
    <row r="38" spans="1:6" ht="12.75">
      <c r="A38" s="19" t="s">
        <v>5</v>
      </c>
      <c r="B38" s="26" t="s">
        <v>6</v>
      </c>
      <c r="C38" s="47">
        <v>2</v>
      </c>
      <c r="D38" s="47">
        <v>2</v>
      </c>
      <c r="E38" s="47">
        <v>2</v>
      </c>
      <c r="F38" s="47">
        <v>2</v>
      </c>
    </row>
    <row r="39" spans="1:6" ht="12.75">
      <c r="A39" s="19" t="s">
        <v>7</v>
      </c>
      <c r="B39" s="26" t="s">
        <v>8</v>
      </c>
      <c r="C39" s="46">
        <v>182</v>
      </c>
      <c r="D39" s="46">
        <v>182</v>
      </c>
      <c r="E39" s="46">
        <v>182</v>
      </c>
      <c r="F39" s="46">
        <v>182</v>
      </c>
    </row>
    <row r="40" spans="1:6" ht="12.75">
      <c r="A40" s="19" t="s">
        <v>9</v>
      </c>
      <c r="B40" s="26" t="s">
        <v>6</v>
      </c>
      <c r="C40" s="48">
        <f>2*C38*C18*C36/C39</f>
        <v>0.8310461192350956</v>
      </c>
      <c r="D40" s="48">
        <f>2*D38*D18*D36/D39</f>
        <v>0.5538807649043871</v>
      </c>
      <c r="E40" s="48">
        <f>2*E38*E18*E36/E39</f>
        <v>1.0078740157480315</v>
      </c>
      <c r="F40" s="48">
        <f>2*F38*F18*F36/F39</f>
        <v>0.6137232845894265</v>
      </c>
    </row>
    <row r="41" spans="1:6" ht="12.75">
      <c r="A41" s="19" t="s">
        <v>10</v>
      </c>
      <c r="B41" s="26" t="s">
        <v>0</v>
      </c>
      <c r="C41" s="48">
        <v>1.3</v>
      </c>
      <c r="D41" s="48">
        <v>1.3</v>
      </c>
      <c r="E41" s="48">
        <v>1.3</v>
      </c>
      <c r="F41" s="48">
        <v>1.3</v>
      </c>
    </row>
    <row r="42" spans="1:6" ht="12.75">
      <c r="A42" s="19" t="s">
        <v>60</v>
      </c>
      <c r="B42" s="26" t="s">
        <v>6</v>
      </c>
      <c r="C42" s="48">
        <f>C41*C40</f>
        <v>1.0803599550056244</v>
      </c>
      <c r="D42" s="48">
        <f>D41*D40*2</f>
        <v>1.4400899887514065</v>
      </c>
      <c r="E42" s="48">
        <f>E41*E40*2</f>
        <v>2.620472440944882</v>
      </c>
      <c r="F42" s="48">
        <f>F41*F40*2</f>
        <v>1.595680539932509</v>
      </c>
    </row>
    <row r="43" spans="1:6" ht="12.75">
      <c r="A43" s="19" t="s">
        <v>11</v>
      </c>
      <c r="B43" s="26" t="s">
        <v>12</v>
      </c>
      <c r="C43" s="47">
        <v>728</v>
      </c>
      <c r="D43" s="47">
        <v>728</v>
      </c>
      <c r="E43" s="47">
        <v>728</v>
      </c>
      <c r="F43" s="47">
        <v>728</v>
      </c>
    </row>
    <row r="44" spans="1:6" ht="12.75">
      <c r="A44" s="18" t="s">
        <v>63</v>
      </c>
      <c r="B44" s="25" t="s">
        <v>4</v>
      </c>
      <c r="C44" s="48">
        <v>25.4</v>
      </c>
      <c r="D44" s="48">
        <v>25.4</v>
      </c>
      <c r="E44" s="48">
        <v>25.4</v>
      </c>
      <c r="F44" s="48">
        <v>25.4</v>
      </c>
    </row>
    <row r="45" spans="1:8" ht="12.75">
      <c r="A45" s="19" t="s">
        <v>44</v>
      </c>
      <c r="B45" s="26" t="s">
        <v>2</v>
      </c>
      <c r="C45" s="46">
        <f>(2*(C19+C20)*1000/C44)/1000</f>
        <v>2.0472440944881893</v>
      </c>
      <c r="D45" s="46">
        <f>(2*(D19+D20)*1000/D44)/1000</f>
        <v>2.0472440944881893</v>
      </c>
      <c r="E45" s="46">
        <f>(2*(E19+E20)*1000/E44)/1000</f>
        <v>2.0472440944881893</v>
      </c>
      <c r="F45" s="46">
        <f>(2*(F19+F20)*1000/F44)/1000</f>
        <v>2.0472440944881893</v>
      </c>
      <c r="H45" s="44"/>
    </row>
    <row r="46" spans="1:6" ht="12.75">
      <c r="A46" s="19" t="s">
        <v>3</v>
      </c>
      <c r="B46" s="26" t="s">
        <v>4</v>
      </c>
      <c r="C46" s="46">
        <v>0.19</v>
      </c>
      <c r="D46" s="46">
        <v>0.19</v>
      </c>
      <c r="E46" s="46">
        <v>0.19</v>
      </c>
      <c r="F46" s="46">
        <v>0.19</v>
      </c>
    </row>
    <row r="47" spans="1:6" ht="12.75">
      <c r="A47" s="19" t="s">
        <v>5</v>
      </c>
      <c r="B47" s="26" t="s">
        <v>6</v>
      </c>
      <c r="C47" s="47">
        <v>2</v>
      </c>
      <c r="D47" s="47">
        <v>2</v>
      </c>
      <c r="E47" s="47">
        <v>2</v>
      </c>
      <c r="F47" s="47">
        <v>2</v>
      </c>
    </row>
    <row r="48" spans="1:6" ht="12.75">
      <c r="A48" s="19" t="s">
        <v>7</v>
      </c>
      <c r="B48" s="26" t="s">
        <v>8</v>
      </c>
      <c r="C48" s="46">
        <v>182</v>
      </c>
      <c r="D48" s="46">
        <v>182</v>
      </c>
      <c r="E48" s="46">
        <v>182</v>
      </c>
      <c r="F48" s="46">
        <v>182</v>
      </c>
    </row>
    <row r="49" spans="1:6" ht="12.75">
      <c r="A49" s="19" t="s">
        <v>9</v>
      </c>
      <c r="B49" s="26" t="s">
        <v>6</v>
      </c>
      <c r="C49" s="48">
        <f>2*C47*C18*C45/C48</f>
        <v>0.8310461192350956</v>
      </c>
      <c r="D49" s="48">
        <f>2*D47*D18*D45/D48</f>
        <v>0.5538807649043871</v>
      </c>
      <c r="E49" s="48">
        <f>2*E47*E18*E45/E48</f>
        <v>1.0078740157480315</v>
      </c>
      <c r="F49" s="48">
        <f>2*F47*F18*F45/F48</f>
        <v>0.6137232845894265</v>
      </c>
    </row>
    <row r="50" spans="1:6" ht="12.75">
      <c r="A50" s="19" t="s">
        <v>10</v>
      </c>
      <c r="B50" s="26" t="s">
        <v>0</v>
      </c>
      <c r="C50" s="48">
        <v>1.3</v>
      </c>
      <c r="D50" s="48">
        <v>1.3</v>
      </c>
      <c r="E50" s="48">
        <v>1.3</v>
      </c>
      <c r="F50" s="48">
        <v>1.3</v>
      </c>
    </row>
    <row r="51" spans="1:6" ht="12.75">
      <c r="A51" s="19" t="s">
        <v>48</v>
      </c>
      <c r="B51" s="26" t="s">
        <v>6</v>
      </c>
      <c r="C51" s="48">
        <f>C50*C49*C31</f>
        <v>6.482159730033747</v>
      </c>
      <c r="D51" s="48">
        <f>D50*D49*D31</f>
        <v>8.640539932508439</v>
      </c>
      <c r="E51" s="48">
        <f>E50*E49*E31</f>
        <v>7.861417322834646</v>
      </c>
      <c r="F51" s="48">
        <f>F50*F49*F31</f>
        <v>9.574083239595053</v>
      </c>
    </row>
    <row r="52" spans="1:6" ht="12.75">
      <c r="A52" s="19" t="s">
        <v>11</v>
      </c>
      <c r="B52" s="24" t="s">
        <v>12</v>
      </c>
      <c r="C52" s="47">
        <v>728</v>
      </c>
      <c r="D52" s="47">
        <v>728</v>
      </c>
      <c r="E52" s="47">
        <v>728</v>
      </c>
      <c r="F52" s="47">
        <v>728</v>
      </c>
    </row>
    <row r="53" spans="1:6" ht="12.75">
      <c r="A53" s="19" t="s">
        <v>50</v>
      </c>
      <c r="B53" s="23" t="s">
        <v>1</v>
      </c>
      <c r="C53" s="49">
        <f>C52*C51/C31</f>
        <v>786.5020472440946</v>
      </c>
      <c r="D53" s="49">
        <f>D52*D51/D31</f>
        <v>524.192755905512</v>
      </c>
      <c r="E53" s="49">
        <f>E52*E51/E31</f>
        <v>953.851968503937</v>
      </c>
      <c r="F53" s="49">
        <f>F52*F51/F31</f>
        <v>580.8277165354332</v>
      </c>
    </row>
    <row r="54" spans="1:6" ht="12.75">
      <c r="A54" s="19" t="s">
        <v>64</v>
      </c>
      <c r="B54" s="25" t="s">
        <v>8</v>
      </c>
      <c r="C54" s="50">
        <f>C36*C18</f>
        <v>37.81259842519685</v>
      </c>
      <c r="D54" s="50">
        <f>D36*D18</f>
        <v>25.20157480314961</v>
      </c>
      <c r="E54" s="50">
        <f>E36*E18</f>
        <v>45.85826771653544</v>
      </c>
      <c r="F54" s="50">
        <f>F36*F18</f>
        <v>27.924409448818903</v>
      </c>
    </row>
    <row r="55" spans="1:6" ht="12.75">
      <c r="A55" s="19" t="s">
        <v>65</v>
      </c>
      <c r="B55" s="25" t="s">
        <v>66</v>
      </c>
      <c r="C55" s="51">
        <f>1.258</f>
        <v>1.258</v>
      </c>
      <c r="D55" s="51">
        <f>1.258</f>
        <v>1.258</v>
      </c>
      <c r="E55" s="51">
        <f>1.258</f>
        <v>1.258</v>
      </c>
      <c r="F55" s="51">
        <f>1.258</f>
        <v>1.258</v>
      </c>
    </row>
    <row r="56" spans="1:6" ht="12.75">
      <c r="A56" s="19" t="s">
        <v>67</v>
      </c>
      <c r="B56" s="25" t="s">
        <v>1</v>
      </c>
      <c r="C56" s="49">
        <f>C55*C54</f>
        <v>47.568248818897644</v>
      </c>
      <c r="D56" s="49">
        <f>D55*D54</f>
        <v>31.70358110236221</v>
      </c>
      <c r="E56" s="49">
        <f>E55*E54</f>
        <v>57.68970078740158</v>
      </c>
      <c r="F56" s="49">
        <f>F55*F54</f>
        <v>35.12890708661418</v>
      </c>
    </row>
    <row r="57" spans="1:6" ht="12.75">
      <c r="A57" s="19" t="s">
        <v>13</v>
      </c>
      <c r="B57" s="24" t="s">
        <v>4</v>
      </c>
      <c r="C57" s="51">
        <v>0.38</v>
      </c>
      <c r="D57" s="51">
        <v>0.38</v>
      </c>
      <c r="E57" s="51">
        <v>0.38</v>
      </c>
      <c r="F57" s="51">
        <v>0.38</v>
      </c>
    </row>
    <row r="58" spans="1:6" ht="12.75">
      <c r="A58" s="19" t="s">
        <v>5</v>
      </c>
      <c r="B58" s="24" t="s">
        <v>6</v>
      </c>
      <c r="C58" s="51">
        <v>4</v>
      </c>
      <c r="D58" s="51">
        <v>4</v>
      </c>
      <c r="E58" s="51">
        <v>4</v>
      </c>
      <c r="F58" s="51">
        <v>4</v>
      </c>
    </row>
    <row r="59" spans="1:6" ht="12.75">
      <c r="A59" s="19" t="s">
        <v>14</v>
      </c>
      <c r="B59" s="24" t="s">
        <v>4</v>
      </c>
      <c r="C59" s="51">
        <f>2*C58*C57</f>
        <v>3.04</v>
      </c>
      <c r="D59" s="51">
        <f>2*D58*D57</f>
        <v>3.04</v>
      </c>
      <c r="E59" s="51">
        <f>2*E58*E57</f>
        <v>3.04</v>
      </c>
      <c r="F59" s="51">
        <f>2*F58*F57</f>
        <v>3.04</v>
      </c>
    </row>
    <row r="60" spans="1:6" ht="12.75">
      <c r="A60" s="19" t="s">
        <v>15</v>
      </c>
      <c r="B60" s="24" t="s">
        <v>16</v>
      </c>
      <c r="C60" s="50">
        <v>6</v>
      </c>
      <c r="D60" s="50">
        <v>6</v>
      </c>
      <c r="E60" s="50">
        <v>6</v>
      </c>
      <c r="F60" s="50">
        <v>6</v>
      </c>
    </row>
    <row r="61" spans="1:6" ht="12.75">
      <c r="A61" s="19" t="s">
        <v>17</v>
      </c>
      <c r="B61" s="24" t="s">
        <v>8</v>
      </c>
      <c r="C61" s="50">
        <f>(C17*(100*C58/C60))*2*(C14+C13)/1000</f>
        <v>35.4624</v>
      </c>
      <c r="D61" s="50">
        <f>(D17*(100*D58/D60))*2*(D14+D13)/1000</f>
        <v>23.635200000000005</v>
      </c>
      <c r="E61" s="50">
        <f>(E17*(100*E58/E60))*2*(E14+E13)/1000</f>
        <v>43.008</v>
      </c>
      <c r="F61" s="50">
        <f>(F17*(100*F58/F60))*2*(F14+F13)/1000</f>
        <v>26.188800000000008</v>
      </c>
    </row>
    <row r="62" spans="1:6" ht="12.75">
      <c r="A62" s="19" t="s">
        <v>7</v>
      </c>
      <c r="B62" s="24" t="s">
        <v>8</v>
      </c>
      <c r="C62" s="50">
        <v>10</v>
      </c>
      <c r="D62" s="50">
        <v>10</v>
      </c>
      <c r="E62" s="50">
        <v>10</v>
      </c>
      <c r="F62" s="50">
        <v>10</v>
      </c>
    </row>
    <row r="63" spans="1:6" ht="12.75">
      <c r="A63" s="19" t="s">
        <v>9</v>
      </c>
      <c r="B63" s="24" t="s">
        <v>6</v>
      </c>
      <c r="C63" s="50">
        <f>C61/C62</f>
        <v>3.54624</v>
      </c>
      <c r="D63" s="50">
        <f>D61/D62</f>
        <v>2.3635200000000003</v>
      </c>
      <c r="E63" s="50">
        <f>E61/E62</f>
        <v>4.300800000000001</v>
      </c>
      <c r="F63" s="50">
        <f>F61/F62</f>
        <v>2.6188800000000008</v>
      </c>
    </row>
    <row r="64" spans="1:6" ht="12.75">
      <c r="A64" s="19" t="s">
        <v>10</v>
      </c>
      <c r="B64" s="24" t="s">
        <v>0</v>
      </c>
      <c r="C64" s="51">
        <v>1.3</v>
      </c>
      <c r="D64" s="51">
        <v>1.3</v>
      </c>
      <c r="E64" s="51">
        <v>1.3</v>
      </c>
      <c r="F64" s="51">
        <v>1.3</v>
      </c>
    </row>
    <row r="65" spans="1:6" ht="12.75">
      <c r="A65" s="19" t="s">
        <v>49</v>
      </c>
      <c r="B65" s="24" t="s">
        <v>6</v>
      </c>
      <c r="C65" s="50">
        <f>C64*C63*C31</f>
        <v>27.660671999999998</v>
      </c>
      <c r="D65" s="50">
        <f>D64*D63*D31</f>
        <v>36.870912000000004</v>
      </c>
      <c r="E65" s="50">
        <f>E64*E63*E31</f>
        <v>33.54624000000001</v>
      </c>
      <c r="F65" s="50">
        <f>F64*F63*F31</f>
        <v>40.85452800000001</v>
      </c>
    </row>
    <row r="66" spans="1:6" ht="12.75">
      <c r="A66" s="18" t="s">
        <v>18</v>
      </c>
      <c r="B66" s="27" t="s">
        <v>1</v>
      </c>
      <c r="C66" s="50">
        <v>50</v>
      </c>
      <c r="D66" s="50">
        <v>50</v>
      </c>
      <c r="E66" s="50">
        <v>50</v>
      </c>
      <c r="F66" s="50">
        <v>50</v>
      </c>
    </row>
    <row r="67" spans="1:6" ht="12.75">
      <c r="A67" s="18" t="s">
        <v>51</v>
      </c>
      <c r="B67" s="23" t="s">
        <v>1</v>
      </c>
      <c r="C67" s="49">
        <f>C66*C65/C31</f>
        <v>230.5056</v>
      </c>
      <c r="D67" s="49">
        <f>D66*D65/D31</f>
        <v>153.6288</v>
      </c>
      <c r="E67" s="49">
        <f>E66*E65/E31</f>
        <v>279.5520000000001</v>
      </c>
      <c r="F67" s="49">
        <f>F66*F65/F31</f>
        <v>170.22720000000004</v>
      </c>
    </row>
    <row r="68" spans="1:6" ht="12.75">
      <c r="A68" s="20" t="s">
        <v>19</v>
      </c>
      <c r="B68" s="28" t="s">
        <v>20</v>
      </c>
      <c r="C68" s="51">
        <f>0.15*C13*C14*(C17)/1000</f>
        <v>0.57449088</v>
      </c>
      <c r="D68" s="51">
        <f>0.15*D13*D14*(D17)/1000</f>
        <v>0.38289024000000005</v>
      </c>
      <c r="E68" s="51">
        <f>0.15*E13*E14*(E17)/1000</f>
        <v>0.6967296000000001</v>
      </c>
      <c r="F68" s="51">
        <f>0.15*F13*F14*(F17)/1000</f>
        <v>0.42425856000000006</v>
      </c>
    </row>
    <row r="69" spans="1:6" ht="12.75">
      <c r="A69" s="18" t="s">
        <v>21</v>
      </c>
      <c r="B69" s="27" t="s">
        <v>22</v>
      </c>
      <c r="C69" s="50">
        <v>150</v>
      </c>
      <c r="D69" s="50">
        <v>150</v>
      </c>
      <c r="E69" s="50">
        <v>150</v>
      </c>
      <c r="F69" s="50">
        <v>150</v>
      </c>
    </row>
    <row r="70" spans="1:6" ht="12.75">
      <c r="A70" s="18" t="s">
        <v>52</v>
      </c>
      <c r="B70" s="23" t="s">
        <v>1</v>
      </c>
      <c r="C70" s="49">
        <f>C69*C68</f>
        <v>86.17363200000001</v>
      </c>
      <c r="D70" s="49">
        <f>D69*D68</f>
        <v>57.433536000000004</v>
      </c>
      <c r="E70" s="49">
        <f>E69*E68</f>
        <v>104.50944000000001</v>
      </c>
      <c r="F70" s="49">
        <f>F69*F68</f>
        <v>63.63878400000001</v>
      </c>
    </row>
    <row r="71" spans="1:6" ht="12.75">
      <c r="A71" s="18"/>
      <c r="B71" s="27"/>
      <c r="C71" s="45">
        <v>0</v>
      </c>
      <c r="D71" s="45">
        <v>0</v>
      </c>
      <c r="E71" s="45">
        <v>0</v>
      </c>
      <c r="F71" s="45">
        <v>0</v>
      </c>
    </row>
    <row r="72" spans="1:6" ht="13.5" thickBot="1">
      <c r="A72" s="34"/>
      <c r="B72" s="53"/>
      <c r="C72" s="54">
        <v>0</v>
      </c>
      <c r="D72" s="54">
        <v>0</v>
      </c>
      <c r="E72" s="54">
        <v>0</v>
      </c>
      <c r="F72" s="54">
        <v>0</v>
      </c>
    </row>
    <row r="73" spans="1:6" ht="19.5" customHeight="1" thickBot="1">
      <c r="A73" s="35" t="s">
        <v>54</v>
      </c>
      <c r="B73" s="36"/>
      <c r="C73" s="55">
        <f>C53+C67+C70+C56</f>
        <v>1150.7495280629923</v>
      </c>
      <c r="D73" s="55">
        <f>D53+D67+D70</f>
        <v>735.255091905512</v>
      </c>
      <c r="E73" s="55">
        <f>E53+E67+E70</f>
        <v>1337.913408503937</v>
      </c>
      <c r="F73" s="55">
        <f>F53+F67+F70</f>
        <v>814.6937005354332</v>
      </c>
    </row>
    <row r="74" spans="1:6" ht="24.75" customHeight="1" thickBot="1">
      <c r="A74" s="21" t="s">
        <v>55</v>
      </c>
      <c r="B74" s="29"/>
      <c r="C74" s="56">
        <f>C73+C33</f>
        <v>1676.2495280629923</v>
      </c>
      <c r="D74" s="56">
        <f>D73+D33</f>
        <v>1079.935091905512</v>
      </c>
      <c r="E74" s="56">
        <f>E73+E33</f>
        <v>1965.113408503937</v>
      </c>
      <c r="F74" s="56">
        <f>F73+F33</f>
        <v>1196.6137005354333</v>
      </c>
    </row>
    <row r="75" spans="1:6" ht="21.75" customHeight="1" thickBot="1">
      <c r="A75" s="35" t="s">
        <v>56</v>
      </c>
      <c r="B75" s="36"/>
      <c r="C75" s="55">
        <f>C73*C31</f>
        <v>6904.497168377954</v>
      </c>
      <c r="D75" s="55">
        <f>D73*D31</f>
        <v>8823.061102866144</v>
      </c>
      <c r="E75" s="55">
        <f>E73*E31</f>
        <v>8027.480451023623</v>
      </c>
      <c r="F75" s="55">
        <f>F73*F31</f>
        <v>9776.3244064252</v>
      </c>
    </row>
    <row r="76" spans="1:6" ht="22.5" customHeight="1" thickBot="1">
      <c r="A76" s="21" t="s">
        <v>57</v>
      </c>
      <c r="B76" s="29"/>
      <c r="C76" s="56">
        <f>C74*C31</f>
        <v>10057.497168377955</v>
      </c>
      <c r="D76" s="56">
        <f>D74*D31</f>
        <v>12959.221102866144</v>
      </c>
      <c r="E76" s="56">
        <f>E74*E31</f>
        <v>11790.680451023622</v>
      </c>
      <c r="F76" s="56">
        <f>F74*F31</f>
        <v>14359.3644064252</v>
      </c>
    </row>
    <row r="77" spans="1:6" ht="22.5" customHeight="1">
      <c r="A77" s="115"/>
      <c r="B77" s="116"/>
      <c r="C77" s="117"/>
      <c r="D77" s="117"/>
      <c r="E77" s="117"/>
      <c r="F77" s="117"/>
    </row>
    <row r="78" spans="1:2" ht="16.5" thickBot="1">
      <c r="A78" s="110" t="s">
        <v>103</v>
      </c>
      <c r="B78" s="2"/>
    </row>
    <row r="79" spans="1:7" ht="12.75">
      <c r="A79" s="81" t="s">
        <v>59</v>
      </c>
      <c r="B79" s="84"/>
      <c r="C79" s="73"/>
      <c r="D79" s="73"/>
      <c r="E79" s="73"/>
      <c r="F79" s="73"/>
      <c r="G79" s="85">
        <f>SUM(C76:F76)</f>
        <v>49166.763128692925</v>
      </c>
    </row>
    <row r="80" spans="1:7" ht="12.75">
      <c r="A80" s="75"/>
      <c r="B80" s="66"/>
      <c r="C80" s="65"/>
      <c r="D80" s="65"/>
      <c r="E80" s="65"/>
      <c r="F80" s="65"/>
      <c r="G80" s="76"/>
    </row>
    <row r="81" spans="1:7" ht="12.75">
      <c r="A81" s="75" t="s">
        <v>69</v>
      </c>
      <c r="B81" s="66"/>
      <c r="C81" s="94">
        <f>5200*1.25</f>
        <v>6500</v>
      </c>
      <c r="D81" s="94">
        <f>(C81/2*D18/C18)+C81/2</f>
        <v>5416.080129940445</v>
      </c>
      <c r="E81" s="94">
        <f>C81/2*E18/C18+C81/2</f>
        <v>7191.526800216568</v>
      </c>
      <c r="F81" s="94">
        <f>C81/2*F18/C18+C81/2</f>
        <v>5650.108283703303</v>
      </c>
      <c r="G81" s="76"/>
    </row>
    <row r="82" spans="1:7" ht="12.75">
      <c r="A82" s="75" t="s">
        <v>71</v>
      </c>
      <c r="B82" s="66"/>
      <c r="C82" s="114">
        <v>13000</v>
      </c>
      <c r="D82" s="94">
        <f>$C$82*D17/$C$17</f>
        <v>8664.320519761777</v>
      </c>
      <c r="E82" s="94">
        <f>$C$82*E17/$C$17</f>
        <v>15766.10720086627</v>
      </c>
      <c r="F82" s="94">
        <f>$C$82*F17/$C$17</f>
        <v>9600.433134813211</v>
      </c>
      <c r="G82" s="76"/>
    </row>
    <row r="83" spans="1:7" ht="12.75">
      <c r="A83" s="86" t="s">
        <v>68</v>
      </c>
      <c r="B83" s="66"/>
      <c r="C83" s="114">
        <f>C82*1.25</f>
        <v>16250</v>
      </c>
      <c r="D83" s="94">
        <f>$C$83*D17/$C$17</f>
        <v>10830.40064970222</v>
      </c>
      <c r="E83" s="94">
        <f>$C$83*E17/$C$17</f>
        <v>19707.63400108284</v>
      </c>
      <c r="F83" s="94">
        <f>$C$83*F17/$C$17</f>
        <v>12000.541418516514</v>
      </c>
      <c r="G83" s="76"/>
    </row>
    <row r="84" spans="1:7" ht="12.75">
      <c r="A84" s="86" t="s">
        <v>72</v>
      </c>
      <c r="B84" s="66"/>
      <c r="C84" s="114"/>
      <c r="D84" s="94"/>
      <c r="E84" s="94"/>
      <c r="F84" s="94"/>
      <c r="G84" s="87">
        <f>SUM(C82:F83)</f>
        <v>105819.43692474284</v>
      </c>
    </row>
    <row r="85" spans="1:7" ht="12.75">
      <c r="A85" s="86" t="s">
        <v>74</v>
      </c>
      <c r="B85" s="66"/>
      <c r="C85" s="94">
        <f>C81*C31+C76</f>
        <v>49057.49716837796</v>
      </c>
      <c r="D85" s="94">
        <f>D81*D31+D76</f>
        <v>77952.18266215148</v>
      </c>
      <c r="E85" s="94">
        <f>E81*E31+E76</f>
        <v>54939.84125232302</v>
      </c>
      <c r="F85" s="94">
        <f>F81*F31+F76</f>
        <v>82160.66381086483</v>
      </c>
      <c r="G85" s="87">
        <f>SUM(C85:F85)</f>
        <v>264110.1848937173</v>
      </c>
    </row>
    <row r="86" spans="1:7" ht="12.75">
      <c r="A86" s="75" t="s">
        <v>73</v>
      </c>
      <c r="B86" s="67"/>
      <c r="C86" s="94">
        <f>C81*C31+C76+C82+C83</f>
        <v>78307.49716837796</v>
      </c>
      <c r="D86" s="94">
        <f>D81*D31+D76+D82+D83</f>
        <v>97446.90383161548</v>
      </c>
      <c r="E86" s="94">
        <f>E81*E31+E76+E82+E83</f>
        <v>90413.58245427214</v>
      </c>
      <c r="F86" s="94">
        <f>F81*F31+F76+F82+F83</f>
        <v>103761.63836419456</v>
      </c>
      <c r="G86" s="88"/>
    </row>
    <row r="87" spans="1:7" ht="12.75">
      <c r="A87" s="75"/>
      <c r="B87" s="83"/>
      <c r="C87" s="69"/>
      <c r="D87" s="69"/>
      <c r="E87" s="69"/>
      <c r="F87" s="69"/>
      <c r="G87" s="88"/>
    </row>
    <row r="88" spans="1:7" ht="16.5" thickBot="1">
      <c r="A88" s="101" t="s">
        <v>70</v>
      </c>
      <c r="B88" s="102"/>
      <c r="C88" s="103"/>
      <c r="D88" s="103"/>
      <c r="E88" s="103"/>
      <c r="F88" s="103"/>
      <c r="G88" s="104">
        <f>SUM(G79:G86)</f>
        <v>419096.38494715304</v>
      </c>
    </row>
    <row r="89" spans="1:7" ht="15.75">
      <c r="A89" s="110"/>
      <c r="B89" s="111"/>
      <c r="C89" s="112"/>
      <c r="D89" s="112"/>
      <c r="E89" s="112"/>
      <c r="F89" s="112"/>
      <c r="G89" s="113"/>
    </row>
    <row r="90" spans="1:7" ht="16.5" thickBot="1">
      <c r="A90" s="110" t="s">
        <v>104</v>
      </c>
      <c r="B90" s="111"/>
      <c r="C90" s="112"/>
      <c r="D90" s="112"/>
      <c r="E90" s="112"/>
      <c r="F90" s="112"/>
      <c r="G90" s="113"/>
    </row>
    <row r="91" spans="1:7" ht="12.75">
      <c r="A91" s="81" t="s">
        <v>59</v>
      </c>
      <c r="B91" s="84"/>
      <c r="C91" s="73"/>
      <c r="D91" s="73"/>
      <c r="E91" s="73"/>
      <c r="F91" s="73"/>
      <c r="G91" s="85">
        <f>G79</f>
        <v>49166.763128692925</v>
      </c>
    </row>
    <row r="92" spans="1:7" ht="12.75">
      <c r="A92" s="75"/>
      <c r="B92" s="66"/>
      <c r="C92" s="65"/>
      <c r="D92" s="65"/>
      <c r="E92" s="65"/>
      <c r="F92" s="65"/>
      <c r="G92" s="76"/>
    </row>
    <row r="93" spans="1:7" ht="12.75">
      <c r="A93" s="75" t="s">
        <v>69</v>
      </c>
      <c r="B93" s="66"/>
      <c r="C93" s="94">
        <v>4150</v>
      </c>
      <c r="D93" s="94">
        <v>3700</v>
      </c>
      <c r="E93" s="94">
        <v>4300</v>
      </c>
      <c r="F93" s="94">
        <v>4000</v>
      </c>
      <c r="G93" s="76"/>
    </row>
    <row r="94" spans="1:7" ht="12.75">
      <c r="A94" s="86" t="s">
        <v>72</v>
      </c>
      <c r="B94" s="66"/>
      <c r="C94" s="114">
        <v>35000</v>
      </c>
      <c r="D94" s="94">
        <v>26000</v>
      </c>
      <c r="E94" s="94">
        <v>44000</v>
      </c>
      <c r="F94" s="94">
        <v>34000</v>
      </c>
      <c r="G94" s="87">
        <f>SUM(C94:F94)</f>
        <v>139000</v>
      </c>
    </row>
    <row r="95" spans="1:7" ht="12.75">
      <c r="A95" s="86" t="s">
        <v>74</v>
      </c>
      <c r="B95" s="66"/>
      <c r="C95" s="94">
        <f>C93*C$31+C89</f>
        <v>24900</v>
      </c>
      <c r="D95" s="94">
        <f>D93*D$31+D89</f>
        <v>44400</v>
      </c>
      <c r="E95" s="94">
        <f>E93*E$31+E89</f>
        <v>25800</v>
      </c>
      <c r="F95" s="94">
        <f>F93*F$31+F89</f>
        <v>48000</v>
      </c>
      <c r="G95" s="87">
        <f>SUM(C95:F95)</f>
        <v>143100</v>
      </c>
    </row>
    <row r="96" spans="1:7" ht="12.75">
      <c r="A96" s="75" t="s">
        <v>73</v>
      </c>
      <c r="B96" s="67"/>
      <c r="C96" s="94">
        <f>SUM(C93:C95)+C$76</f>
        <v>74107.49716837796</v>
      </c>
      <c r="D96" s="94">
        <f>SUM(D93:D95)+D$76</f>
        <v>87059.22110286614</v>
      </c>
      <c r="E96" s="94">
        <f>SUM(E93:E95)+E$76</f>
        <v>85890.68045102363</v>
      </c>
      <c r="F96" s="94">
        <f>SUM(F93:F95)+F$76</f>
        <v>100359.3644064252</v>
      </c>
      <c r="G96" s="88"/>
    </row>
    <row r="97" spans="1:7" ht="12.75">
      <c r="A97" s="75"/>
      <c r="B97" s="83"/>
      <c r="C97" s="69"/>
      <c r="D97" s="69"/>
      <c r="E97" s="69"/>
      <c r="F97" s="69"/>
      <c r="G97" s="88"/>
    </row>
    <row r="98" spans="1:7" ht="16.5" thickBot="1">
      <c r="A98" s="101" t="s">
        <v>70</v>
      </c>
      <c r="B98" s="102"/>
      <c r="C98" s="103"/>
      <c r="D98" s="103"/>
      <c r="E98" s="103"/>
      <c r="F98" s="103"/>
      <c r="G98" s="104">
        <f>SUM(G91:G96)</f>
        <v>331266.7631286929</v>
      </c>
    </row>
    <row r="99" spans="1:7" ht="15.75">
      <c r="A99" s="110"/>
      <c r="B99" s="111"/>
      <c r="C99" s="112"/>
      <c r="D99" s="112"/>
      <c r="E99" s="112"/>
      <c r="F99" s="112"/>
      <c r="G99" s="113"/>
    </row>
    <row r="100" spans="1:7" ht="15.75">
      <c r="A100" s="110"/>
      <c r="B100" s="111"/>
      <c r="C100" s="112"/>
      <c r="D100" s="112"/>
      <c r="E100" s="112"/>
      <c r="F100" s="112"/>
      <c r="G100" s="113"/>
    </row>
    <row r="101" spans="1:7" ht="16.5" thickBot="1">
      <c r="A101" s="110" t="s">
        <v>114</v>
      </c>
      <c r="B101" s="111"/>
      <c r="C101" s="118" t="s">
        <v>106</v>
      </c>
      <c r="D101" s="119">
        <v>0.5</v>
      </c>
      <c r="E101" s="112" t="s">
        <v>107</v>
      </c>
      <c r="G101" s="119">
        <v>0.25</v>
      </c>
    </row>
    <row r="102" spans="1:7" ht="12.75">
      <c r="A102" s="81" t="s">
        <v>59</v>
      </c>
      <c r="B102" s="84"/>
      <c r="C102" s="73"/>
      <c r="D102" s="73"/>
      <c r="E102" s="73"/>
      <c r="F102" s="73"/>
      <c r="G102" s="85">
        <f>SUM(C76:F76)*(1+G101)</f>
        <v>61458.453910866156</v>
      </c>
    </row>
    <row r="103" spans="1:7" ht="12.75">
      <c r="A103" s="75"/>
      <c r="B103" s="66"/>
      <c r="C103" s="65"/>
      <c r="D103" s="65"/>
      <c r="E103" s="65"/>
      <c r="F103" s="65"/>
      <c r="G103" s="76"/>
    </row>
    <row r="104" spans="1:7" ht="12.75">
      <c r="A104" s="75" t="s">
        <v>105</v>
      </c>
      <c r="B104" s="66"/>
      <c r="C104" s="94">
        <v>4150</v>
      </c>
      <c r="D104" s="94">
        <v>3700</v>
      </c>
      <c r="E104" s="94">
        <v>4300</v>
      </c>
      <c r="F104" s="94">
        <v>4000</v>
      </c>
      <c r="G104" s="76"/>
    </row>
    <row r="105" spans="1:7" ht="12.75">
      <c r="A105" s="86" t="s">
        <v>72</v>
      </c>
      <c r="B105" s="66"/>
      <c r="C105" s="114">
        <v>35000</v>
      </c>
      <c r="D105" s="94">
        <v>26000</v>
      </c>
      <c r="E105" s="94">
        <v>44000</v>
      </c>
      <c r="F105" s="94">
        <v>34000</v>
      </c>
      <c r="G105" s="87">
        <f>SUM(C105:F105)*(1+D101)</f>
        <v>208500</v>
      </c>
    </row>
    <row r="106" spans="1:7" ht="12.75">
      <c r="A106" s="86" t="s">
        <v>74</v>
      </c>
      <c r="B106" s="66"/>
      <c r="C106" s="94">
        <f>C104*C$31+C100</f>
        <v>24900</v>
      </c>
      <c r="D106" s="94">
        <f>D104*D$31+D100</f>
        <v>44400</v>
      </c>
      <c r="E106" s="94">
        <f>E104*E$31+E100</f>
        <v>25800</v>
      </c>
      <c r="F106" s="94">
        <f>F104*F$31+F100</f>
        <v>48000</v>
      </c>
      <c r="G106" s="87">
        <f>SUM(C106:F106)*(1+G101)</f>
        <v>178875</v>
      </c>
    </row>
    <row r="107" spans="1:7" ht="12.75">
      <c r="A107" s="75" t="s">
        <v>73</v>
      </c>
      <c r="B107" s="67"/>
      <c r="C107" s="94">
        <f>SUM(C104:C106)+C$76</f>
        <v>74107.49716837796</v>
      </c>
      <c r="D107" s="94">
        <f>SUM(D104:D106)+D$76</f>
        <v>87059.22110286614</v>
      </c>
      <c r="E107" s="94">
        <f>SUM(E104:E106)+E$76</f>
        <v>85890.68045102363</v>
      </c>
      <c r="F107" s="94">
        <f>SUM(F104:F106)+F$76</f>
        <v>100359.3644064252</v>
      </c>
      <c r="G107" s="88"/>
    </row>
    <row r="108" spans="1:7" ht="13.5" thickBot="1">
      <c r="A108" s="75"/>
      <c r="B108" s="83"/>
      <c r="C108" s="69"/>
      <c r="D108" s="69"/>
      <c r="E108" s="69"/>
      <c r="F108" s="69"/>
      <c r="G108" s="121"/>
    </row>
    <row r="109" spans="1:7" ht="16.5" thickBot="1">
      <c r="A109" s="101" t="s">
        <v>70</v>
      </c>
      <c r="B109" s="102"/>
      <c r="C109" s="103"/>
      <c r="D109" s="103"/>
      <c r="E109" s="103"/>
      <c r="F109" s="120"/>
      <c r="G109" s="122">
        <f>SUM(G102:G107)</f>
        <v>448833.45391086617</v>
      </c>
    </row>
    <row r="110" spans="1:7" ht="15.75">
      <c r="A110" s="110"/>
      <c r="B110" s="111"/>
      <c r="C110" s="112"/>
      <c r="D110" s="112"/>
      <c r="E110" s="112"/>
      <c r="F110" s="112"/>
      <c r="G110" s="113"/>
    </row>
    <row r="111" spans="2:7" ht="12.75">
      <c r="B111" s="9"/>
      <c r="C111" s="11"/>
      <c r="D111" s="11"/>
      <c r="E111" s="11"/>
      <c r="F111" s="11"/>
      <c r="G111" s="52"/>
    </row>
    <row r="112" spans="2:7" ht="13.5" thickBot="1">
      <c r="B112" s="9"/>
      <c r="C112" s="11"/>
      <c r="D112" s="11"/>
      <c r="E112" s="11"/>
      <c r="F112" s="11"/>
      <c r="G112" s="52"/>
    </row>
    <row r="113" spans="1:7" ht="12.75">
      <c r="A113" s="81" t="s">
        <v>78</v>
      </c>
      <c r="B113" s="72"/>
      <c r="C113" s="73"/>
      <c r="D113" s="73"/>
      <c r="E113" s="73"/>
      <c r="F113" s="73"/>
      <c r="G113" s="74"/>
    </row>
    <row r="114" spans="1:7" ht="12.75">
      <c r="A114" s="75" t="s">
        <v>87</v>
      </c>
      <c r="B114" s="67">
        <v>8</v>
      </c>
      <c r="C114" s="65"/>
      <c r="D114" s="65"/>
      <c r="E114" s="65"/>
      <c r="F114" s="65"/>
      <c r="G114" s="76"/>
    </row>
    <row r="115" spans="1:7" ht="12.75">
      <c r="A115" s="75" t="s">
        <v>79</v>
      </c>
      <c r="B115" s="67">
        <f>0.5*12*2*0.3*1.5</f>
        <v>5.3999999999999995</v>
      </c>
      <c r="C115" s="65"/>
      <c r="D115" s="65"/>
      <c r="E115" s="65"/>
      <c r="F115" s="65"/>
      <c r="G115" s="76"/>
    </row>
    <row r="116" spans="1:7" ht="12.75">
      <c r="A116" s="75" t="s">
        <v>80</v>
      </c>
      <c r="B116" s="68"/>
      <c r="C116" s="68">
        <f>$B$115*$B$114</f>
        <v>43.199999999999996</v>
      </c>
      <c r="D116" s="68">
        <f>$B$115*$B$114</f>
        <v>43.199999999999996</v>
      </c>
      <c r="E116" s="68">
        <f>$B$115*$B$114</f>
        <v>43.199999999999996</v>
      </c>
      <c r="F116" s="68">
        <f>$B$115*$B$114</f>
        <v>43.199999999999996</v>
      </c>
      <c r="G116" s="76"/>
    </row>
    <row r="117" spans="1:7" ht="12.75">
      <c r="A117" s="75" t="s">
        <v>88</v>
      </c>
      <c r="B117" s="68"/>
      <c r="C117" s="69">
        <f>C116*C120</f>
        <v>4787.423999999999</v>
      </c>
      <c r="D117" s="69">
        <f>D116*D120</f>
        <v>6381.503999999999</v>
      </c>
      <c r="E117" s="69">
        <f>E116*E120</f>
        <v>5806.079999999998</v>
      </c>
      <c r="F117" s="69">
        <f>F116*F120</f>
        <v>7070.976</v>
      </c>
      <c r="G117" s="76"/>
    </row>
    <row r="118" spans="1:7" ht="12.75">
      <c r="A118" s="75" t="s">
        <v>81</v>
      </c>
      <c r="B118" s="67">
        <v>0.25</v>
      </c>
      <c r="C118" s="65"/>
      <c r="D118" s="65"/>
      <c r="E118" s="65"/>
      <c r="F118" s="65"/>
      <c r="G118" s="76"/>
    </row>
    <row r="119" spans="1:7" ht="12.75">
      <c r="A119" s="75" t="s">
        <v>82</v>
      </c>
      <c r="B119" s="67"/>
      <c r="C119" s="70">
        <f>C17/$B$118</f>
        <v>18.47</v>
      </c>
      <c r="D119" s="70">
        <f>D17/$B$118</f>
        <v>12.31</v>
      </c>
      <c r="E119" s="70">
        <f>E17/$B$118</f>
        <v>22.4</v>
      </c>
      <c r="F119" s="70">
        <f>F17/$B$118</f>
        <v>13.64</v>
      </c>
      <c r="G119" s="77"/>
    </row>
    <row r="120" spans="1:7" ht="12.75">
      <c r="A120" s="75" t="s">
        <v>83</v>
      </c>
      <c r="B120" s="66"/>
      <c r="C120" s="70">
        <f>C119*C31</f>
        <v>110.82</v>
      </c>
      <c r="D120" s="70">
        <f>D119*D31</f>
        <v>147.72</v>
      </c>
      <c r="E120" s="70">
        <f>E119*E31</f>
        <v>134.39999999999998</v>
      </c>
      <c r="F120" s="70">
        <f>F119*F31</f>
        <v>163.68</v>
      </c>
      <c r="G120" s="78"/>
    </row>
    <row r="121" spans="1:7" ht="12.75">
      <c r="A121" s="75" t="s">
        <v>84</v>
      </c>
      <c r="B121" s="71">
        <v>40</v>
      </c>
      <c r="C121" s="69"/>
      <c r="D121" s="69"/>
      <c r="E121" s="69"/>
      <c r="F121" s="69"/>
      <c r="G121" s="76"/>
    </row>
    <row r="122" spans="1:7" ht="12.75">
      <c r="A122" s="75" t="s">
        <v>85</v>
      </c>
      <c r="B122" s="71"/>
      <c r="C122" s="69">
        <f>C120*$B$121</f>
        <v>4432.799999999999</v>
      </c>
      <c r="D122" s="69">
        <f>D120*$B$121</f>
        <v>5908.8</v>
      </c>
      <c r="E122" s="69">
        <f>E120*$B$121</f>
        <v>5375.999999999999</v>
      </c>
      <c r="F122" s="69">
        <f>F120*$B$121</f>
        <v>6547.200000000001</v>
      </c>
      <c r="G122" s="76"/>
    </row>
    <row r="123" spans="1:7" ht="12.75">
      <c r="A123" s="75" t="s">
        <v>86</v>
      </c>
      <c r="B123" s="66"/>
      <c r="C123" s="69">
        <f>C122+C117</f>
        <v>9220.223999999998</v>
      </c>
      <c r="D123" s="69">
        <f>D122+D117</f>
        <v>12290.304</v>
      </c>
      <c r="E123" s="69">
        <f>E122+E117</f>
        <v>11182.079999999998</v>
      </c>
      <c r="F123" s="69">
        <f>F122+F117</f>
        <v>13618.176</v>
      </c>
      <c r="G123" s="76"/>
    </row>
    <row r="124" spans="1:8" ht="12.75">
      <c r="A124" s="90" t="s">
        <v>89</v>
      </c>
      <c r="B124" s="91"/>
      <c r="C124" s="92"/>
      <c r="D124" s="92"/>
      <c r="E124" s="92"/>
      <c r="F124" s="92"/>
      <c r="G124" s="93">
        <f>SUM(C123:F123)</f>
        <v>46310.784</v>
      </c>
      <c r="H124" s="126">
        <v>1</v>
      </c>
    </row>
    <row r="125" spans="1:8" ht="12.75">
      <c r="A125" s="86" t="s">
        <v>91</v>
      </c>
      <c r="B125" s="82"/>
      <c r="C125" s="62">
        <f>B114*0.5*2*2*0.3+6</f>
        <v>10.8</v>
      </c>
      <c r="D125" s="62">
        <f>C125</f>
        <v>10.8</v>
      </c>
      <c r="E125" s="62">
        <f>D125</f>
        <v>10.8</v>
      </c>
      <c r="F125" s="62">
        <f>E125</f>
        <v>10.8</v>
      </c>
      <c r="G125" s="87"/>
      <c r="H125" s="126"/>
    </row>
    <row r="126" spans="1:8" ht="12.75">
      <c r="A126" s="86" t="s">
        <v>92</v>
      </c>
      <c r="B126" s="82"/>
      <c r="C126" s="94">
        <f>C125*C120</f>
        <v>1196.856</v>
      </c>
      <c r="D126" s="94">
        <f>D125*D120</f>
        <v>1595.3760000000002</v>
      </c>
      <c r="E126" s="94">
        <f>E125*E120</f>
        <v>1451.5199999999998</v>
      </c>
      <c r="F126" s="94">
        <f>F125*F120</f>
        <v>1767.7440000000001</v>
      </c>
      <c r="G126" s="87">
        <f>SUM(C126:F126)</f>
        <v>6011.495999999999</v>
      </c>
      <c r="H126" s="126">
        <v>1</v>
      </c>
    </row>
    <row r="127" spans="1:8" ht="12.75">
      <c r="A127" s="86" t="s">
        <v>95</v>
      </c>
      <c r="B127" s="82"/>
      <c r="C127" s="94">
        <f>C125*C120*0.75</f>
        <v>897.642</v>
      </c>
      <c r="D127" s="94">
        <f>D125*D120*0.75</f>
        <v>1196.5320000000002</v>
      </c>
      <c r="E127" s="94">
        <f>E125*E120*0.75</f>
        <v>1088.6399999999999</v>
      </c>
      <c r="F127" s="94">
        <f>F125*F120*0.75</f>
        <v>1325.808</v>
      </c>
      <c r="G127" s="87">
        <f>SUM(C127:F127)</f>
        <v>4508.621999999999</v>
      </c>
      <c r="H127" s="126">
        <v>1</v>
      </c>
    </row>
    <row r="128" spans="1:8" ht="12.75">
      <c r="A128" s="95" t="s">
        <v>90</v>
      </c>
      <c r="B128" s="66"/>
      <c r="C128" s="65">
        <v>12</v>
      </c>
      <c r="D128" s="65">
        <v>12</v>
      </c>
      <c r="E128" s="65">
        <v>12</v>
      </c>
      <c r="F128" s="65">
        <v>12</v>
      </c>
      <c r="G128" s="96"/>
      <c r="H128" s="126"/>
    </row>
    <row r="129" spans="1:8" ht="13.5" thickBot="1">
      <c r="A129" s="97" t="s">
        <v>94</v>
      </c>
      <c r="B129" s="79"/>
      <c r="C129" s="89">
        <f>C120*6*C128</f>
        <v>7979.039999999999</v>
      </c>
      <c r="D129" s="89">
        <f>D120*6*D128</f>
        <v>10635.84</v>
      </c>
      <c r="E129" s="89">
        <f>E120*6*E128</f>
        <v>9676.8</v>
      </c>
      <c r="F129" s="89">
        <f>F120*6*F128</f>
        <v>11784.960000000001</v>
      </c>
      <c r="G129" s="80">
        <f>SUM(C129:F129)</f>
        <v>40076.64</v>
      </c>
      <c r="H129" s="126">
        <v>1</v>
      </c>
    </row>
    <row r="130" spans="1:8" ht="13.5" thickBot="1">
      <c r="A130" s="135" t="s">
        <v>116</v>
      </c>
      <c r="B130" s="136"/>
      <c r="C130" s="139">
        <f>0.375*3.5*C17*39.4*0.3</f>
        <v>71.63474062499999</v>
      </c>
      <c r="D130" s="139">
        <f>0.375*3.5*D17*39.4*0.3</f>
        <v>47.743565624999995</v>
      </c>
      <c r="E130" s="139">
        <f>0.375*3.5*E17*39.4*0.3</f>
        <v>86.877</v>
      </c>
      <c r="F130" s="139">
        <f>0.375*3.5*F17*39.4*0.3</f>
        <v>52.901887499999994</v>
      </c>
      <c r="G130" s="138"/>
      <c r="H130" s="126"/>
    </row>
    <row r="131" spans="1:8" ht="13.5" thickBot="1">
      <c r="A131" s="135" t="s">
        <v>115</v>
      </c>
      <c r="B131" s="136"/>
      <c r="C131" s="137">
        <f>C130*$B$114</f>
        <v>573.0779249999999</v>
      </c>
      <c r="D131" s="137">
        <f>D130*$B$114</f>
        <v>381.94852499999996</v>
      </c>
      <c r="E131" s="137">
        <f>E130*$B$114</f>
        <v>695.016</v>
      </c>
      <c r="F131" s="137">
        <f>F130*$B$114</f>
        <v>423.21509999999995</v>
      </c>
      <c r="G131" s="138"/>
      <c r="H131" s="126"/>
    </row>
    <row r="132" spans="1:8" ht="13.5" thickBot="1">
      <c r="A132" s="135" t="s">
        <v>117</v>
      </c>
      <c r="B132" s="136"/>
      <c r="C132" s="137">
        <f>C131*C31</f>
        <v>3438.4675499999994</v>
      </c>
      <c r="D132" s="137">
        <f>D131*D31</f>
        <v>4583.382299999999</v>
      </c>
      <c r="E132" s="137">
        <f>E131*E31</f>
        <v>4170.096</v>
      </c>
      <c r="F132" s="137">
        <f>F131*F31</f>
        <v>5078.5812</v>
      </c>
      <c r="G132" s="138">
        <f>SUM(C132:F132)</f>
        <v>17270.527049999997</v>
      </c>
      <c r="H132" s="126">
        <v>1</v>
      </c>
    </row>
    <row r="133" spans="1:8" ht="13.5" thickBot="1">
      <c r="A133" s="135" t="s">
        <v>118</v>
      </c>
      <c r="B133" s="136"/>
      <c r="C133" s="137">
        <f>C131*2</f>
        <v>1146.1558499999999</v>
      </c>
      <c r="D133" s="137">
        <f>D131*2</f>
        <v>763.8970499999999</v>
      </c>
      <c r="E133" s="137">
        <f>E131*2</f>
        <v>1390.032</v>
      </c>
      <c r="F133" s="137">
        <f>F131*2</f>
        <v>846.4301999999999</v>
      </c>
      <c r="G133" s="138">
        <f>SUM(C133:F133)</f>
        <v>4146.5151</v>
      </c>
      <c r="H133" s="126">
        <v>0.5</v>
      </c>
    </row>
    <row r="134" spans="1:8" ht="13.5" thickBot="1">
      <c r="A134" s="135" t="s">
        <v>120</v>
      </c>
      <c r="B134" s="136"/>
      <c r="C134" s="137">
        <v>3000</v>
      </c>
      <c r="D134" s="137">
        <f>C134</f>
        <v>3000</v>
      </c>
      <c r="E134" s="137">
        <f>D134</f>
        <v>3000</v>
      </c>
      <c r="F134" s="137">
        <f>E134</f>
        <v>3000</v>
      </c>
      <c r="G134" s="138">
        <f>SUM(C134:F134)</f>
        <v>12000</v>
      </c>
      <c r="H134" s="126">
        <v>0.5</v>
      </c>
    </row>
    <row r="135" spans="1:7" ht="15.75" thickBot="1">
      <c r="A135" s="123" t="s">
        <v>93</v>
      </c>
      <c r="B135" s="99"/>
      <c r="C135" s="100"/>
      <c r="D135" s="100"/>
      <c r="E135" s="100"/>
      <c r="F135" s="100"/>
      <c r="G135" s="127">
        <f>SUM(G124:G134)</f>
        <v>130324.58415</v>
      </c>
    </row>
    <row r="136" spans="1:7" ht="16.5" thickBot="1">
      <c r="A136" s="123" t="s">
        <v>113</v>
      </c>
      <c r="B136" s="125"/>
      <c r="C136" s="124"/>
      <c r="D136" s="124"/>
      <c r="E136" s="124"/>
      <c r="F136" s="124"/>
      <c r="G136" s="122">
        <f>G124*(1+H124)+G126*(1+H126)+G127*(1+H127)+G129*(1+H129)+G132*(1+H132)+G133*(1+H133)+G134*(1+H134)</f>
        <v>252575.91074999998</v>
      </c>
    </row>
    <row r="138" ht="13.5" thickBot="1"/>
    <row r="139" spans="1:7" ht="12.75">
      <c r="A139" s="81" t="s">
        <v>96</v>
      </c>
      <c r="B139" s="84"/>
      <c r="C139" s="73"/>
      <c r="D139" s="73"/>
      <c r="E139" s="73"/>
      <c r="F139" s="73"/>
      <c r="G139" s="74"/>
    </row>
    <row r="140" spans="1:7" ht="15.75" thickBot="1">
      <c r="A140" s="128" t="s">
        <v>112</v>
      </c>
      <c r="B140" s="129"/>
      <c r="C140" s="106">
        <v>20</v>
      </c>
      <c r="D140" s="106">
        <v>20</v>
      </c>
      <c r="E140" s="106">
        <v>20</v>
      </c>
      <c r="F140" s="106">
        <v>20</v>
      </c>
      <c r="G140" s="130"/>
    </row>
    <row r="141" spans="1:7" ht="15.75" thickBot="1">
      <c r="A141" s="140" t="s">
        <v>119</v>
      </c>
      <c r="B141" s="129"/>
      <c r="C141" s="106">
        <v>8</v>
      </c>
      <c r="D141" s="106">
        <v>8</v>
      </c>
      <c r="E141" s="106">
        <v>8</v>
      </c>
      <c r="F141" s="106">
        <v>8</v>
      </c>
      <c r="G141" s="130"/>
    </row>
    <row r="142" spans="1:7" ht="15.75" thickBot="1">
      <c r="A142" s="75" t="s">
        <v>97</v>
      </c>
      <c r="B142" s="66"/>
      <c r="C142" s="106">
        <v>1</v>
      </c>
      <c r="D142" s="106">
        <f>C142</f>
        <v>1</v>
      </c>
      <c r="E142" s="106">
        <f>D142</f>
        <v>1</v>
      </c>
      <c r="F142" s="106">
        <f>E142</f>
        <v>1</v>
      </c>
      <c r="G142" s="76"/>
    </row>
    <row r="143" spans="1:7" ht="15.75" thickBot="1">
      <c r="A143" s="75" t="s">
        <v>98</v>
      </c>
      <c r="B143" s="66"/>
      <c r="C143" s="106">
        <f>C142*C119</f>
        <v>18.47</v>
      </c>
      <c r="D143" s="106">
        <f>D142*D119</f>
        <v>12.31</v>
      </c>
      <c r="E143" s="106">
        <f>E142*E119</f>
        <v>22.4</v>
      </c>
      <c r="F143" s="106">
        <f>F142*F119</f>
        <v>13.64</v>
      </c>
      <c r="G143" s="76"/>
    </row>
    <row r="144" spans="1:7" ht="15.75" thickBot="1">
      <c r="A144" s="75" t="s">
        <v>99</v>
      </c>
      <c r="B144" s="66"/>
      <c r="C144" s="106">
        <v>8</v>
      </c>
      <c r="D144" s="106">
        <v>8</v>
      </c>
      <c r="E144" s="106">
        <v>8</v>
      </c>
      <c r="F144" s="106">
        <v>8</v>
      </c>
      <c r="G144" s="76"/>
    </row>
    <row r="145" spans="1:7" ht="15.75" thickBot="1">
      <c r="A145" s="75" t="s">
        <v>111</v>
      </c>
      <c r="B145" s="66"/>
      <c r="C145" s="106">
        <f>C146*0.75/2</f>
        <v>170.115</v>
      </c>
      <c r="D145" s="106">
        <f>D146*0.75/2</f>
        <v>197.79000000000002</v>
      </c>
      <c r="E145" s="106">
        <f>E146*0.75/2</f>
        <v>151.79999999999998</v>
      </c>
      <c r="F145" s="106">
        <f>F146*0.75/2</f>
        <v>209.76</v>
      </c>
      <c r="G145" s="132"/>
    </row>
    <row r="146" spans="1:7" ht="16.5" thickBot="1">
      <c r="A146" s="107" t="s">
        <v>100</v>
      </c>
      <c r="B146" s="108"/>
      <c r="C146" s="106">
        <f>(C140+(C144+C143+C141)*C$31)*2</f>
        <v>453.64</v>
      </c>
      <c r="D146" s="106">
        <f>(D140+(D144+D143)*D$31)*2</f>
        <v>527.44</v>
      </c>
      <c r="E146" s="106">
        <f>(E140+(E144+E143)*E$31)*2</f>
        <v>404.79999999999995</v>
      </c>
      <c r="F146" s="131">
        <f>(F140+(F144+F143)*F$31)*2</f>
        <v>559.36</v>
      </c>
      <c r="G146" s="134">
        <f>SUM(C146:F146)</f>
        <v>1945.2400000000002</v>
      </c>
    </row>
    <row r="147" spans="1:7" ht="16.5" thickBot="1">
      <c r="A147" s="75" t="s">
        <v>108</v>
      </c>
      <c r="B147" s="108"/>
      <c r="C147" s="106">
        <v>20</v>
      </c>
      <c r="D147" s="106">
        <v>20</v>
      </c>
      <c r="E147" s="106">
        <v>20</v>
      </c>
      <c r="F147" s="106">
        <v>20</v>
      </c>
      <c r="G147" s="133"/>
    </row>
    <row r="148" spans="1:7" ht="16.5" thickBot="1">
      <c r="A148" s="75" t="s">
        <v>109</v>
      </c>
      <c r="B148" s="108"/>
      <c r="C148" s="106">
        <v>20</v>
      </c>
      <c r="D148" s="106">
        <v>20</v>
      </c>
      <c r="E148" s="106">
        <v>20</v>
      </c>
      <c r="F148" s="106">
        <v>20</v>
      </c>
      <c r="G148" s="109"/>
    </row>
    <row r="149" spans="1:7" ht="16.5" thickBot="1">
      <c r="A149" s="75" t="s">
        <v>110</v>
      </c>
      <c r="B149" s="108"/>
      <c r="C149" s="106">
        <v>2</v>
      </c>
      <c r="D149" s="106">
        <f>C149</f>
        <v>2</v>
      </c>
      <c r="E149" s="106">
        <f>D149</f>
        <v>2</v>
      </c>
      <c r="F149" s="106">
        <f>E149</f>
        <v>2</v>
      </c>
      <c r="G149" s="109"/>
    </row>
    <row r="150" spans="1:7" ht="15.75" thickBot="1">
      <c r="A150" s="75" t="s">
        <v>101</v>
      </c>
      <c r="B150" s="66"/>
      <c r="C150" s="106">
        <v>8</v>
      </c>
      <c r="D150" s="106">
        <v>8</v>
      </c>
      <c r="E150" s="106">
        <v>8</v>
      </c>
      <c r="F150" s="106">
        <v>8</v>
      </c>
      <c r="G150" s="132"/>
    </row>
    <row r="151" spans="1:7" ht="16.5" thickBot="1">
      <c r="A151" s="101" t="s">
        <v>102</v>
      </c>
      <c r="B151" s="105"/>
      <c r="C151" s="106">
        <f>C150*C$31*2+C148+C147+C145</f>
        <v>306.115</v>
      </c>
      <c r="D151" s="106">
        <f>D150*D$31*2+D148+D147+D145</f>
        <v>429.79</v>
      </c>
      <c r="E151" s="106">
        <f>E150*E$31*2+E148+E147+E145</f>
        <v>287.79999999999995</v>
      </c>
      <c r="F151" s="131">
        <f>F150*F$31*2+F148+F147+F145</f>
        <v>441.76</v>
      </c>
      <c r="G151" s="134">
        <f>SUM(C151:F151)</f>
        <v>1465.465</v>
      </c>
    </row>
    <row r="154" spans="2:9" ht="12.75" hidden="1">
      <c r="B154">
        <v>1849</v>
      </c>
      <c r="C154" s="4">
        <v>144</v>
      </c>
      <c r="E154" s="4">
        <f>SUM(A154:D154)</f>
        <v>1993</v>
      </c>
      <c r="G154">
        <f>E154*I154</f>
        <v>161433</v>
      </c>
      <c r="I154">
        <v>81</v>
      </c>
    </row>
    <row r="155" spans="1:9" ht="12.75" hidden="1">
      <c r="A155">
        <v>632</v>
      </c>
      <c r="B155">
        <v>1934</v>
      </c>
      <c r="C155" s="4">
        <v>192</v>
      </c>
      <c r="D155" s="4">
        <v>940</v>
      </c>
      <c r="E155" s="4">
        <f>SUM(A155:D155)</f>
        <v>3698</v>
      </c>
      <c r="G155">
        <f>E155*I155</f>
        <v>628660</v>
      </c>
      <c r="I155">
        <v>170</v>
      </c>
    </row>
    <row r="156" ht="12.75" hidden="1">
      <c r="G156" s="52">
        <f>G155+G136+G109+G154</f>
        <v>1491502.364660866</v>
      </c>
    </row>
  </sheetData>
  <printOptions/>
  <pageMargins left="0.75" right="0.75" top="1" bottom="1" header="0.5" footer="0.5"/>
  <pageSetup horizontalDpi="600" verticalDpi="600" orientation="portrait" paperSize="3" r:id="rId1"/>
  <headerFooter alignWithMargins="0">
    <oddHeader>&amp;C&amp;"Arial,Bold"&amp;14NCSX PF Fabrication Material Cost Estimate</oddHeader>
  </headerFooter>
  <rowBreaks count="3" manualBreakCount="3">
    <brk id="7" max="9" man="1"/>
    <brk id="25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helpdesk</cp:lastModifiedBy>
  <cp:lastPrinted>2007-10-29T12:47:13Z</cp:lastPrinted>
  <dcterms:created xsi:type="dcterms:W3CDTF">2001-10-24T18:11:20Z</dcterms:created>
  <dcterms:modified xsi:type="dcterms:W3CDTF">2007-10-29T17:39:44Z</dcterms:modified>
  <cp:category/>
  <cp:version/>
  <cp:contentType/>
  <cp:contentStatus/>
</cp:coreProperties>
</file>