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30" yWindow="120" windowWidth="15615" windowHeight="12975" tabRatio="186" activeTab="0"/>
  </bookViews>
  <sheets>
    <sheet name="M&amp;S" sheetId="1" r:id="rId1"/>
  </sheets>
  <definedNames>
    <definedName name="_xlnm.Print_Area" localSheetId="0">'M&amp;S'!$A$1:$G$146</definedName>
  </definedNames>
  <calcPr fullCalcOnLoad="1"/>
</workbook>
</file>

<file path=xl/sharedStrings.xml><?xml version="1.0" encoding="utf-8"?>
<sst xmlns="http://schemas.openxmlformats.org/spreadsheetml/2006/main" count="177" uniqueCount="115">
  <si>
    <t>multiplier</t>
  </si>
  <si>
    <t>$</t>
  </si>
  <si>
    <t>m/m</t>
  </si>
  <si>
    <t>turn ins.  Tape Thickness</t>
  </si>
  <si>
    <t>mm</t>
  </si>
  <si>
    <t>No. half lapped layers</t>
  </si>
  <si>
    <t>#</t>
  </si>
  <si>
    <t>meters of ins. /roll</t>
  </si>
  <si>
    <t>m</t>
  </si>
  <si>
    <t>no. rolls/coil</t>
  </si>
  <si>
    <t>insulation waste factor</t>
  </si>
  <si>
    <t>turn insulation cost per roll</t>
  </si>
  <si>
    <t>$/roll</t>
  </si>
  <si>
    <t>ground wall tape thickness</t>
  </si>
  <si>
    <t>total ground wall thick.</t>
  </si>
  <si>
    <t>ground wall tape width</t>
  </si>
  <si>
    <t>cm</t>
  </si>
  <si>
    <t>gw tape length reqd.</t>
  </si>
  <si>
    <t>GW tape cost per roll</t>
  </si>
  <si>
    <t>Epoxy volume reqd. (15% void fraction)</t>
  </si>
  <si>
    <t>l</t>
  </si>
  <si>
    <t>Epoxy cost/liter</t>
  </si>
  <si>
    <t>$/l</t>
  </si>
  <si>
    <t>$/kg</t>
  </si>
  <si>
    <t>Cu density</t>
  </si>
  <si>
    <t>radius</t>
  </si>
  <si>
    <t xml:space="preserve">m </t>
  </si>
  <si>
    <t>bundle dr</t>
  </si>
  <si>
    <t>bundle dz</t>
  </si>
  <si>
    <t>no. of turns</t>
  </si>
  <si>
    <t>packing fraction</t>
  </si>
  <si>
    <t>kg</t>
  </si>
  <si>
    <t>length per turn</t>
  </si>
  <si>
    <t>total length of cu per coil</t>
  </si>
  <si>
    <t>turn height</t>
  </si>
  <si>
    <t>turn width</t>
  </si>
  <si>
    <t>coolant hole dia.</t>
  </si>
  <si>
    <t>corner radii</t>
  </si>
  <si>
    <t>conductor area</t>
  </si>
  <si>
    <t>mm^2</t>
  </si>
  <si>
    <t>misc matl -$ per lb of Cu in coils</t>
  </si>
  <si>
    <t>calculated coil Cu wt.</t>
  </si>
  <si>
    <t>glass insul width</t>
  </si>
  <si>
    <t>turn insul.:  length/meter of cond./layer</t>
  </si>
  <si>
    <t>turn insul. length/meter of cond./layer</t>
  </si>
  <si>
    <t>II.  Materials M&amp;S</t>
  </si>
  <si>
    <t>Number of Coils</t>
  </si>
  <si>
    <t>Trim1</t>
  </si>
  <si>
    <t>total rolls of turn ins. reqd N Coils</t>
  </si>
  <si>
    <t>no. rolls of GW insulation, for all coils</t>
  </si>
  <si>
    <t>turn insulation cost per coil</t>
  </si>
  <si>
    <t>GW insulation cost per coil</t>
  </si>
  <si>
    <t>Epoxy cost per coil</t>
  </si>
  <si>
    <t>copper cost per coil</t>
  </si>
  <si>
    <t>Material Costs Inuslation per Coil</t>
  </si>
  <si>
    <t>Material Cost Including Copper Condutor per Coil</t>
  </si>
  <si>
    <t>Material Costs Inuslation Total</t>
  </si>
  <si>
    <t>Material Cost Including Copper Condutor Total</t>
  </si>
  <si>
    <t>Trim2</t>
  </si>
  <si>
    <t>Total Material Cost All Trim Coils</t>
  </si>
  <si>
    <t>total rolls of turn ins. reqd.per coil</t>
  </si>
  <si>
    <t>Trim Coil Material Estimate</t>
  </si>
  <si>
    <t>Winding geometry</t>
  </si>
  <si>
    <t xml:space="preserve"> insul width</t>
  </si>
  <si>
    <t>Length of Kapton</t>
  </si>
  <si>
    <t>Cost per Meter of Kapton</t>
  </si>
  <si>
    <t>$/m</t>
  </si>
  <si>
    <t>Kapton Cost per Coil</t>
  </si>
  <si>
    <t>VPI Mold</t>
  </si>
  <si>
    <t>Manufacturing Cost per Coil based on Jupiter Coil Cost</t>
  </si>
  <si>
    <t>Total Cost All Coils</t>
  </si>
  <si>
    <t>Winding Mandrel, Lead Forming, Clamps etc</t>
  </si>
  <si>
    <t>Total Cost for Fixtures</t>
  </si>
  <si>
    <t>Total Cost For N Coils</t>
  </si>
  <si>
    <t>Recurring Costs for N Coils</t>
  </si>
  <si>
    <t>Trim3</t>
  </si>
  <si>
    <t>Trim4</t>
  </si>
  <si>
    <t>Copper Cost Per Meter</t>
  </si>
  <si>
    <t>Installation Hardware</t>
  </si>
  <si>
    <t>Weight per Bracket</t>
  </si>
  <si>
    <t>$ per bracket</t>
  </si>
  <si>
    <t>Brackets Spacing meters</t>
  </si>
  <si>
    <t>Brackets per Coil</t>
  </si>
  <si>
    <t>Total Brackets</t>
  </si>
  <si>
    <t>Fabrication Cost per Bracket (3weeks of water jet)</t>
  </si>
  <si>
    <t>Cost Bracket Fabrication</t>
  </si>
  <si>
    <t>Cost Bracket Fabrication with Materials</t>
  </si>
  <si>
    <t>$ per lb for plate (316 SS $8/lb  AL $5/lb)</t>
  </si>
  <si>
    <t>Cost of Material for Brackets</t>
  </si>
  <si>
    <t>Total Cost Brackets</t>
  </si>
  <si>
    <t>Hardware Cost per 3/8 Bolt (Inconnel)</t>
  </si>
  <si>
    <t>Cost for one Compression Plate</t>
  </si>
  <si>
    <t>Cost for all compression plates</t>
  </si>
  <si>
    <t>Cost for Hardware</t>
  </si>
  <si>
    <t>Cost for all Bolts and Studs</t>
  </si>
  <si>
    <t>G11 Plates</t>
  </si>
  <si>
    <t>Installation Man Hour Estimate</t>
  </si>
  <si>
    <t>Hours per bracket</t>
  </si>
  <si>
    <t>Hours per coil for brackets</t>
  </si>
  <si>
    <t>Hours per coil for coil Installation</t>
  </si>
  <si>
    <t>Total Hours for Tech (2 work at once)</t>
  </si>
  <si>
    <t>Hours to Measure Coil Location per Coil</t>
  </si>
  <si>
    <t>Total Hours for post Installation Metrology (2 Eng.)</t>
  </si>
  <si>
    <t>Estimate Based on Past Job Costs</t>
  </si>
  <si>
    <t>Everson Budgetary Estimate</t>
  </si>
  <si>
    <t>Manufacturing Cost from Everson Budgetary Estimate</t>
  </si>
  <si>
    <t>Fixtures =</t>
  </si>
  <si>
    <t>Coils&amp; Materials =</t>
  </si>
  <si>
    <t>Determine Metrology Procedure and Setup</t>
  </si>
  <si>
    <t>Interpret Results and Report</t>
  </si>
  <si>
    <t>Charicterize Coils Before Assembly</t>
  </si>
  <si>
    <t>Metrology for bracket installation</t>
  </si>
  <si>
    <t>Tooling / Training / Preperation</t>
  </si>
  <si>
    <t>Cost for Hardware with adjusted for uncertainty</t>
  </si>
  <si>
    <r>
      <t xml:space="preserve">Everson Budgetary Estimate </t>
    </r>
    <r>
      <rPr>
        <b/>
        <sz val="10"/>
        <rFont val="Arial"/>
        <family val="2"/>
      </rPr>
      <t>(adjusted for uncertainty)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</si>
</sst>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0.000"/>
    <numFmt numFmtId="175" formatCode="0.0000"/>
    <numFmt numFmtId="176" formatCode="0.000E+00"/>
    <numFmt numFmtId="177" formatCode="&quot;$&quot;#,##0.00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i/>
      <u val="single"/>
      <sz val="10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5" fontId="5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174" fontId="0" fillId="0" borderId="2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0" fillId="0" borderId="4" xfId="0" applyFill="1" applyBorder="1" applyAlignment="1">
      <alignment/>
    </xf>
    <xf numFmtId="165" fontId="1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65" fontId="6" fillId="0" borderId="5" xfId="0" applyNumberFormat="1" applyFont="1" applyBorder="1" applyAlignment="1">
      <alignment horizontal="center" wrapText="1"/>
    </xf>
    <xf numFmtId="174" fontId="6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/>
    </xf>
    <xf numFmtId="165" fontId="0" fillId="0" borderId="7" xfId="0" applyNumberFormat="1" applyFont="1" applyFill="1" applyBorder="1" applyAlignment="1">
      <alignment wrapText="1"/>
    </xf>
    <xf numFmtId="165" fontId="3" fillId="0" borderId="8" xfId="0" applyNumberFormat="1" applyFont="1" applyFill="1" applyBorder="1" applyAlignment="1">
      <alignment horizontal="left" wrapText="1"/>
    </xf>
    <xf numFmtId="165" fontId="3" fillId="0" borderId="9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 wrapText="1"/>
    </xf>
    <xf numFmtId="165" fontId="0" fillId="0" borderId="11" xfId="0" applyNumberFormat="1" applyFont="1" applyFill="1" applyBorder="1" applyAlignment="1">
      <alignment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165" fontId="0" fillId="0" borderId="8" xfId="0" applyNumberFormat="1" applyFont="1" applyFill="1" applyBorder="1" applyAlignment="1">
      <alignment wrapText="1"/>
    </xf>
    <xf numFmtId="165" fontId="1" fillId="0" borderId="9" xfId="0" applyNumberFormat="1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 wrapText="1"/>
    </xf>
    <xf numFmtId="166" fontId="0" fillId="0" borderId="7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74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11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66" fontId="0" fillId="0" borderId="14" xfId="0" applyNumberFormat="1" applyFont="1" applyBorder="1" applyAlignment="1">
      <alignment wrapText="1"/>
    </xf>
    <xf numFmtId="166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66" fontId="0" fillId="0" borderId="14" xfId="0" applyNumberForma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166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/>
    </xf>
    <xf numFmtId="166" fontId="1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166" fontId="1" fillId="0" borderId="24" xfId="0" applyNumberFormat="1" applyFont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25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19" xfId="0" applyFont="1" applyBorder="1" applyAlignment="1">
      <alignment wrapText="1"/>
    </xf>
    <xf numFmtId="166" fontId="10" fillId="0" borderId="19" xfId="0" applyNumberFormat="1" applyFont="1" applyFill="1" applyBorder="1" applyAlignment="1">
      <alignment/>
    </xf>
    <xf numFmtId="166" fontId="9" fillId="0" borderId="20" xfId="0" applyNumberFormat="1" applyFont="1" applyBorder="1" applyAlignment="1">
      <alignment/>
    </xf>
    <xf numFmtId="0" fontId="10" fillId="0" borderId="19" xfId="0" applyFont="1" applyBorder="1" applyAlignment="1">
      <alignment/>
    </xf>
    <xf numFmtId="1" fontId="10" fillId="0" borderId="19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10" fillId="0" borderId="14" xfId="0" applyFont="1" applyBorder="1" applyAlignment="1">
      <alignment/>
    </xf>
    <xf numFmtId="1" fontId="9" fillId="0" borderId="18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66" fontId="10" fillId="0" borderId="0" xfId="0" applyNumberFormat="1" applyFont="1" applyFill="1" applyBorder="1" applyAlignment="1">
      <alignment/>
    </xf>
    <xf numFmtId="166" fontId="9" fillId="0" borderId="0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 horizontal="left"/>
    </xf>
    <xf numFmtId="166" fontId="10" fillId="0" borderId="26" xfId="0" applyNumberFormat="1" applyFont="1" applyFill="1" applyBorder="1" applyAlignment="1">
      <alignment/>
    </xf>
    <xf numFmtId="166" fontId="0" fillId="0" borderId="24" xfId="0" applyNumberFormat="1" applyBorder="1" applyAlignment="1">
      <alignment/>
    </xf>
    <xf numFmtId="166" fontId="11" fillId="0" borderId="8" xfId="0" applyNumberFormat="1" applyFont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0" fontId="0" fillId="0" borderId="0" xfId="0" applyNumberFormat="1" applyAlignment="1">
      <alignment/>
    </xf>
    <xf numFmtId="166" fontId="10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10" fillId="0" borderId="26" xfId="0" applyNumberFormat="1" applyFont="1" applyFill="1" applyBorder="1" applyAlignment="1">
      <alignment/>
    </xf>
    <xf numFmtId="0" fontId="0" fillId="0" borderId="24" xfId="0" applyBorder="1" applyAlignment="1">
      <alignment/>
    </xf>
    <xf numFmtId="1" fontId="9" fillId="0" borderId="31" xfId="0" applyNumberFormat="1" applyFont="1" applyBorder="1" applyAlignment="1">
      <alignment/>
    </xf>
    <xf numFmtId="1" fontId="11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tabSelected="1" zoomScale="125" zoomScaleNormal="125" workbookViewId="0" topLeftCell="A128">
      <selection activeCell="A159" sqref="A159"/>
    </sheetView>
  </sheetViews>
  <sheetFormatPr defaultColWidth="9.140625" defaultRowHeight="12.75"/>
  <cols>
    <col min="1" max="1" width="47.421875" style="0" customWidth="1"/>
    <col min="2" max="2" width="9.00390625" style="0" customWidth="1"/>
    <col min="3" max="3" width="11.00390625" style="4" customWidth="1"/>
    <col min="4" max="4" width="11.140625" style="4" customWidth="1"/>
    <col min="5" max="6" width="9.8515625" style="4" customWidth="1"/>
    <col min="7" max="7" width="11.28125" style="0" customWidth="1"/>
    <col min="8" max="8" width="10.28125" style="0" bestFit="1" customWidth="1"/>
  </cols>
  <sheetData>
    <row r="1" spans="1:2" ht="12.75" hidden="1">
      <c r="A1" s="10"/>
      <c r="B1" s="4"/>
    </row>
    <row r="2" spans="1:2" ht="12.75" hidden="1">
      <c r="A2" s="4"/>
      <c r="B2" s="11"/>
    </row>
    <row r="3" spans="1:2" ht="12.75" hidden="1">
      <c r="A3" s="4"/>
      <c r="B3" s="11"/>
    </row>
    <row r="4" spans="1:2" ht="12.75" hidden="1">
      <c r="A4" s="4"/>
      <c r="B4" s="11"/>
    </row>
    <row r="5" spans="1:2" ht="12.75" hidden="1">
      <c r="A5" s="4"/>
      <c r="B5" s="11"/>
    </row>
    <row r="6" spans="1:2" ht="12.75" hidden="1">
      <c r="A6" s="12"/>
      <c r="B6" s="11"/>
    </row>
    <row r="7" spans="1:2" ht="12.75" hidden="1">
      <c r="A7" s="4"/>
      <c r="B7" s="4"/>
    </row>
    <row r="8" spans="1:2" ht="13.5" thickBot="1">
      <c r="A8" s="4"/>
      <c r="B8" s="13"/>
    </row>
    <row r="9" spans="1:6" ht="12.75">
      <c r="A9" s="10"/>
      <c r="B9" s="4"/>
      <c r="C9" s="31" t="s">
        <v>47</v>
      </c>
      <c r="D9" s="31" t="s">
        <v>58</v>
      </c>
      <c r="E9" s="31" t="s">
        <v>75</v>
      </c>
      <c r="F9" s="31" t="s">
        <v>76</v>
      </c>
    </row>
    <row r="10" spans="1:2" ht="12.75">
      <c r="A10" s="10"/>
      <c r="B10" s="4"/>
    </row>
    <row r="11" spans="1:2" ht="12.75">
      <c r="A11" s="10" t="s">
        <v>62</v>
      </c>
      <c r="B11" s="4"/>
    </row>
    <row r="12" spans="1:10" ht="12.75">
      <c r="A12" s="14"/>
      <c r="B12" s="14"/>
      <c r="C12" s="15"/>
      <c r="D12" s="15"/>
      <c r="E12" s="15"/>
      <c r="F12" s="15"/>
      <c r="G12" s="8"/>
      <c r="H12" s="7"/>
      <c r="I12" s="2"/>
      <c r="J12" s="2"/>
    </row>
    <row r="13" spans="1:10" ht="12.75">
      <c r="A13" s="60" t="s">
        <v>25</v>
      </c>
      <c r="B13" s="60" t="s">
        <v>26</v>
      </c>
      <c r="C13" s="61">
        <v>0.5219446</v>
      </c>
      <c r="D13" s="61">
        <v>0.5219446</v>
      </c>
      <c r="E13" s="61">
        <v>0.5219446</v>
      </c>
      <c r="F13" s="61">
        <v>0.5219446</v>
      </c>
      <c r="G13" s="5"/>
      <c r="H13" s="6"/>
      <c r="I13" s="1"/>
      <c r="J13" s="1"/>
    </row>
    <row r="14" spans="1:6" ht="12.75">
      <c r="A14" s="60" t="s">
        <v>27</v>
      </c>
      <c r="B14" s="60" t="s">
        <v>4</v>
      </c>
      <c r="C14" s="62">
        <f>C21*2+2.8</f>
        <v>28.8</v>
      </c>
      <c r="D14" s="62">
        <f>D21*2+2.8</f>
        <v>28.8</v>
      </c>
      <c r="E14" s="62">
        <f>E21*2+2.8</f>
        <v>28.8</v>
      </c>
      <c r="F14" s="62">
        <f>F21*2+2.8</f>
        <v>28.8</v>
      </c>
    </row>
    <row r="15" spans="1:6" ht="12.75">
      <c r="A15" s="60" t="s">
        <v>28</v>
      </c>
      <c r="B15" s="60" t="s">
        <v>4</v>
      </c>
      <c r="C15" s="62">
        <f>C14</f>
        <v>28.8</v>
      </c>
      <c r="D15" s="62">
        <f>D14</f>
        <v>28.8</v>
      </c>
      <c r="E15" s="62">
        <f>E14</f>
        <v>28.8</v>
      </c>
      <c r="F15" s="62">
        <f>F14</f>
        <v>28.8</v>
      </c>
    </row>
    <row r="16" spans="1:6" ht="12.75">
      <c r="A16" s="60" t="s">
        <v>29</v>
      </c>
      <c r="B16" s="60"/>
      <c r="C16" s="63">
        <v>4</v>
      </c>
      <c r="D16" s="63">
        <v>4</v>
      </c>
      <c r="E16" s="63">
        <v>4</v>
      </c>
      <c r="F16" s="63">
        <v>4</v>
      </c>
    </row>
    <row r="17" spans="1:6" ht="12.75">
      <c r="A17" s="60" t="s">
        <v>30</v>
      </c>
      <c r="B17" s="60"/>
      <c r="C17" s="62">
        <v>0.75</v>
      </c>
      <c r="D17" s="62">
        <v>0.75</v>
      </c>
      <c r="E17" s="62">
        <v>0.75</v>
      </c>
      <c r="F17" s="62">
        <v>0.75</v>
      </c>
    </row>
    <row r="18" spans="1:6" ht="12.75">
      <c r="A18" s="60" t="s">
        <v>32</v>
      </c>
      <c r="B18" s="60" t="s">
        <v>8</v>
      </c>
      <c r="C18" s="62">
        <f>C19/C16</f>
        <v>4.6175</v>
      </c>
      <c r="D18" s="62">
        <f>D19/D16</f>
        <v>3.0775</v>
      </c>
      <c r="E18" s="62">
        <f>E19/E16</f>
        <v>5.6</v>
      </c>
      <c r="F18" s="62">
        <f>F19/F16</f>
        <v>3.41</v>
      </c>
    </row>
    <row r="19" spans="1:6" ht="12.75">
      <c r="A19" s="60" t="s">
        <v>33</v>
      </c>
      <c r="B19" s="60" t="s">
        <v>8</v>
      </c>
      <c r="C19" s="62">
        <v>18.47</v>
      </c>
      <c r="D19" s="62">
        <v>12.31</v>
      </c>
      <c r="E19" s="62">
        <v>22.4</v>
      </c>
      <c r="F19" s="62">
        <v>13.64</v>
      </c>
    </row>
    <row r="20" spans="1:6" ht="12.75">
      <c r="A20" s="60" t="s">
        <v>34</v>
      </c>
      <c r="B20" s="60" t="s">
        <v>4</v>
      </c>
      <c r="C20" s="62">
        <v>13</v>
      </c>
      <c r="D20" s="62">
        <v>13</v>
      </c>
      <c r="E20" s="62">
        <v>13</v>
      </c>
      <c r="F20" s="62">
        <v>13</v>
      </c>
    </row>
    <row r="21" spans="1:6" ht="12.75">
      <c r="A21" s="60" t="s">
        <v>35</v>
      </c>
      <c r="B21" s="60" t="s">
        <v>4</v>
      </c>
      <c r="C21" s="62">
        <v>13</v>
      </c>
      <c r="D21" s="62">
        <v>13</v>
      </c>
      <c r="E21" s="62">
        <v>13</v>
      </c>
      <c r="F21" s="62">
        <v>13</v>
      </c>
    </row>
    <row r="22" spans="1:6" ht="12.75">
      <c r="A22" s="60" t="s">
        <v>36</v>
      </c>
      <c r="B22" s="60" t="s">
        <v>4</v>
      </c>
      <c r="C22" s="62">
        <v>0</v>
      </c>
      <c r="D22" s="62">
        <v>0</v>
      </c>
      <c r="E22" s="62">
        <v>0</v>
      </c>
      <c r="F22" s="62">
        <v>0</v>
      </c>
    </row>
    <row r="23" spans="1:6" ht="12.75">
      <c r="A23" s="60" t="s">
        <v>37</v>
      </c>
      <c r="B23" s="60" t="s">
        <v>4</v>
      </c>
      <c r="C23" s="62">
        <v>1.016</v>
      </c>
      <c r="D23" s="62">
        <v>1.016</v>
      </c>
      <c r="E23" s="62">
        <v>1.016</v>
      </c>
      <c r="F23" s="62">
        <v>1.016</v>
      </c>
    </row>
    <row r="24" spans="1:6" ht="12.75">
      <c r="A24" s="60" t="s">
        <v>38</v>
      </c>
      <c r="B24" s="60" t="s">
        <v>39</v>
      </c>
      <c r="C24" s="62">
        <f>C21*C20-((4-PI())*C23*C23)-PI()*C22^2/4</f>
        <v>168.11390386622398</v>
      </c>
      <c r="D24" s="62">
        <f>D21*D20-((4-PI())*D23*D23)-PI()*D22^2/4</f>
        <v>168.11390386622398</v>
      </c>
      <c r="E24" s="62">
        <f>E21*E20-((4-PI())*E23*E23)-PI()*E22^2/4</f>
        <v>168.11390386622398</v>
      </c>
      <c r="F24" s="62">
        <f>F21*F20-((4-PI())*F23*F23)-PI()*F22^2/4</f>
        <v>168.11390386622398</v>
      </c>
    </row>
    <row r="25" spans="1:6" ht="12.75">
      <c r="A25" s="60" t="s">
        <v>41</v>
      </c>
      <c r="B25" s="60" t="s">
        <v>31</v>
      </c>
      <c r="C25" s="62">
        <f>C19*1000*C24*$B26</f>
        <v>26.641447441830564</v>
      </c>
      <c r="D25" s="62">
        <f>D19*1000*D24*$B26</f>
        <v>17.756156903569803</v>
      </c>
      <c r="E25" s="62">
        <f>E19*1000*E24*$B26</f>
        <v>32.310147411857315</v>
      </c>
      <c r="F25" s="62">
        <f>F19*1000*F24*$B26</f>
        <v>19.67457190614883</v>
      </c>
    </row>
    <row r="26" spans="1:6" ht="12.75">
      <c r="A26" s="64" t="s">
        <v>24</v>
      </c>
      <c r="B26" s="65">
        <v>8.58E-06</v>
      </c>
      <c r="C26" s="66"/>
      <c r="D26" s="66"/>
      <c r="E26" s="66"/>
      <c r="F26" s="66"/>
    </row>
    <row r="27" spans="1:2" ht="12.75">
      <c r="A27" s="4"/>
      <c r="B27" s="4"/>
    </row>
    <row r="28" spans="1:2" ht="13.5" thickBot="1">
      <c r="A28" s="10" t="s">
        <v>61</v>
      </c>
      <c r="B28" s="4"/>
    </row>
    <row r="29" spans="1:6" ht="12.75">
      <c r="A29" s="16"/>
      <c r="B29" s="23"/>
      <c r="C29" s="31" t="s">
        <v>47</v>
      </c>
      <c r="D29" s="31" t="s">
        <v>58</v>
      </c>
      <c r="E29" s="31" t="s">
        <v>75</v>
      </c>
      <c r="F29" s="31" t="s">
        <v>76</v>
      </c>
    </row>
    <row r="30" spans="1:6" ht="12.75">
      <c r="A30" s="17" t="s">
        <v>45</v>
      </c>
      <c r="B30" s="24"/>
      <c r="C30" s="32"/>
      <c r="D30" s="32"/>
      <c r="E30" s="32"/>
      <c r="F30" s="32"/>
    </row>
    <row r="31" spans="1:6" ht="12.75">
      <c r="A31" s="18"/>
      <c r="B31" s="25"/>
      <c r="C31" s="33"/>
      <c r="D31" s="33"/>
      <c r="E31" s="33"/>
      <c r="F31" s="33"/>
    </row>
    <row r="32" spans="1:6" ht="13.5" thickBot="1">
      <c r="A32" s="38" t="s">
        <v>46</v>
      </c>
      <c r="B32" s="39"/>
      <c r="C32" s="99">
        <v>6</v>
      </c>
      <c r="D32" s="99">
        <v>12</v>
      </c>
      <c r="E32" s="99">
        <v>6</v>
      </c>
      <c r="F32" s="99">
        <v>12</v>
      </c>
    </row>
    <row r="33" spans="1:6" ht="13.5" thickBot="1">
      <c r="A33" s="58" t="s">
        <v>77</v>
      </c>
      <c r="B33" s="59"/>
      <c r="C33" s="56">
        <f>3153/(18.47*6)</f>
        <v>28.451543042772066</v>
      </c>
      <c r="D33" s="56">
        <v>28</v>
      </c>
      <c r="E33" s="56">
        <v>28</v>
      </c>
      <c r="F33" s="56">
        <v>28</v>
      </c>
    </row>
    <row r="34" spans="1:6" ht="13.5" thickBot="1">
      <c r="A34" s="43" t="s">
        <v>53</v>
      </c>
      <c r="B34" s="44" t="s">
        <v>1</v>
      </c>
      <c r="C34" s="56">
        <f>C33*C19</f>
        <v>525.5</v>
      </c>
      <c r="D34" s="56">
        <f>D33*D19</f>
        <v>344.68</v>
      </c>
      <c r="E34" s="56">
        <f>E33*E19</f>
        <v>627.1999999999999</v>
      </c>
      <c r="F34" s="56">
        <f>F33*F19</f>
        <v>381.92</v>
      </c>
    </row>
    <row r="35" spans="1:6" ht="12.75">
      <c r="A35" s="40" t="s">
        <v>40</v>
      </c>
      <c r="B35" s="41">
        <v>2</v>
      </c>
      <c r="C35" s="42" t="s">
        <v>23</v>
      </c>
      <c r="D35" s="42" t="s">
        <v>23</v>
      </c>
      <c r="E35" s="42" t="s">
        <v>23</v>
      </c>
      <c r="F35" s="42" t="s">
        <v>23</v>
      </c>
    </row>
    <row r="36" spans="1:8" ht="12.75">
      <c r="A36" s="19" t="s">
        <v>42</v>
      </c>
      <c r="B36" s="26" t="s">
        <v>4</v>
      </c>
      <c r="C36" s="34">
        <v>25.4</v>
      </c>
      <c r="D36" s="34">
        <v>25.4</v>
      </c>
      <c r="E36" s="34">
        <v>25.4</v>
      </c>
      <c r="F36" s="34">
        <v>25.4</v>
      </c>
      <c r="H36" s="3"/>
    </row>
    <row r="37" spans="1:6" ht="16.5" customHeight="1">
      <c r="A37" s="20" t="s">
        <v>43</v>
      </c>
      <c r="B37" s="27" t="s">
        <v>2</v>
      </c>
      <c r="C37" s="47">
        <f>(2*(C20+C21)*1000/C36)/1000</f>
        <v>2.0472440944881893</v>
      </c>
      <c r="D37" s="47">
        <f>(2*(D20+D21)*1000/D36)/1000</f>
        <v>2.0472440944881893</v>
      </c>
      <c r="E37" s="47">
        <f>(2*(E20+E21)*1000/E36)/1000</f>
        <v>2.0472440944881893</v>
      </c>
      <c r="F37" s="47">
        <f>(2*(F20+F21)*1000/F36)/1000</f>
        <v>2.0472440944881893</v>
      </c>
    </row>
    <row r="38" spans="1:6" ht="12.75">
      <c r="A38" s="20" t="s">
        <v>3</v>
      </c>
      <c r="B38" s="27" t="s">
        <v>4</v>
      </c>
      <c r="C38" s="47">
        <v>0.19</v>
      </c>
      <c r="D38" s="47">
        <v>0.19</v>
      </c>
      <c r="E38" s="47">
        <v>0.19</v>
      </c>
      <c r="F38" s="47">
        <v>0.19</v>
      </c>
    </row>
    <row r="39" spans="1:6" ht="12.75">
      <c r="A39" s="20" t="s">
        <v>5</v>
      </c>
      <c r="B39" s="27" t="s">
        <v>6</v>
      </c>
      <c r="C39" s="48">
        <v>2</v>
      </c>
      <c r="D39" s="48">
        <v>2</v>
      </c>
      <c r="E39" s="48">
        <v>2</v>
      </c>
      <c r="F39" s="48">
        <v>2</v>
      </c>
    </row>
    <row r="40" spans="1:6" ht="12.75">
      <c r="A40" s="20" t="s">
        <v>7</v>
      </c>
      <c r="B40" s="27" t="s">
        <v>8</v>
      </c>
      <c r="C40" s="47">
        <v>182</v>
      </c>
      <c r="D40" s="47">
        <v>182</v>
      </c>
      <c r="E40" s="47">
        <v>182</v>
      </c>
      <c r="F40" s="47">
        <v>182</v>
      </c>
    </row>
    <row r="41" spans="1:6" ht="12.75">
      <c r="A41" s="20" t="s">
        <v>9</v>
      </c>
      <c r="B41" s="27" t="s">
        <v>6</v>
      </c>
      <c r="C41" s="49">
        <f>2*C39*C19*C37/C40</f>
        <v>0.8310461192350956</v>
      </c>
      <c r="D41" s="49">
        <f>2*D39*D19*D37/D40</f>
        <v>0.5538807649043871</v>
      </c>
      <c r="E41" s="49">
        <f>2*E39*E19*E37/E40</f>
        <v>1.0078740157480315</v>
      </c>
      <c r="F41" s="49">
        <f>2*F39*F19*F37/F40</f>
        <v>0.6137232845894265</v>
      </c>
    </row>
    <row r="42" spans="1:6" ht="12.75">
      <c r="A42" s="20" t="s">
        <v>10</v>
      </c>
      <c r="B42" s="27" t="s">
        <v>0</v>
      </c>
      <c r="C42" s="49">
        <v>1.3</v>
      </c>
      <c r="D42" s="49">
        <v>1.3</v>
      </c>
      <c r="E42" s="49">
        <v>1.3</v>
      </c>
      <c r="F42" s="49">
        <v>1.3</v>
      </c>
    </row>
    <row r="43" spans="1:6" ht="12.75">
      <c r="A43" s="20" t="s">
        <v>60</v>
      </c>
      <c r="B43" s="27" t="s">
        <v>6</v>
      </c>
      <c r="C43" s="49">
        <f>C42*C41</f>
        <v>1.0803599550056244</v>
      </c>
      <c r="D43" s="49">
        <f>D42*D41*2</f>
        <v>1.4400899887514065</v>
      </c>
      <c r="E43" s="49">
        <f>E42*E41*2</f>
        <v>2.620472440944882</v>
      </c>
      <c r="F43" s="49">
        <f>F42*F41*2</f>
        <v>1.595680539932509</v>
      </c>
    </row>
    <row r="44" spans="1:6" ht="12.75">
      <c r="A44" s="20" t="s">
        <v>11</v>
      </c>
      <c r="B44" s="27" t="s">
        <v>12</v>
      </c>
      <c r="C44" s="48">
        <v>728</v>
      </c>
      <c r="D44" s="48">
        <v>728</v>
      </c>
      <c r="E44" s="48">
        <v>728</v>
      </c>
      <c r="F44" s="48">
        <v>728</v>
      </c>
    </row>
    <row r="45" spans="1:6" ht="12.75">
      <c r="A45" s="19" t="s">
        <v>63</v>
      </c>
      <c r="B45" s="26" t="s">
        <v>4</v>
      </c>
      <c r="C45" s="49">
        <v>25.4</v>
      </c>
      <c r="D45" s="49">
        <v>25.4</v>
      </c>
      <c r="E45" s="49">
        <v>25.4</v>
      </c>
      <c r="F45" s="49">
        <v>25.4</v>
      </c>
    </row>
    <row r="46" spans="1:8" ht="12.75">
      <c r="A46" s="20" t="s">
        <v>44</v>
      </c>
      <c r="B46" s="27" t="s">
        <v>2</v>
      </c>
      <c r="C46" s="47">
        <f>(2*(C20+C21)*1000/C45)/1000</f>
        <v>2.0472440944881893</v>
      </c>
      <c r="D46" s="47">
        <f>(2*(D20+D21)*1000/D45)/1000</f>
        <v>2.0472440944881893</v>
      </c>
      <c r="E46" s="47">
        <f>(2*(E20+E21)*1000/E45)/1000</f>
        <v>2.0472440944881893</v>
      </c>
      <c r="F46" s="47">
        <f>(2*(F20+F21)*1000/F45)/1000</f>
        <v>2.0472440944881893</v>
      </c>
      <c r="H46" s="45"/>
    </row>
    <row r="47" spans="1:6" ht="12.75">
      <c r="A47" s="20" t="s">
        <v>3</v>
      </c>
      <c r="B47" s="27" t="s">
        <v>4</v>
      </c>
      <c r="C47" s="47">
        <v>0.19</v>
      </c>
      <c r="D47" s="47">
        <v>0.19</v>
      </c>
      <c r="E47" s="47">
        <v>0.19</v>
      </c>
      <c r="F47" s="47">
        <v>0.19</v>
      </c>
    </row>
    <row r="48" spans="1:6" ht="12.75">
      <c r="A48" s="20" t="s">
        <v>5</v>
      </c>
      <c r="B48" s="27" t="s">
        <v>6</v>
      </c>
      <c r="C48" s="48">
        <v>2</v>
      </c>
      <c r="D48" s="48">
        <v>2</v>
      </c>
      <c r="E48" s="48">
        <v>2</v>
      </c>
      <c r="F48" s="48">
        <v>2</v>
      </c>
    </row>
    <row r="49" spans="1:6" ht="12.75">
      <c r="A49" s="20" t="s">
        <v>7</v>
      </c>
      <c r="B49" s="27" t="s">
        <v>8</v>
      </c>
      <c r="C49" s="47">
        <v>182</v>
      </c>
      <c r="D49" s="47">
        <v>182</v>
      </c>
      <c r="E49" s="47">
        <v>182</v>
      </c>
      <c r="F49" s="47">
        <v>182</v>
      </c>
    </row>
    <row r="50" spans="1:6" ht="12.75">
      <c r="A50" s="20" t="s">
        <v>9</v>
      </c>
      <c r="B50" s="27" t="s">
        <v>6</v>
      </c>
      <c r="C50" s="49">
        <f>2*C48*C19*C46/C49</f>
        <v>0.8310461192350956</v>
      </c>
      <c r="D50" s="49">
        <f>2*D48*D19*D46/D49</f>
        <v>0.5538807649043871</v>
      </c>
      <c r="E50" s="49">
        <f>2*E48*E19*E46/E49</f>
        <v>1.0078740157480315</v>
      </c>
      <c r="F50" s="49">
        <f>2*F48*F19*F46/F49</f>
        <v>0.6137232845894265</v>
      </c>
    </row>
    <row r="51" spans="1:6" ht="12.75">
      <c r="A51" s="20" t="s">
        <v>10</v>
      </c>
      <c r="B51" s="27" t="s">
        <v>0</v>
      </c>
      <c r="C51" s="49">
        <v>1.3</v>
      </c>
      <c r="D51" s="49">
        <v>1.3</v>
      </c>
      <c r="E51" s="49">
        <v>1.3</v>
      </c>
      <c r="F51" s="49">
        <v>1.3</v>
      </c>
    </row>
    <row r="52" spans="1:6" ht="12.75">
      <c r="A52" s="20" t="s">
        <v>48</v>
      </c>
      <c r="B52" s="27" t="s">
        <v>6</v>
      </c>
      <c r="C52" s="49">
        <f>C51*C50*C32</f>
        <v>6.482159730033747</v>
      </c>
      <c r="D52" s="49">
        <f>D51*D50*D32</f>
        <v>8.640539932508439</v>
      </c>
      <c r="E52" s="49">
        <f>E51*E50*E32</f>
        <v>7.861417322834646</v>
      </c>
      <c r="F52" s="49">
        <f>F51*F50*F32</f>
        <v>9.574083239595053</v>
      </c>
    </row>
    <row r="53" spans="1:6" ht="12.75">
      <c r="A53" s="20" t="s">
        <v>11</v>
      </c>
      <c r="B53" s="25" t="s">
        <v>12</v>
      </c>
      <c r="C53" s="48">
        <v>728</v>
      </c>
      <c r="D53" s="48">
        <v>728</v>
      </c>
      <c r="E53" s="48">
        <v>728</v>
      </c>
      <c r="F53" s="48">
        <v>728</v>
      </c>
    </row>
    <row r="54" spans="1:6" ht="12.75">
      <c r="A54" s="20" t="s">
        <v>50</v>
      </c>
      <c r="B54" s="24" t="s">
        <v>1</v>
      </c>
      <c r="C54" s="50">
        <f>C53*C52/C32</f>
        <v>786.5020472440946</v>
      </c>
      <c r="D54" s="50">
        <f>D53*D52/D32</f>
        <v>524.192755905512</v>
      </c>
      <c r="E54" s="50">
        <f>E53*E52/E32</f>
        <v>953.851968503937</v>
      </c>
      <c r="F54" s="50">
        <f>F53*F52/F32</f>
        <v>580.8277165354332</v>
      </c>
    </row>
    <row r="55" spans="1:6" ht="12.75">
      <c r="A55" s="20" t="s">
        <v>64</v>
      </c>
      <c r="B55" s="26" t="s">
        <v>8</v>
      </c>
      <c r="C55" s="51">
        <f>C37*C19</f>
        <v>37.81259842519685</v>
      </c>
      <c r="D55" s="51">
        <f>D37*D19</f>
        <v>25.20157480314961</v>
      </c>
      <c r="E55" s="51">
        <f>E37*E19</f>
        <v>45.85826771653544</v>
      </c>
      <c r="F55" s="51">
        <f>F37*F19</f>
        <v>27.924409448818903</v>
      </c>
    </row>
    <row r="56" spans="1:6" ht="12.75">
      <c r="A56" s="20" t="s">
        <v>65</v>
      </c>
      <c r="B56" s="26" t="s">
        <v>66</v>
      </c>
      <c r="C56" s="52">
        <f>1.258</f>
        <v>1.258</v>
      </c>
      <c r="D56" s="52">
        <f>1.258</f>
        <v>1.258</v>
      </c>
      <c r="E56" s="52">
        <f>1.258</f>
        <v>1.258</v>
      </c>
      <c r="F56" s="52">
        <f>1.258</f>
        <v>1.258</v>
      </c>
    </row>
    <row r="57" spans="1:6" ht="12.75">
      <c r="A57" s="20" t="s">
        <v>67</v>
      </c>
      <c r="B57" s="26" t="s">
        <v>1</v>
      </c>
      <c r="C57" s="50">
        <f>C56*C55</f>
        <v>47.568248818897644</v>
      </c>
      <c r="D57" s="50">
        <f>D56*D55</f>
        <v>31.70358110236221</v>
      </c>
      <c r="E57" s="50">
        <f>E56*E55</f>
        <v>57.68970078740158</v>
      </c>
      <c r="F57" s="50">
        <f>F56*F55</f>
        <v>35.12890708661418</v>
      </c>
    </row>
    <row r="58" spans="1:6" ht="12.75">
      <c r="A58" s="20" t="s">
        <v>13</v>
      </c>
      <c r="B58" s="25" t="s">
        <v>4</v>
      </c>
      <c r="C58" s="52">
        <v>0.38</v>
      </c>
      <c r="D58" s="52">
        <v>0.38</v>
      </c>
      <c r="E58" s="52">
        <v>0.38</v>
      </c>
      <c r="F58" s="52">
        <v>0.38</v>
      </c>
    </row>
    <row r="59" spans="1:6" ht="12.75">
      <c r="A59" s="20" t="s">
        <v>5</v>
      </c>
      <c r="B59" s="25" t="s">
        <v>6</v>
      </c>
      <c r="C59" s="52">
        <v>4</v>
      </c>
      <c r="D59" s="52">
        <v>4</v>
      </c>
      <c r="E59" s="52">
        <v>4</v>
      </c>
      <c r="F59" s="52">
        <v>4</v>
      </c>
    </row>
    <row r="60" spans="1:6" ht="12.75">
      <c r="A60" s="20" t="s">
        <v>14</v>
      </c>
      <c r="B60" s="25" t="s">
        <v>4</v>
      </c>
      <c r="C60" s="52">
        <f>2*C59*C58</f>
        <v>3.04</v>
      </c>
      <c r="D60" s="52">
        <f>2*D59*D58</f>
        <v>3.04</v>
      </c>
      <c r="E60" s="52">
        <f>2*E59*E58</f>
        <v>3.04</v>
      </c>
      <c r="F60" s="52">
        <f>2*F59*F58</f>
        <v>3.04</v>
      </c>
    </row>
    <row r="61" spans="1:6" ht="12.75">
      <c r="A61" s="20" t="s">
        <v>15</v>
      </c>
      <c r="B61" s="25" t="s">
        <v>16</v>
      </c>
      <c r="C61" s="51">
        <v>6</v>
      </c>
      <c r="D61" s="51">
        <v>6</v>
      </c>
      <c r="E61" s="51">
        <v>6</v>
      </c>
      <c r="F61" s="51">
        <v>6</v>
      </c>
    </row>
    <row r="62" spans="1:6" ht="12.75">
      <c r="A62" s="20" t="s">
        <v>17</v>
      </c>
      <c r="B62" s="25" t="s">
        <v>8</v>
      </c>
      <c r="C62" s="51">
        <f>(C18*(100*C59/C61))*2*(C15+C14)/1000</f>
        <v>35.4624</v>
      </c>
      <c r="D62" s="51">
        <f>(D18*(100*D59/D61))*2*(D15+D14)/1000</f>
        <v>23.635200000000005</v>
      </c>
      <c r="E62" s="51">
        <f>(E18*(100*E59/E61))*2*(E15+E14)/1000</f>
        <v>43.008</v>
      </c>
      <c r="F62" s="51">
        <f>(F18*(100*F59/F61))*2*(F15+F14)/1000</f>
        <v>26.188800000000008</v>
      </c>
    </row>
    <row r="63" spans="1:6" ht="12.75">
      <c r="A63" s="20" t="s">
        <v>7</v>
      </c>
      <c r="B63" s="25" t="s">
        <v>8</v>
      </c>
      <c r="C63" s="51">
        <v>10</v>
      </c>
      <c r="D63" s="51">
        <v>10</v>
      </c>
      <c r="E63" s="51">
        <v>10</v>
      </c>
      <c r="F63" s="51">
        <v>10</v>
      </c>
    </row>
    <row r="64" spans="1:6" ht="12.75">
      <c r="A64" s="20" t="s">
        <v>9</v>
      </c>
      <c r="B64" s="25" t="s">
        <v>6</v>
      </c>
      <c r="C64" s="51">
        <f>C62/C63</f>
        <v>3.54624</v>
      </c>
      <c r="D64" s="51">
        <f>D62/D63</f>
        <v>2.3635200000000003</v>
      </c>
      <c r="E64" s="51">
        <f>E62/E63</f>
        <v>4.300800000000001</v>
      </c>
      <c r="F64" s="51">
        <f>F62/F63</f>
        <v>2.6188800000000008</v>
      </c>
    </row>
    <row r="65" spans="1:6" ht="12.75">
      <c r="A65" s="20" t="s">
        <v>10</v>
      </c>
      <c r="B65" s="25" t="s">
        <v>0</v>
      </c>
      <c r="C65" s="52">
        <v>1.3</v>
      </c>
      <c r="D65" s="52">
        <v>1.3</v>
      </c>
      <c r="E65" s="52">
        <v>1.3</v>
      </c>
      <c r="F65" s="52">
        <v>1.3</v>
      </c>
    </row>
    <row r="66" spans="1:6" ht="12.75">
      <c r="A66" s="20" t="s">
        <v>49</v>
      </c>
      <c r="B66" s="25" t="s">
        <v>6</v>
      </c>
      <c r="C66" s="51">
        <f>C65*C64*C32</f>
        <v>27.660671999999998</v>
      </c>
      <c r="D66" s="51">
        <f>D65*D64*D32</f>
        <v>36.870912000000004</v>
      </c>
      <c r="E66" s="51">
        <f>E65*E64*E32</f>
        <v>33.54624000000001</v>
      </c>
      <c r="F66" s="51">
        <f>F65*F64*F32</f>
        <v>40.85452800000001</v>
      </c>
    </row>
    <row r="67" spans="1:6" ht="12.75">
      <c r="A67" s="19" t="s">
        <v>18</v>
      </c>
      <c r="B67" s="28" t="s">
        <v>1</v>
      </c>
      <c r="C67" s="51">
        <v>50</v>
      </c>
      <c r="D67" s="51">
        <v>50</v>
      </c>
      <c r="E67" s="51">
        <v>50</v>
      </c>
      <c r="F67" s="51">
        <v>50</v>
      </c>
    </row>
    <row r="68" spans="1:6" ht="12.75">
      <c r="A68" s="19" t="s">
        <v>51</v>
      </c>
      <c r="B68" s="24" t="s">
        <v>1</v>
      </c>
      <c r="C68" s="50">
        <f>C67*C66/C32</f>
        <v>230.5056</v>
      </c>
      <c r="D68" s="50">
        <f>D67*D66/D32</f>
        <v>153.6288</v>
      </c>
      <c r="E68" s="50">
        <f>E67*E66/E32</f>
        <v>279.5520000000001</v>
      </c>
      <c r="F68" s="50">
        <f>F67*F66/F32</f>
        <v>170.22720000000004</v>
      </c>
    </row>
    <row r="69" spans="1:6" ht="12.75">
      <c r="A69" s="21" t="s">
        <v>19</v>
      </c>
      <c r="B69" s="29" t="s">
        <v>20</v>
      </c>
      <c r="C69" s="52">
        <f>0.15*C14*C15*(C18)/1000</f>
        <v>0.57449088</v>
      </c>
      <c r="D69" s="52">
        <f>0.15*D14*D15*(D18)/1000</f>
        <v>0.38289024000000005</v>
      </c>
      <c r="E69" s="52">
        <f>0.15*E14*E15*(E18)/1000</f>
        <v>0.6967296000000001</v>
      </c>
      <c r="F69" s="52">
        <f>0.15*F14*F15*(F18)/1000</f>
        <v>0.42425856000000006</v>
      </c>
    </row>
    <row r="70" spans="1:6" ht="12.75">
      <c r="A70" s="19" t="s">
        <v>21</v>
      </c>
      <c r="B70" s="28" t="s">
        <v>22</v>
      </c>
      <c r="C70" s="51">
        <v>150</v>
      </c>
      <c r="D70" s="51">
        <v>150</v>
      </c>
      <c r="E70" s="51">
        <v>150</v>
      </c>
      <c r="F70" s="51">
        <v>150</v>
      </c>
    </row>
    <row r="71" spans="1:6" ht="12.75">
      <c r="A71" s="19" t="s">
        <v>52</v>
      </c>
      <c r="B71" s="24" t="s">
        <v>1</v>
      </c>
      <c r="C71" s="50">
        <f>C70*C69</f>
        <v>86.17363200000001</v>
      </c>
      <c r="D71" s="50">
        <f>D70*D69</f>
        <v>57.433536000000004</v>
      </c>
      <c r="E71" s="50">
        <f>E70*E69</f>
        <v>104.50944000000001</v>
      </c>
      <c r="F71" s="50">
        <f>F70*F69</f>
        <v>63.63878400000001</v>
      </c>
    </row>
    <row r="72" spans="1:6" ht="12.75">
      <c r="A72" s="19"/>
      <c r="B72" s="28"/>
      <c r="C72" s="46">
        <v>0</v>
      </c>
      <c r="D72" s="46">
        <v>0</v>
      </c>
      <c r="E72" s="46">
        <v>0</v>
      </c>
      <c r="F72" s="46">
        <v>0</v>
      </c>
    </row>
    <row r="73" spans="1:6" ht="13.5" thickBot="1">
      <c r="A73" s="35"/>
      <c r="B73" s="54"/>
      <c r="C73" s="55">
        <v>0</v>
      </c>
      <c r="D73" s="55">
        <v>0</v>
      </c>
      <c r="E73" s="55">
        <v>0</v>
      </c>
      <c r="F73" s="55">
        <v>0</v>
      </c>
    </row>
    <row r="74" spans="1:6" ht="19.5" customHeight="1" thickBot="1">
      <c r="A74" s="36" t="s">
        <v>54</v>
      </c>
      <c r="B74" s="37"/>
      <c r="C74" s="56">
        <f>C54+C68+C71+C57</f>
        <v>1150.7495280629923</v>
      </c>
      <c r="D74" s="56">
        <f>D54+D68+D71</f>
        <v>735.255091905512</v>
      </c>
      <c r="E74" s="56">
        <f>E54+E68+E71</f>
        <v>1337.913408503937</v>
      </c>
      <c r="F74" s="56">
        <f>F54+F68+F71</f>
        <v>814.6937005354332</v>
      </c>
    </row>
    <row r="75" spans="1:6" ht="24.75" customHeight="1" thickBot="1">
      <c r="A75" s="22" t="s">
        <v>55</v>
      </c>
      <c r="B75" s="30"/>
      <c r="C75" s="57">
        <f>C74+C34</f>
        <v>1676.2495280629923</v>
      </c>
      <c r="D75" s="57">
        <f>D74+D34</f>
        <v>1079.935091905512</v>
      </c>
      <c r="E75" s="57">
        <f>E74+E34</f>
        <v>1965.113408503937</v>
      </c>
      <c r="F75" s="57">
        <f>F74+F34</f>
        <v>1196.6137005354333</v>
      </c>
    </row>
    <row r="76" spans="1:6" ht="21.75" customHeight="1" thickBot="1">
      <c r="A76" s="36" t="s">
        <v>56</v>
      </c>
      <c r="B76" s="37"/>
      <c r="C76" s="56">
        <f>C74*C32</f>
        <v>6904.497168377954</v>
      </c>
      <c r="D76" s="56">
        <f>D74*D32</f>
        <v>8823.061102866144</v>
      </c>
      <c r="E76" s="56">
        <f>E74*E32</f>
        <v>8027.480451023623</v>
      </c>
      <c r="F76" s="56">
        <f>F74*F32</f>
        <v>9776.3244064252</v>
      </c>
    </row>
    <row r="77" spans="1:6" ht="22.5" customHeight="1" thickBot="1">
      <c r="A77" s="22" t="s">
        <v>57</v>
      </c>
      <c r="B77" s="30"/>
      <c r="C77" s="57">
        <f>C75*C32</f>
        <v>10057.497168377955</v>
      </c>
      <c r="D77" s="57">
        <f>D75*D32</f>
        <v>12959.221102866144</v>
      </c>
      <c r="E77" s="57">
        <f>E75*E32</f>
        <v>11790.680451023622</v>
      </c>
      <c r="F77" s="57">
        <f>F75*F32</f>
        <v>14359.3644064252</v>
      </c>
    </row>
    <row r="78" spans="1:6" ht="22.5" customHeight="1">
      <c r="A78" s="116"/>
      <c r="B78" s="117"/>
      <c r="C78" s="118"/>
      <c r="D78" s="118"/>
      <c r="E78" s="118"/>
      <c r="F78" s="118"/>
    </row>
    <row r="79" spans="1:2" ht="16.5" thickBot="1">
      <c r="A79" s="111" t="s">
        <v>103</v>
      </c>
      <c r="B79" s="2"/>
    </row>
    <row r="80" spans="1:7" ht="12.75">
      <c r="A80" s="82" t="s">
        <v>59</v>
      </c>
      <c r="B80" s="85"/>
      <c r="C80" s="74"/>
      <c r="D80" s="74"/>
      <c r="E80" s="74"/>
      <c r="F80" s="74"/>
      <c r="G80" s="86">
        <f>SUM(C77:F77)</f>
        <v>49166.763128692925</v>
      </c>
    </row>
    <row r="81" spans="1:7" ht="12.75">
      <c r="A81" s="76"/>
      <c r="B81" s="67"/>
      <c r="C81" s="66"/>
      <c r="D81" s="66"/>
      <c r="E81" s="66"/>
      <c r="F81" s="66"/>
      <c r="G81" s="77"/>
    </row>
    <row r="82" spans="1:7" ht="12.75">
      <c r="A82" s="76" t="s">
        <v>69</v>
      </c>
      <c r="B82" s="67"/>
      <c r="C82" s="95">
        <f>5200*1.25</f>
        <v>6500</v>
      </c>
      <c r="D82" s="95">
        <f>(C82/2*D19/C19)+C82/2</f>
        <v>5416.080129940445</v>
      </c>
      <c r="E82" s="95">
        <f>C82/2*E19/C19+C82/2</f>
        <v>7191.526800216568</v>
      </c>
      <c r="F82" s="95">
        <f>C82/2*F19/C19+C82/2</f>
        <v>5650.108283703303</v>
      </c>
      <c r="G82" s="77"/>
    </row>
    <row r="83" spans="1:7" ht="12.75">
      <c r="A83" s="76" t="s">
        <v>71</v>
      </c>
      <c r="B83" s="67"/>
      <c r="C83" s="115">
        <v>13000</v>
      </c>
      <c r="D83" s="95">
        <f>$C$83*D18/$C$18</f>
        <v>8664.320519761777</v>
      </c>
      <c r="E83" s="95">
        <f>$C$83*E18/$C$18</f>
        <v>15766.10720086627</v>
      </c>
      <c r="F83" s="95">
        <f>$C$83*F18/$C$18</f>
        <v>9600.433134813211</v>
      </c>
      <c r="G83" s="77"/>
    </row>
    <row r="84" spans="1:7" ht="12.75">
      <c r="A84" s="87" t="s">
        <v>68</v>
      </c>
      <c r="B84" s="67"/>
      <c r="C84" s="115">
        <f>C83*1.25</f>
        <v>16250</v>
      </c>
      <c r="D84" s="95">
        <f>$C$84*D18/$C$18</f>
        <v>10830.40064970222</v>
      </c>
      <c r="E84" s="95">
        <f>$C$84*E18/$C$18</f>
        <v>19707.63400108284</v>
      </c>
      <c r="F84" s="95">
        <f>$C$84*F18/$C$18</f>
        <v>12000.541418516514</v>
      </c>
      <c r="G84" s="77"/>
    </row>
    <row r="85" spans="1:7" ht="12.75">
      <c r="A85" s="87" t="s">
        <v>72</v>
      </c>
      <c r="B85" s="67"/>
      <c r="C85" s="115"/>
      <c r="D85" s="95"/>
      <c r="E85" s="95"/>
      <c r="F85" s="95"/>
      <c r="G85" s="88">
        <f>SUM(C83:F84)</f>
        <v>105819.43692474284</v>
      </c>
    </row>
    <row r="86" spans="1:7" ht="12.75">
      <c r="A86" s="87" t="s">
        <v>74</v>
      </c>
      <c r="B86" s="67"/>
      <c r="C86" s="95">
        <f>C82*C32+C77</f>
        <v>49057.49716837796</v>
      </c>
      <c r="D86" s="95">
        <f>D82*D32+D77</f>
        <v>77952.18266215148</v>
      </c>
      <c r="E86" s="95">
        <f>E82*E32+E77</f>
        <v>54939.84125232302</v>
      </c>
      <c r="F86" s="95">
        <f>F82*F32+F77</f>
        <v>82160.66381086483</v>
      </c>
      <c r="G86" s="88">
        <f>SUM(C86:F86)</f>
        <v>264110.1848937173</v>
      </c>
    </row>
    <row r="87" spans="1:7" ht="12.75">
      <c r="A87" s="76" t="s">
        <v>73</v>
      </c>
      <c r="B87" s="68"/>
      <c r="C87" s="95">
        <f>C82*C32+C77+C83+C84</f>
        <v>78307.49716837796</v>
      </c>
      <c r="D87" s="95">
        <f>D82*D32+D77+D83+D84</f>
        <v>97446.90383161548</v>
      </c>
      <c r="E87" s="95">
        <f>E82*E32+E77+E83+E84</f>
        <v>90413.58245427214</v>
      </c>
      <c r="F87" s="95">
        <f>F82*F32+F77+F83+F84</f>
        <v>103761.63836419456</v>
      </c>
      <c r="G87" s="89"/>
    </row>
    <row r="88" spans="1:7" ht="12.75">
      <c r="A88" s="76"/>
      <c r="B88" s="84"/>
      <c r="C88" s="70"/>
      <c r="D88" s="70"/>
      <c r="E88" s="70"/>
      <c r="F88" s="70"/>
      <c r="G88" s="89"/>
    </row>
    <row r="89" spans="1:7" ht="16.5" thickBot="1">
      <c r="A89" s="102" t="s">
        <v>70</v>
      </c>
      <c r="B89" s="103"/>
      <c r="C89" s="104"/>
      <c r="D89" s="104"/>
      <c r="E89" s="104"/>
      <c r="F89" s="104"/>
      <c r="G89" s="105">
        <f>SUM(G80:G87)</f>
        <v>419096.38494715304</v>
      </c>
    </row>
    <row r="90" spans="1:7" ht="15.75">
      <c r="A90" s="111"/>
      <c r="B90" s="112"/>
      <c r="C90" s="113"/>
      <c r="D90" s="113"/>
      <c r="E90" s="113"/>
      <c r="F90" s="113"/>
      <c r="G90" s="114"/>
    </row>
    <row r="91" spans="1:7" ht="16.5" thickBot="1">
      <c r="A91" s="111" t="s">
        <v>104</v>
      </c>
      <c r="B91" s="112"/>
      <c r="C91" s="113"/>
      <c r="D91" s="113"/>
      <c r="E91" s="113"/>
      <c r="F91" s="113"/>
      <c r="G91" s="114"/>
    </row>
    <row r="92" spans="1:7" ht="12.75">
      <c r="A92" s="82" t="s">
        <v>59</v>
      </c>
      <c r="B92" s="85"/>
      <c r="C92" s="74"/>
      <c r="D92" s="74"/>
      <c r="E92" s="74"/>
      <c r="F92" s="74"/>
      <c r="G92" s="86">
        <f>G80</f>
        <v>49166.763128692925</v>
      </c>
    </row>
    <row r="93" spans="1:7" ht="12.75">
      <c r="A93" s="76"/>
      <c r="B93" s="67"/>
      <c r="C93" s="66"/>
      <c r="D93" s="66"/>
      <c r="E93" s="66"/>
      <c r="F93" s="66"/>
      <c r="G93" s="77"/>
    </row>
    <row r="94" spans="1:7" ht="12.75">
      <c r="A94" s="76" t="s">
        <v>69</v>
      </c>
      <c r="B94" s="67"/>
      <c r="C94" s="95">
        <v>4150</v>
      </c>
      <c r="D94" s="95">
        <v>3700</v>
      </c>
      <c r="E94" s="95">
        <v>4300</v>
      </c>
      <c r="F94" s="95">
        <v>4000</v>
      </c>
      <c r="G94" s="77"/>
    </row>
    <row r="95" spans="1:7" ht="12.75">
      <c r="A95" s="87" t="s">
        <v>72</v>
      </c>
      <c r="B95" s="67"/>
      <c r="C95" s="115">
        <v>35000</v>
      </c>
      <c r="D95" s="95">
        <v>26000</v>
      </c>
      <c r="E95" s="95">
        <v>44000</v>
      </c>
      <c r="F95" s="95">
        <v>34000</v>
      </c>
      <c r="G95" s="88">
        <f>SUM(C95:F95)</f>
        <v>139000</v>
      </c>
    </row>
    <row r="96" spans="1:7" ht="12.75">
      <c r="A96" s="87" t="s">
        <v>74</v>
      </c>
      <c r="B96" s="67"/>
      <c r="C96" s="95">
        <f>C94*C$32+C90</f>
        <v>24900</v>
      </c>
      <c r="D96" s="95">
        <f>D94*D$32+D90</f>
        <v>44400</v>
      </c>
      <c r="E96" s="95">
        <f>E94*E$32+E90</f>
        <v>25800</v>
      </c>
      <c r="F96" s="95">
        <f>F94*F$32+F90</f>
        <v>48000</v>
      </c>
      <c r="G96" s="88">
        <f>SUM(C96:F96)</f>
        <v>143100</v>
      </c>
    </row>
    <row r="97" spans="1:7" ht="12.75">
      <c r="A97" s="76" t="s">
        <v>73</v>
      </c>
      <c r="B97" s="68"/>
      <c r="C97" s="95">
        <f>SUM(C94:C96)+C$77</f>
        <v>74107.49716837796</v>
      </c>
      <c r="D97" s="95">
        <f>SUM(D94:D96)+D$77</f>
        <v>87059.22110286614</v>
      </c>
      <c r="E97" s="95">
        <f>SUM(E94:E96)+E$77</f>
        <v>85890.68045102363</v>
      </c>
      <c r="F97" s="95">
        <f>SUM(F94:F96)+F$77</f>
        <v>100359.3644064252</v>
      </c>
      <c r="G97" s="89"/>
    </row>
    <row r="98" spans="1:7" ht="12.75">
      <c r="A98" s="76"/>
      <c r="B98" s="84"/>
      <c r="C98" s="70"/>
      <c r="D98" s="70"/>
      <c r="E98" s="70"/>
      <c r="F98" s="70"/>
      <c r="G98" s="89"/>
    </row>
    <row r="99" spans="1:7" ht="16.5" thickBot="1">
      <c r="A99" s="102" t="s">
        <v>70</v>
      </c>
      <c r="B99" s="103"/>
      <c r="C99" s="104"/>
      <c r="D99" s="104"/>
      <c r="E99" s="104"/>
      <c r="F99" s="104"/>
      <c r="G99" s="105">
        <f>SUM(G92:G97)</f>
        <v>331266.7631286929</v>
      </c>
    </row>
    <row r="100" spans="1:7" ht="15.75">
      <c r="A100" s="111"/>
      <c r="B100" s="112"/>
      <c r="C100" s="113"/>
      <c r="D100" s="113"/>
      <c r="E100" s="113"/>
      <c r="F100" s="113"/>
      <c r="G100" s="114"/>
    </row>
    <row r="101" spans="1:7" ht="15.75">
      <c r="A101" s="111"/>
      <c r="B101" s="112"/>
      <c r="C101" s="113"/>
      <c r="D101" s="113"/>
      <c r="E101" s="113"/>
      <c r="F101" s="113"/>
      <c r="G101" s="114"/>
    </row>
    <row r="102" spans="1:7" ht="16.5" thickBot="1">
      <c r="A102" s="111" t="s">
        <v>114</v>
      </c>
      <c r="B102" s="112"/>
      <c r="C102" s="119" t="s">
        <v>106</v>
      </c>
      <c r="D102" s="120">
        <v>0.5</v>
      </c>
      <c r="E102" s="113" t="s">
        <v>107</v>
      </c>
      <c r="G102" s="120">
        <v>0.25</v>
      </c>
    </row>
    <row r="103" spans="1:7" ht="12.75">
      <c r="A103" s="82" t="s">
        <v>59</v>
      </c>
      <c r="B103" s="85"/>
      <c r="C103" s="74"/>
      <c r="D103" s="74"/>
      <c r="E103" s="74"/>
      <c r="F103" s="74"/>
      <c r="G103" s="86">
        <f>SUM(C77:F77)*(1+G102)</f>
        <v>61458.453910866156</v>
      </c>
    </row>
    <row r="104" spans="1:7" ht="12.75">
      <c r="A104" s="76"/>
      <c r="B104" s="67"/>
      <c r="C104" s="66"/>
      <c r="D104" s="66"/>
      <c r="E104" s="66"/>
      <c r="F104" s="66"/>
      <c r="G104" s="77"/>
    </row>
    <row r="105" spans="1:7" ht="12.75">
      <c r="A105" s="76" t="s">
        <v>105</v>
      </c>
      <c r="B105" s="67"/>
      <c r="C105" s="95">
        <v>4150</v>
      </c>
      <c r="D105" s="95">
        <v>3700</v>
      </c>
      <c r="E105" s="95">
        <v>4300</v>
      </c>
      <c r="F105" s="95">
        <v>4000</v>
      </c>
      <c r="G105" s="77"/>
    </row>
    <row r="106" spans="1:7" ht="12.75">
      <c r="A106" s="87" t="s">
        <v>72</v>
      </c>
      <c r="B106" s="67"/>
      <c r="C106" s="115">
        <v>35000</v>
      </c>
      <c r="D106" s="95">
        <v>26000</v>
      </c>
      <c r="E106" s="95">
        <v>44000</v>
      </c>
      <c r="F106" s="95">
        <v>34000</v>
      </c>
      <c r="G106" s="88">
        <f>SUM(C106:F106)*(1+D102)</f>
        <v>208500</v>
      </c>
    </row>
    <row r="107" spans="1:7" ht="12.75">
      <c r="A107" s="87" t="s">
        <v>74</v>
      </c>
      <c r="B107" s="67"/>
      <c r="C107" s="95">
        <f>C105*C$32+C101</f>
        <v>24900</v>
      </c>
      <c r="D107" s="95">
        <f>D105*D$32+D101</f>
        <v>44400</v>
      </c>
      <c r="E107" s="95">
        <f>E105*E$32+E101</f>
        <v>25800</v>
      </c>
      <c r="F107" s="95">
        <f>F105*F$32+F101</f>
        <v>48000</v>
      </c>
      <c r="G107" s="88">
        <f>SUM(C107:F107)*(1+G102)</f>
        <v>178875</v>
      </c>
    </row>
    <row r="108" spans="1:7" ht="12.75">
      <c r="A108" s="76" t="s">
        <v>73</v>
      </c>
      <c r="B108" s="68"/>
      <c r="C108" s="95">
        <f>SUM(C105:C107)+C$77</f>
        <v>74107.49716837796</v>
      </c>
      <c r="D108" s="95">
        <f>SUM(D105:D107)+D$77</f>
        <v>87059.22110286614</v>
      </c>
      <c r="E108" s="95">
        <f>SUM(E105:E107)+E$77</f>
        <v>85890.68045102363</v>
      </c>
      <c r="F108" s="95">
        <f>SUM(F105:F107)+F$77</f>
        <v>100359.3644064252</v>
      </c>
      <c r="G108" s="89"/>
    </row>
    <row r="109" spans="1:7" ht="13.5" thickBot="1">
      <c r="A109" s="76"/>
      <c r="B109" s="84"/>
      <c r="C109" s="70"/>
      <c r="D109" s="70"/>
      <c r="E109" s="70"/>
      <c r="F109" s="70"/>
      <c r="G109" s="122"/>
    </row>
    <row r="110" spans="1:7" ht="16.5" thickBot="1">
      <c r="A110" s="102" t="s">
        <v>70</v>
      </c>
      <c r="B110" s="103"/>
      <c r="C110" s="104"/>
      <c r="D110" s="104"/>
      <c r="E110" s="104"/>
      <c r="F110" s="121"/>
      <c r="G110" s="123">
        <f>SUM(G103:G108)</f>
        <v>448833.45391086617</v>
      </c>
    </row>
    <row r="111" spans="1:7" ht="15.75">
      <c r="A111" s="111"/>
      <c r="B111" s="112"/>
      <c r="C111" s="113"/>
      <c r="D111" s="113"/>
      <c r="E111" s="113"/>
      <c r="F111" s="113"/>
      <c r="G111" s="114"/>
    </row>
    <row r="112" spans="2:7" ht="12.75">
      <c r="B112" s="9"/>
      <c r="C112" s="11"/>
      <c r="D112" s="11"/>
      <c r="E112" s="11"/>
      <c r="F112" s="11"/>
      <c r="G112" s="53"/>
    </row>
    <row r="113" spans="2:7" ht="13.5" thickBot="1">
      <c r="B113" s="9"/>
      <c r="C113" s="11"/>
      <c r="D113" s="11"/>
      <c r="E113" s="11"/>
      <c r="F113" s="11"/>
      <c r="G113" s="53"/>
    </row>
    <row r="114" spans="1:7" ht="12.75">
      <c r="A114" s="82" t="s">
        <v>78</v>
      </c>
      <c r="B114" s="73"/>
      <c r="C114" s="74"/>
      <c r="D114" s="74"/>
      <c r="E114" s="74"/>
      <c r="F114" s="74"/>
      <c r="G114" s="75"/>
    </row>
    <row r="115" spans="1:7" ht="12.75">
      <c r="A115" s="76" t="s">
        <v>87</v>
      </c>
      <c r="B115" s="68">
        <v>8</v>
      </c>
      <c r="C115" s="66"/>
      <c r="D115" s="66"/>
      <c r="E115" s="66"/>
      <c r="F115" s="66"/>
      <c r="G115" s="77"/>
    </row>
    <row r="116" spans="1:7" ht="12.75">
      <c r="A116" s="76" t="s">
        <v>79</v>
      </c>
      <c r="B116" s="68">
        <f>0.5*12*2*0.3*1.5</f>
        <v>5.3999999999999995</v>
      </c>
      <c r="C116" s="66"/>
      <c r="D116" s="66"/>
      <c r="E116" s="66"/>
      <c r="F116" s="66"/>
      <c r="G116" s="77"/>
    </row>
    <row r="117" spans="1:7" ht="12.75">
      <c r="A117" s="76" t="s">
        <v>80</v>
      </c>
      <c r="B117" s="69"/>
      <c r="C117" s="69">
        <f>$B$116*$B$115</f>
        <v>43.199999999999996</v>
      </c>
      <c r="D117" s="69">
        <f>$B$116*$B$115</f>
        <v>43.199999999999996</v>
      </c>
      <c r="E117" s="69">
        <f>$B$116*$B$115</f>
        <v>43.199999999999996</v>
      </c>
      <c r="F117" s="69">
        <f>$B$116*$B$115</f>
        <v>43.199999999999996</v>
      </c>
      <c r="G117" s="77"/>
    </row>
    <row r="118" spans="1:7" ht="12.75">
      <c r="A118" s="76" t="s">
        <v>88</v>
      </c>
      <c r="B118" s="69"/>
      <c r="C118" s="70">
        <f>C117*C121</f>
        <v>4787.423999999999</v>
      </c>
      <c r="D118" s="70">
        <f>D117*D121</f>
        <v>6381.503999999999</v>
      </c>
      <c r="E118" s="70">
        <f>E117*E121</f>
        <v>5806.079999999998</v>
      </c>
      <c r="F118" s="70">
        <f>F117*F121</f>
        <v>7070.976</v>
      </c>
      <c r="G118" s="77"/>
    </row>
    <row r="119" spans="1:7" ht="12.75">
      <c r="A119" s="76" t="s">
        <v>81</v>
      </c>
      <c r="B119" s="68">
        <v>0.25</v>
      </c>
      <c r="C119" s="66"/>
      <c r="D119" s="66"/>
      <c r="E119" s="66"/>
      <c r="F119" s="66"/>
      <c r="G119" s="77"/>
    </row>
    <row r="120" spans="1:7" ht="12.75">
      <c r="A120" s="76" t="s">
        <v>82</v>
      </c>
      <c r="B120" s="68"/>
      <c r="C120" s="71">
        <f>C18/$B$119</f>
        <v>18.47</v>
      </c>
      <c r="D120" s="71">
        <f>D18/$B$119</f>
        <v>12.31</v>
      </c>
      <c r="E120" s="71">
        <f>E18/$B$119</f>
        <v>22.4</v>
      </c>
      <c r="F120" s="71">
        <f>F18/$B$119</f>
        <v>13.64</v>
      </c>
      <c r="G120" s="78"/>
    </row>
    <row r="121" spans="1:7" ht="12.75">
      <c r="A121" s="76" t="s">
        <v>83</v>
      </c>
      <c r="B121" s="67"/>
      <c r="C121" s="71">
        <f>C120*C32</f>
        <v>110.82</v>
      </c>
      <c r="D121" s="71">
        <f>D120*D32</f>
        <v>147.72</v>
      </c>
      <c r="E121" s="71">
        <f>E120*E32</f>
        <v>134.39999999999998</v>
      </c>
      <c r="F121" s="71">
        <f>F120*F32</f>
        <v>163.68</v>
      </c>
      <c r="G121" s="79"/>
    </row>
    <row r="122" spans="1:7" ht="12.75">
      <c r="A122" s="76" t="s">
        <v>84</v>
      </c>
      <c r="B122" s="72">
        <v>40</v>
      </c>
      <c r="C122" s="70"/>
      <c r="D122" s="70"/>
      <c r="E122" s="70"/>
      <c r="F122" s="70"/>
      <c r="G122" s="77"/>
    </row>
    <row r="123" spans="1:7" ht="12.75">
      <c r="A123" s="76" t="s">
        <v>85</v>
      </c>
      <c r="B123" s="72"/>
      <c r="C123" s="70">
        <f>C121*$B$122</f>
        <v>4432.799999999999</v>
      </c>
      <c r="D123" s="70">
        <f>D121*$B$122</f>
        <v>5908.8</v>
      </c>
      <c r="E123" s="70">
        <f>E121*$B$122</f>
        <v>5375.999999999999</v>
      </c>
      <c r="F123" s="70">
        <f>F121*$B$122</f>
        <v>6547.200000000001</v>
      </c>
      <c r="G123" s="77"/>
    </row>
    <row r="124" spans="1:7" ht="12.75">
      <c r="A124" s="76" t="s">
        <v>86</v>
      </c>
      <c r="B124" s="67"/>
      <c r="C124" s="70">
        <f>C123+C118</f>
        <v>9220.223999999998</v>
      </c>
      <c r="D124" s="70">
        <f>D123+D118</f>
        <v>12290.304</v>
      </c>
      <c r="E124" s="70">
        <f>E123+E118</f>
        <v>11182.079999999998</v>
      </c>
      <c r="F124" s="70">
        <f>F123+F118</f>
        <v>13618.176</v>
      </c>
      <c r="G124" s="77"/>
    </row>
    <row r="125" spans="1:8" ht="12.75">
      <c r="A125" s="91" t="s">
        <v>89</v>
      </c>
      <c r="B125" s="92"/>
      <c r="C125" s="93"/>
      <c r="D125" s="93"/>
      <c r="E125" s="93"/>
      <c r="F125" s="93"/>
      <c r="G125" s="94">
        <f>SUM(C124:F124)</f>
        <v>46310.784</v>
      </c>
      <c r="H125" s="127">
        <v>1</v>
      </c>
    </row>
    <row r="126" spans="1:8" ht="12.75">
      <c r="A126" s="87" t="s">
        <v>91</v>
      </c>
      <c r="B126" s="83"/>
      <c r="C126" s="63">
        <f>B115*0.5*2*2*0.3+6</f>
        <v>10.8</v>
      </c>
      <c r="D126" s="63">
        <f>C126</f>
        <v>10.8</v>
      </c>
      <c r="E126" s="63">
        <f>D126</f>
        <v>10.8</v>
      </c>
      <c r="F126" s="63">
        <f>E126</f>
        <v>10.8</v>
      </c>
      <c r="G126" s="88"/>
      <c r="H126" s="127"/>
    </row>
    <row r="127" spans="1:8" ht="12.75">
      <c r="A127" s="87" t="s">
        <v>92</v>
      </c>
      <c r="B127" s="83"/>
      <c r="C127" s="95">
        <f>C126*C121</f>
        <v>1196.856</v>
      </c>
      <c r="D127" s="95">
        <f>D126*D121</f>
        <v>1595.3760000000002</v>
      </c>
      <c r="E127" s="95">
        <f>E126*E121</f>
        <v>1451.5199999999998</v>
      </c>
      <c r="F127" s="95">
        <f>F126*F121</f>
        <v>1767.7440000000001</v>
      </c>
      <c r="G127" s="88">
        <f>SUM(C127:F127)</f>
        <v>6011.495999999999</v>
      </c>
      <c r="H127" s="127">
        <v>1</v>
      </c>
    </row>
    <row r="128" spans="1:8" ht="12.75">
      <c r="A128" s="87" t="s">
        <v>95</v>
      </c>
      <c r="B128" s="83"/>
      <c r="C128" s="95">
        <f>C126*C121*0.75</f>
        <v>897.642</v>
      </c>
      <c r="D128" s="95">
        <f>D126*D121*0.75</f>
        <v>1196.5320000000002</v>
      </c>
      <c r="E128" s="95">
        <f>E126*E121*0.75</f>
        <v>1088.6399999999999</v>
      </c>
      <c r="F128" s="95">
        <f>F126*F121*0.75</f>
        <v>1325.808</v>
      </c>
      <c r="G128" s="88">
        <f>SUM(C128:F128)</f>
        <v>4508.621999999999</v>
      </c>
      <c r="H128" s="127">
        <v>1</v>
      </c>
    </row>
    <row r="129" spans="1:8" ht="12.75">
      <c r="A129" s="96" t="s">
        <v>90</v>
      </c>
      <c r="B129" s="67"/>
      <c r="C129" s="66">
        <v>12</v>
      </c>
      <c r="D129" s="66">
        <v>12</v>
      </c>
      <c r="E129" s="66">
        <v>12</v>
      </c>
      <c r="F129" s="66">
        <v>12</v>
      </c>
      <c r="G129" s="97"/>
      <c r="H129" s="127"/>
    </row>
    <row r="130" spans="1:8" ht="13.5" thickBot="1">
      <c r="A130" s="98" t="s">
        <v>94</v>
      </c>
      <c r="B130" s="80"/>
      <c r="C130" s="90">
        <f>C121*6*C129</f>
        <v>7979.039999999999</v>
      </c>
      <c r="D130" s="90">
        <f>D121*6*D129</f>
        <v>10635.84</v>
      </c>
      <c r="E130" s="90">
        <f>E121*6*E129</f>
        <v>9676.8</v>
      </c>
      <c r="F130" s="90">
        <f>F121*6*F129</f>
        <v>11784.960000000001</v>
      </c>
      <c r="G130" s="81">
        <f>SUM(C130:F130)</f>
        <v>40076.64</v>
      </c>
      <c r="H130" s="127">
        <v>0.5</v>
      </c>
    </row>
    <row r="131" spans="1:7" ht="15.75" thickBot="1">
      <c r="A131" s="124" t="s">
        <v>93</v>
      </c>
      <c r="B131" s="100"/>
      <c r="C131" s="101"/>
      <c r="D131" s="101"/>
      <c r="E131" s="101"/>
      <c r="F131" s="101"/>
      <c r="G131" s="128">
        <f>SUM(G125:G130)</f>
        <v>96907.542</v>
      </c>
    </row>
    <row r="132" spans="1:7" ht="16.5" thickBot="1">
      <c r="A132" s="124" t="s">
        <v>113</v>
      </c>
      <c r="B132" s="126"/>
      <c r="C132" s="125"/>
      <c r="D132" s="125"/>
      <c r="E132" s="125"/>
      <c r="F132" s="125"/>
      <c r="G132" s="123">
        <f>G125*(1+H125)+G127*(1+H127)+G128*(1+H128)+G130*(1+H130)</f>
        <v>173776.764</v>
      </c>
    </row>
    <row r="134" ht="13.5" thickBot="1"/>
    <row r="135" spans="1:7" ht="12.75">
      <c r="A135" s="82" t="s">
        <v>96</v>
      </c>
      <c r="B135" s="85"/>
      <c r="C135" s="74"/>
      <c r="D135" s="74"/>
      <c r="E135" s="74"/>
      <c r="F135" s="74"/>
      <c r="G135" s="75"/>
    </row>
    <row r="136" spans="1:7" ht="15.75" thickBot="1">
      <c r="A136" s="129" t="s">
        <v>112</v>
      </c>
      <c r="B136" s="130"/>
      <c r="C136" s="107">
        <v>20</v>
      </c>
      <c r="D136" s="107">
        <v>20</v>
      </c>
      <c r="E136" s="107">
        <v>20</v>
      </c>
      <c r="F136" s="107">
        <v>20</v>
      </c>
      <c r="G136" s="131"/>
    </row>
    <row r="137" spans="1:7" ht="15.75" thickBot="1">
      <c r="A137" s="76" t="s">
        <v>97</v>
      </c>
      <c r="B137" s="67"/>
      <c r="C137" s="107">
        <v>1</v>
      </c>
      <c r="D137" s="107">
        <f>C137</f>
        <v>1</v>
      </c>
      <c r="E137" s="107">
        <f>D137</f>
        <v>1</v>
      </c>
      <c r="F137" s="107">
        <f>E137</f>
        <v>1</v>
      </c>
      <c r="G137" s="77"/>
    </row>
    <row r="138" spans="1:7" ht="15.75" thickBot="1">
      <c r="A138" s="76" t="s">
        <v>98</v>
      </c>
      <c r="B138" s="67"/>
      <c r="C138" s="107">
        <f>C137*C120</f>
        <v>18.47</v>
      </c>
      <c r="D138" s="107">
        <f>D137*D120</f>
        <v>12.31</v>
      </c>
      <c r="E138" s="107">
        <f>E137*E120</f>
        <v>22.4</v>
      </c>
      <c r="F138" s="107">
        <f>F137*F120</f>
        <v>13.64</v>
      </c>
      <c r="G138" s="77"/>
    </row>
    <row r="139" spans="1:7" ht="15.75" thickBot="1">
      <c r="A139" s="76" t="s">
        <v>99</v>
      </c>
      <c r="B139" s="67"/>
      <c r="C139" s="107">
        <v>8</v>
      </c>
      <c r="D139" s="107">
        <v>8</v>
      </c>
      <c r="E139" s="107">
        <v>8</v>
      </c>
      <c r="F139" s="107">
        <v>8</v>
      </c>
      <c r="G139" s="77"/>
    </row>
    <row r="140" spans="1:7" ht="15.75" thickBot="1">
      <c r="A140" s="76" t="s">
        <v>111</v>
      </c>
      <c r="B140" s="67"/>
      <c r="C140" s="107">
        <f>C141*0.75/2</f>
        <v>134.115</v>
      </c>
      <c r="D140" s="107">
        <f>D141*0.75/2</f>
        <v>197.79000000000002</v>
      </c>
      <c r="E140" s="107">
        <f>E141*0.75/2</f>
        <v>151.79999999999998</v>
      </c>
      <c r="F140" s="107">
        <f>F141*0.75/2</f>
        <v>209.76</v>
      </c>
      <c r="G140" s="133"/>
    </row>
    <row r="141" spans="1:7" ht="16.5" thickBot="1">
      <c r="A141" s="108" t="s">
        <v>100</v>
      </c>
      <c r="B141" s="109"/>
      <c r="C141" s="107">
        <f>(C136+(C139+C138)*C$32)*2</f>
        <v>357.64</v>
      </c>
      <c r="D141" s="107">
        <f>(D136+(D139+D138)*D$32)*2</f>
        <v>527.44</v>
      </c>
      <c r="E141" s="107">
        <f>(E136+(E139+E138)*E$32)*2</f>
        <v>404.79999999999995</v>
      </c>
      <c r="F141" s="132">
        <f>(F136+(F139+F138)*F$32)*2</f>
        <v>559.36</v>
      </c>
      <c r="G141" s="135">
        <f>SUM(C141:F141)</f>
        <v>1849.2400000000002</v>
      </c>
    </row>
    <row r="142" spans="1:7" ht="16.5" thickBot="1">
      <c r="A142" s="76" t="s">
        <v>108</v>
      </c>
      <c r="B142" s="109"/>
      <c r="C142" s="107">
        <v>20</v>
      </c>
      <c r="D142" s="107">
        <v>20</v>
      </c>
      <c r="E142" s="107">
        <v>20</v>
      </c>
      <c r="F142" s="107">
        <v>20</v>
      </c>
      <c r="G142" s="134"/>
    </row>
    <row r="143" spans="1:7" ht="16.5" thickBot="1">
      <c r="A143" s="76" t="s">
        <v>109</v>
      </c>
      <c r="B143" s="109"/>
      <c r="C143" s="107">
        <v>20</v>
      </c>
      <c r="D143" s="107">
        <v>20</v>
      </c>
      <c r="E143" s="107">
        <v>20</v>
      </c>
      <c r="F143" s="107">
        <v>20</v>
      </c>
      <c r="G143" s="110"/>
    </row>
    <row r="144" spans="1:7" ht="16.5" thickBot="1">
      <c r="A144" s="76" t="s">
        <v>110</v>
      </c>
      <c r="B144" s="109"/>
      <c r="C144" s="107">
        <v>2</v>
      </c>
      <c r="D144" s="107">
        <f>C144</f>
        <v>2</v>
      </c>
      <c r="E144" s="107">
        <f>D144</f>
        <v>2</v>
      </c>
      <c r="F144" s="107">
        <f>E144</f>
        <v>2</v>
      </c>
      <c r="G144" s="110"/>
    </row>
    <row r="145" spans="1:7" ht="15.75" thickBot="1">
      <c r="A145" s="76" t="s">
        <v>101</v>
      </c>
      <c r="B145" s="67"/>
      <c r="C145" s="107">
        <v>8</v>
      </c>
      <c r="D145" s="107">
        <v>8</v>
      </c>
      <c r="E145" s="107">
        <v>8</v>
      </c>
      <c r="F145" s="107">
        <v>8</v>
      </c>
      <c r="G145" s="133"/>
    </row>
    <row r="146" spans="1:7" ht="16.5" thickBot="1">
      <c r="A146" s="102" t="s">
        <v>102</v>
      </c>
      <c r="B146" s="106"/>
      <c r="C146" s="107">
        <f>C145*C$32*2+C143+C142+C140</f>
        <v>270.115</v>
      </c>
      <c r="D146" s="107">
        <f>D145*D$32*2+D143+D142+D140</f>
        <v>429.79</v>
      </c>
      <c r="E146" s="107">
        <f>E145*E$32*2+E143+E142+E140</f>
        <v>287.79999999999995</v>
      </c>
      <c r="F146" s="132">
        <f>F145*F$32*2+F143+F142+F140</f>
        <v>441.76</v>
      </c>
      <c r="G146" s="135">
        <f>SUM(C146:F146)</f>
        <v>1429.465</v>
      </c>
    </row>
    <row r="149" spans="2:9" ht="12.75" hidden="1">
      <c r="B149">
        <v>1849</v>
      </c>
      <c r="C149" s="4">
        <v>144</v>
      </c>
      <c r="E149" s="4">
        <f>SUM(A149:D149)</f>
        <v>1993</v>
      </c>
      <c r="G149">
        <f>E149*I149</f>
        <v>161433</v>
      </c>
      <c r="I149">
        <v>81</v>
      </c>
    </row>
    <row r="150" spans="1:9" ht="12.75" hidden="1">
      <c r="A150">
        <v>632</v>
      </c>
      <c r="B150">
        <v>1934</v>
      </c>
      <c r="C150" s="4">
        <v>192</v>
      </c>
      <c r="D150" s="4">
        <v>940</v>
      </c>
      <c r="E150" s="4">
        <f>SUM(A150:D150)</f>
        <v>3698</v>
      </c>
      <c r="G150">
        <f>E150*I150</f>
        <v>628660</v>
      </c>
      <c r="I150">
        <v>170</v>
      </c>
    </row>
    <row r="151" ht="12.75" hidden="1">
      <c r="G151" s="53">
        <f>G150+G132+G110+G149</f>
        <v>1412703.2179108663</v>
      </c>
    </row>
  </sheetData>
  <printOptions/>
  <pageMargins left="0.75" right="0.75" top="1" bottom="1" header="0.5" footer="0.5"/>
  <pageSetup fitToHeight="1" fitToWidth="1" horizontalDpi="600" verticalDpi="600" orientation="portrait" paperSize="123" scale="35" r:id="rId1"/>
  <headerFooter alignWithMargins="0">
    <oddHeader>&amp;C&amp;"Arial,Bold"&amp;14NCSX PF Fabrication Material Cost Estimate</oddHeader>
  </headerFooter>
  <rowBreaks count="3" manualBreakCount="3">
    <brk id="8" max="9" man="1"/>
    <brk id="26" max="6" man="1"/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helpdesk</cp:lastModifiedBy>
  <cp:lastPrinted>2007-10-19T17:54:53Z</cp:lastPrinted>
  <dcterms:created xsi:type="dcterms:W3CDTF">2001-10-24T18:11:20Z</dcterms:created>
  <dcterms:modified xsi:type="dcterms:W3CDTF">2007-10-19T20:31:48Z</dcterms:modified>
  <cp:category/>
  <cp:version/>
  <cp:contentType/>
  <cp:contentStatus/>
</cp:coreProperties>
</file>