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5" windowHeight="12975" tabRatio="186" activeTab="0"/>
  </bookViews>
  <sheets>
    <sheet name="M&amp;S" sheetId="1" r:id="rId1"/>
  </sheets>
  <definedNames>
    <definedName name="_xlnm.Print_Area" localSheetId="0">'M&amp;S'!$A$8:$I$140</definedName>
  </definedNames>
  <calcPr fullCalcOnLoad="1"/>
</workbook>
</file>

<file path=xl/sharedStrings.xml><?xml version="1.0" encoding="utf-8"?>
<sst xmlns="http://schemas.openxmlformats.org/spreadsheetml/2006/main" count="186" uniqueCount="128">
  <si>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</si>
  <si>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</si>
  <si>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</si>
  <si>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</si>
  <si>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</si>
  <si>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</si>
  <si>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</si>
  <si>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</si>
  <si>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</si>
  <si>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</si>
  <si>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</si>
  <si>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</si>
  <si>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</si>
  <si>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</si>
  <si>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</si>
  <si>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</si>
  <si>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</si>
  <si>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</si>
  <si>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</si>
  <si>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</si>
  <si>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</si>
  <si>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</si>
  <si>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</si>
  <si>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</si>
  <si>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</si>
  <si>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</si>
  <si>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</si>
  <si>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</si>
  <si>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</si>
  <si>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</si>
  <si>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</si>
  <si>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</si>
  <si>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</si>
  <si>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</si>
  <si>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</si>
  <si>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</si>
  <si>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</si>
  <si>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</si>
  <si>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</si>
  <si>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</si>
  <si>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</si>
  <si>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</si>
  <si>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</si>
  <si>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</si>
  <si>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</si>
  <si>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</si>
  <si>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</si>
  <si>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</si>
  <si>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</si>
  <si>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</si>
  <si>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</si>
  <si>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</si>
  <si>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</si>
  <si>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</si>
  <si>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</si>
  <si>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</si>
  <si>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</si>
  <si>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</si>
  <si>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</si>
  <si>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</si>
  <si>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</si>
  <si>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</si>
  <si>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</si>
  <si>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</si>
  <si>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</si>
  <si>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</si>
  <si>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</si>
  <si>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</si>
  <si>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</si>
  <si>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</si>
  <si>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</si>
  <si>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</si>
  <si>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</si>
  <si>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</si>
  <si>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Weight per Bracket</t>
  </si>
  <si>
    <t>$ per bracket</t>
  </si>
  <si>
    <t>Brackets Spacing meters</t>
  </si>
  <si>
    <t>Brackets per Coil</t>
  </si>
  <si>
    <t>Total Brackets</t>
  </si>
  <si>
    <t>Fabrication Cost per Bracket (3weeks of water jet)</t>
  </si>
  <si>
    <t>Cost Bracket Fabrication</t>
  </si>
  <si>
    <t>Cost Bracket Fabrication with Materials</t>
  </si>
  <si>
    <t>Cost of Material for Brackets</t>
  </si>
  <si>
    <t>Total Cost Brackets</t>
  </si>
  <si>
    <t>Hardware Cost per 3/8 Bolt (Inconnel)</t>
  </si>
  <si>
    <t>Cost for one Compression Plate</t>
  </si>
  <si>
    <t>Cost for all compression plates</t>
  </si>
  <si>
    <t>Cost for Hardware</t>
  </si>
  <si>
    <t>Cost for all Bolts and Studs</t>
  </si>
  <si>
    <t>G11 Plates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</si>
  <si>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</si>
  <si>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</si>
  <si>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</si>
  <si>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</si>
  <si>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</si>
  <si>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</si>
  <si>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</si>
  <si>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</si>
  <si>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</si>
  <si>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</si>
  <si>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</si>
  <si>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</si>
  <si>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</si>
  <si>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</si>
  <si>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</si>
  <si>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t>Cost for Hardware with adjusted for uncertainty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</si>
  <si>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</si>
  <si>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per Channel Material Per Coil</t>
  </si>
  <si>
    <t>Weight Support Channels Material lbs per coil</t>
  </si>
  <si>
    <t>Cost for Channels For Coil Type</t>
  </si>
  <si>
    <t>Cost for Mockups of Each Coil</t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</si>
  <si>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</si>
  <si>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</si>
  <si>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</si>
  <si>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</si>
  <si>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</si>
  <si>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</si>
  <si>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</si>
  <si>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</si>
  <si>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</si>
  <si>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</si>
  <si>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</si>
  <si>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</si>
  <si>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</si>
  <si>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M&amp;S</t>
  </si>
  <si>
    <t>Rate</t>
  </si>
  <si>
    <t>Cost Manhours</t>
  </si>
  <si>
    <t>Total Cost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</si>
</sst>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166" fontId="1" fillId="0" borderId="24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6" xfId="0" applyNumberFormat="1" applyFont="1" applyFill="1" applyBorder="1" applyAlignment="1">
      <alignment/>
    </xf>
    <xf numFmtId="166" fontId="0" fillId="0" borderId="24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9" fillId="0" borderId="26" xfId="0" applyNumberFormat="1" applyFont="1" applyFill="1" applyBorder="1" applyAlignment="1">
      <alignment/>
    </xf>
    <xf numFmtId="0" fontId="0" fillId="0" borderId="24" xfId="0" applyBorder="1" applyAlignment="1">
      <alignment/>
    </xf>
    <xf numFmtId="1" fontId="8" fillId="0" borderId="31" xfId="0" applyNumberFormat="1" applyFont="1" applyBorder="1" applyAlignment="1">
      <alignment/>
    </xf>
    <xf numFmtId="1" fontId="10" fillId="0" borderId="8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Fill="1" applyBorder="1" applyAlignment="1">
      <alignment/>
    </xf>
    <xf numFmtId="166" fontId="1" fillId="0" borderId="34" xfId="0" applyNumberFormat="1" applyFont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/>
    </xf>
    <xf numFmtId="166" fontId="1" fillId="0" borderId="3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125" zoomScaleNormal="125" workbookViewId="0" topLeftCell="A8">
      <selection activeCell="G161" sqref="G161"/>
    </sheetView>
  </sheetViews>
  <sheetFormatPr defaultColWidth="9.140625" defaultRowHeight="12.75"/>
  <cols>
    <col min="1" max="1" width="47.421875" style="0" customWidth="1"/>
    <col min="2" max="2" width="8.00390625" style="0" customWidth="1"/>
    <col min="3" max="3" width="10.00390625" style="4" customWidth="1"/>
    <col min="4" max="4" width="9.140625" style="4" customWidth="1"/>
    <col min="5" max="5" width="9.57421875" style="4" customWidth="1"/>
    <col min="6" max="8" width="9.8515625" style="4" customWidth="1"/>
    <col min="9" max="9" width="11.28125" style="0" customWidth="1"/>
    <col min="11" max="11" width="11.003906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8" ht="12.75">
      <c r="A8" s="10"/>
      <c r="B8" s="4"/>
      <c r="C8" s="30" t="s">
        <v>47</v>
      </c>
      <c r="D8" s="30" t="s">
        <v>58</v>
      </c>
      <c r="E8" s="30" t="s">
        <v>70</v>
      </c>
      <c r="F8" s="30" t="s">
        <v>71</v>
      </c>
      <c r="G8" s="141" t="s">
        <v>118</v>
      </c>
      <c r="H8" s="141" t="s">
        <v>119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2" ht="12.75">
      <c r="A11" s="13"/>
      <c r="B11" s="13"/>
      <c r="C11" s="14"/>
      <c r="D11" s="14"/>
      <c r="E11" s="14"/>
      <c r="F11" s="14"/>
      <c r="G11" s="14"/>
      <c r="H11" s="14"/>
      <c r="I11" s="8"/>
      <c r="J11" s="7"/>
      <c r="K11" s="2"/>
      <c r="L11" s="2"/>
    </row>
    <row r="12" spans="1:12" ht="12.75">
      <c r="A12" s="59" t="s">
        <v>25</v>
      </c>
      <c r="B12" s="59" t="s">
        <v>26</v>
      </c>
      <c r="C12" s="60">
        <v>0.5219446</v>
      </c>
      <c r="D12" s="60">
        <v>0.5219446</v>
      </c>
      <c r="E12" s="60">
        <v>0.5219446</v>
      </c>
      <c r="F12" s="60">
        <v>0.5219446</v>
      </c>
      <c r="G12" s="60">
        <v>0.5219446</v>
      </c>
      <c r="H12" s="60">
        <v>0.5219446</v>
      </c>
      <c r="I12" s="5"/>
      <c r="J12" s="6"/>
      <c r="K12" s="1"/>
      <c r="L12" s="1"/>
    </row>
    <row r="13" spans="1:8" ht="12.75">
      <c r="A13" s="59" t="s">
        <v>27</v>
      </c>
      <c r="B13" s="59" t="s">
        <v>4</v>
      </c>
      <c r="C13" s="61">
        <f aca="true" t="shared" si="0" ref="C13:H13">C20*2+2.8</f>
        <v>28.8</v>
      </c>
      <c r="D13" s="61">
        <f t="shared" si="0"/>
        <v>28.8</v>
      </c>
      <c r="E13" s="61">
        <f t="shared" si="0"/>
        <v>28.8</v>
      </c>
      <c r="F13" s="61">
        <f t="shared" si="0"/>
        <v>28.8</v>
      </c>
      <c r="G13" s="61">
        <f t="shared" si="0"/>
        <v>28.8</v>
      </c>
      <c r="H13" s="61">
        <f t="shared" si="0"/>
        <v>28.8</v>
      </c>
    </row>
    <row r="14" spans="1:8" ht="12.75">
      <c r="A14" s="59" t="s">
        <v>28</v>
      </c>
      <c r="B14" s="59" t="s">
        <v>4</v>
      </c>
      <c r="C14" s="61">
        <f aca="true" t="shared" si="1" ref="C14:H14">C13</f>
        <v>28.8</v>
      </c>
      <c r="D14" s="61">
        <f t="shared" si="1"/>
        <v>28.8</v>
      </c>
      <c r="E14" s="61">
        <f t="shared" si="1"/>
        <v>28.8</v>
      </c>
      <c r="F14" s="61">
        <f t="shared" si="1"/>
        <v>28.8</v>
      </c>
      <c r="G14" s="61">
        <f t="shared" si="1"/>
        <v>28.8</v>
      </c>
      <c r="H14" s="61">
        <f t="shared" si="1"/>
        <v>28.8</v>
      </c>
    </row>
    <row r="15" spans="1:8" ht="12.75">
      <c r="A15" s="59" t="s">
        <v>29</v>
      </c>
      <c r="B15" s="59"/>
      <c r="C15" s="62">
        <v>4</v>
      </c>
      <c r="D15" s="62">
        <v>4</v>
      </c>
      <c r="E15" s="62">
        <v>4</v>
      </c>
      <c r="F15" s="62">
        <v>4</v>
      </c>
      <c r="G15" s="62">
        <v>4</v>
      </c>
      <c r="H15" s="62">
        <v>4</v>
      </c>
    </row>
    <row r="16" spans="1:8" ht="12.75">
      <c r="A16" s="59" t="s">
        <v>30</v>
      </c>
      <c r="B16" s="59"/>
      <c r="C16" s="61">
        <v>0.75</v>
      </c>
      <c r="D16" s="61">
        <v>0.75</v>
      </c>
      <c r="E16" s="61">
        <v>0.75</v>
      </c>
      <c r="F16" s="61">
        <v>0.75</v>
      </c>
      <c r="G16" s="61">
        <v>0.75</v>
      </c>
      <c r="H16" s="61">
        <v>0.75</v>
      </c>
    </row>
    <row r="17" spans="1:8" ht="12.75">
      <c r="A17" s="59" t="s">
        <v>32</v>
      </c>
      <c r="B17" s="59" t="s">
        <v>8</v>
      </c>
      <c r="C17" s="61">
        <f aca="true" t="shared" si="2" ref="C17:H17">C18/C15</f>
        <v>4.6175</v>
      </c>
      <c r="D17" s="61">
        <f t="shared" si="2"/>
        <v>3.0775</v>
      </c>
      <c r="E17" s="61">
        <f t="shared" si="2"/>
        <v>3.0775</v>
      </c>
      <c r="F17" s="61">
        <f t="shared" si="2"/>
        <v>3.0775</v>
      </c>
      <c r="G17" s="61">
        <f t="shared" si="2"/>
        <v>4.6175</v>
      </c>
      <c r="H17" s="61">
        <f t="shared" si="2"/>
        <v>4.6175</v>
      </c>
    </row>
    <row r="18" spans="1:8" ht="12.75">
      <c r="A18" s="59" t="s">
        <v>33</v>
      </c>
      <c r="B18" s="59" t="s">
        <v>8</v>
      </c>
      <c r="C18" s="61">
        <v>18.47</v>
      </c>
      <c r="D18" s="61">
        <v>12.31</v>
      </c>
      <c r="E18" s="61">
        <v>12.31</v>
      </c>
      <c r="F18" s="61">
        <v>12.31</v>
      </c>
      <c r="G18" s="61">
        <v>18.47</v>
      </c>
      <c r="H18" s="61">
        <v>18.47</v>
      </c>
    </row>
    <row r="19" spans="1:8" ht="12.75">
      <c r="A19" s="59" t="s">
        <v>34</v>
      </c>
      <c r="B19" s="59" t="s">
        <v>4</v>
      </c>
      <c r="C19" s="61">
        <v>13</v>
      </c>
      <c r="D19" s="61">
        <v>13</v>
      </c>
      <c r="E19" s="61">
        <v>13</v>
      </c>
      <c r="F19" s="61">
        <v>13</v>
      </c>
      <c r="G19" s="61">
        <v>13</v>
      </c>
      <c r="H19" s="61">
        <v>13</v>
      </c>
    </row>
    <row r="20" spans="1:8" ht="12.75">
      <c r="A20" s="59" t="s">
        <v>35</v>
      </c>
      <c r="B20" s="59" t="s">
        <v>4</v>
      </c>
      <c r="C20" s="61">
        <v>13</v>
      </c>
      <c r="D20" s="61">
        <v>13</v>
      </c>
      <c r="E20" s="61">
        <v>13</v>
      </c>
      <c r="F20" s="61">
        <v>13</v>
      </c>
      <c r="G20" s="61">
        <v>13</v>
      </c>
      <c r="H20" s="61">
        <v>13</v>
      </c>
    </row>
    <row r="21" spans="1:8" ht="12.75">
      <c r="A21" s="59" t="s">
        <v>36</v>
      </c>
      <c r="B21" s="59" t="s">
        <v>4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</row>
    <row r="22" spans="1:8" ht="12.75">
      <c r="A22" s="59" t="s">
        <v>37</v>
      </c>
      <c r="B22" s="59" t="s">
        <v>4</v>
      </c>
      <c r="C22" s="61">
        <v>1.016</v>
      </c>
      <c r="D22" s="61">
        <v>1.016</v>
      </c>
      <c r="E22" s="61">
        <v>1.016</v>
      </c>
      <c r="F22" s="61">
        <v>1.016</v>
      </c>
      <c r="G22" s="61">
        <v>1.016</v>
      </c>
      <c r="H22" s="61">
        <v>1.016</v>
      </c>
    </row>
    <row r="23" spans="1:8" ht="12.75">
      <c r="A23" s="59" t="s">
        <v>38</v>
      </c>
      <c r="B23" s="59" t="s">
        <v>39</v>
      </c>
      <c r="C23" s="61">
        <f aca="true" t="shared" si="3" ref="C23:H23">C20*C19-((4-PI())*C22*C22)-PI()*C21^2/4</f>
        <v>168.11390386622398</v>
      </c>
      <c r="D23" s="61">
        <f t="shared" si="3"/>
        <v>168.11390386622398</v>
      </c>
      <c r="E23" s="61">
        <f t="shared" si="3"/>
        <v>168.11390386622398</v>
      </c>
      <c r="F23" s="61">
        <f t="shared" si="3"/>
        <v>168.11390386622398</v>
      </c>
      <c r="G23" s="61">
        <f t="shared" si="3"/>
        <v>168.11390386622398</v>
      </c>
      <c r="H23" s="61">
        <f t="shared" si="3"/>
        <v>168.11390386622398</v>
      </c>
    </row>
    <row r="24" spans="1:8" ht="12.75">
      <c r="A24" s="59" t="s">
        <v>41</v>
      </c>
      <c r="B24" s="59" t="s">
        <v>31</v>
      </c>
      <c r="C24" s="61">
        <f aca="true" t="shared" si="4" ref="C24:H24">C18*1000*C23*$B25</f>
        <v>26.641447441830564</v>
      </c>
      <c r="D24" s="61">
        <f t="shared" si="4"/>
        <v>17.756156903569803</v>
      </c>
      <c r="E24" s="61">
        <f t="shared" si="4"/>
        <v>17.756156903569803</v>
      </c>
      <c r="F24" s="61">
        <f t="shared" si="4"/>
        <v>17.756156903569803</v>
      </c>
      <c r="G24" s="61">
        <f t="shared" si="4"/>
        <v>26.641447441830564</v>
      </c>
      <c r="H24" s="61">
        <f t="shared" si="4"/>
        <v>26.641447441830564</v>
      </c>
    </row>
    <row r="25" spans="1:8" ht="12.75">
      <c r="A25" s="63" t="s">
        <v>24</v>
      </c>
      <c r="B25" s="64">
        <v>8.58E-06</v>
      </c>
      <c r="C25" s="65"/>
      <c r="D25" s="65"/>
      <c r="E25" s="65"/>
      <c r="F25" s="65"/>
      <c r="G25" s="65"/>
      <c r="H25" s="65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8" ht="12.75">
      <c r="A28" s="15"/>
      <c r="B28" s="22"/>
      <c r="C28" s="30" t="s">
        <v>47</v>
      </c>
      <c r="D28" s="30" t="s">
        <v>58</v>
      </c>
      <c r="E28" s="143" t="s">
        <v>70</v>
      </c>
      <c r="F28" s="148" t="s">
        <v>71</v>
      </c>
      <c r="G28" s="148" t="s">
        <v>114</v>
      </c>
      <c r="H28" s="148" t="s">
        <v>115</v>
      </c>
    </row>
    <row r="29" spans="1:8" ht="12.75">
      <c r="A29" s="16" t="s">
        <v>45</v>
      </c>
      <c r="B29" s="23"/>
      <c r="C29" s="31"/>
      <c r="D29" s="31"/>
      <c r="E29" s="144"/>
      <c r="F29" s="149"/>
      <c r="G29" s="149"/>
      <c r="H29" s="149"/>
    </row>
    <row r="30" spans="1:8" ht="12.75">
      <c r="A30" s="17"/>
      <c r="B30" s="24"/>
      <c r="C30" s="32"/>
      <c r="D30" s="32"/>
      <c r="E30" s="145"/>
      <c r="F30" s="150"/>
      <c r="G30" s="150"/>
      <c r="H30" s="150"/>
    </row>
    <row r="31" spans="1:9" ht="13.5" thickBot="1">
      <c r="A31" s="37" t="s">
        <v>46</v>
      </c>
      <c r="B31" s="38"/>
      <c r="C31" s="98">
        <v>6</v>
      </c>
      <c r="D31" s="98">
        <v>12</v>
      </c>
      <c r="E31" s="146">
        <v>12</v>
      </c>
      <c r="F31" s="148">
        <v>24</v>
      </c>
      <c r="G31" s="148">
        <v>3</v>
      </c>
      <c r="H31" s="148">
        <v>9</v>
      </c>
      <c r="I31" s="151">
        <f>SUM(C31:H31)</f>
        <v>66</v>
      </c>
    </row>
    <row r="32" spans="1:8" ht="13.5" thickBot="1">
      <c r="A32" s="57" t="s">
        <v>72</v>
      </c>
      <c r="B32" s="58"/>
      <c r="C32" s="55">
        <f>3153/(18.47*6)</f>
        <v>28.451543042772066</v>
      </c>
      <c r="D32" s="55">
        <v>28</v>
      </c>
      <c r="E32" s="55">
        <v>28</v>
      </c>
      <c r="F32" s="147">
        <v>28</v>
      </c>
      <c r="G32" s="147">
        <v>28</v>
      </c>
      <c r="H32" s="147">
        <v>28</v>
      </c>
    </row>
    <row r="33" spans="1:8" ht="13.5" thickBot="1">
      <c r="A33" s="42" t="s">
        <v>53</v>
      </c>
      <c r="B33" s="43" t="s">
        <v>1</v>
      </c>
      <c r="C33" s="55">
        <f aca="true" t="shared" si="5" ref="C33:H33">C32*C18</f>
        <v>525.5</v>
      </c>
      <c r="D33" s="55">
        <f t="shared" si="5"/>
        <v>344.68</v>
      </c>
      <c r="E33" s="55">
        <f t="shared" si="5"/>
        <v>344.68</v>
      </c>
      <c r="F33" s="55">
        <f t="shared" si="5"/>
        <v>344.68</v>
      </c>
      <c r="G33" s="55">
        <f t="shared" si="5"/>
        <v>517.16</v>
      </c>
      <c r="H33" s="55">
        <f t="shared" si="5"/>
        <v>517.16</v>
      </c>
    </row>
    <row r="34" spans="1:8" ht="12.75">
      <c r="A34" s="39" t="s">
        <v>40</v>
      </c>
      <c r="B34" s="40">
        <v>2</v>
      </c>
      <c r="C34" s="41" t="s">
        <v>23</v>
      </c>
      <c r="D34" s="41" t="s">
        <v>23</v>
      </c>
      <c r="E34" s="41" t="s">
        <v>23</v>
      </c>
      <c r="F34" s="41" t="s">
        <v>23</v>
      </c>
      <c r="G34" s="41" t="s">
        <v>23</v>
      </c>
      <c r="H34" s="41" t="s">
        <v>23</v>
      </c>
    </row>
    <row r="35" spans="1:10" ht="12.75">
      <c r="A35" s="18" t="s">
        <v>42</v>
      </c>
      <c r="B35" s="25" t="s">
        <v>4</v>
      </c>
      <c r="C35" s="33">
        <v>25.4</v>
      </c>
      <c r="D35" s="33">
        <v>25.4</v>
      </c>
      <c r="E35" s="33">
        <v>25.4</v>
      </c>
      <c r="F35" s="33">
        <v>25.4</v>
      </c>
      <c r="G35" s="33">
        <v>25.4</v>
      </c>
      <c r="H35" s="33">
        <v>25.4</v>
      </c>
      <c r="J35" s="3"/>
    </row>
    <row r="36" spans="1:8" ht="16.5" customHeight="1">
      <c r="A36" s="19" t="s">
        <v>43</v>
      </c>
      <c r="B36" s="26" t="s">
        <v>2</v>
      </c>
      <c r="C36" s="46">
        <f aca="true" t="shared" si="6" ref="C36:H36">(2*(C19+C20)*1000/C35)/1000</f>
        <v>2.0472440944881893</v>
      </c>
      <c r="D36" s="46">
        <f t="shared" si="6"/>
        <v>2.0472440944881893</v>
      </c>
      <c r="E36" s="46">
        <f t="shared" si="6"/>
        <v>2.0472440944881893</v>
      </c>
      <c r="F36" s="46">
        <f t="shared" si="6"/>
        <v>2.0472440944881893</v>
      </c>
      <c r="G36" s="46">
        <f t="shared" si="6"/>
        <v>2.0472440944881893</v>
      </c>
      <c r="H36" s="46">
        <f t="shared" si="6"/>
        <v>2.0472440944881893</v>
      </c>
    </row>
    <row r="37" spans="1:8" ht="12.75">
      <c r="A37" s="19" t="s">
        <v>3</v>
      </c>
      <c r="B37" s="26" t="s">
        <v>4</v>
      </c>
      <c r="C37" s="46">
        <v>0.19</v>
      </c>
      <c r="D37" s="46">
        <v>0.19</v>
      </c>
      <c r="E37" s="46">
        <v>0.19</v>
      </c>
      <c r="F37" s="46">
        <v>0.19</v>
      </c>
      <c r="G37" s="46">
        <v>0.19</v>
      </c>
      <c r="H37" s="46">
        <v>0.19</v>
      </c>
    </row>
    <row r="38" spans="1:8" ht="12.75">
      <c r="A38" s="19" t="s">
        <v>5</v>
      </c>
      <c r="B38" s="26" t="s">
        <v>6</v>
      </c>
      <c r="C38" s="47">
        <v>2</v>
      </c>
      <c r="D38" s="47">
        <v>2</v>
      </c>
      <c r="E38" s="47">
        <v>2</v>
      </c>
      <c r="F38" s="47">
        <v>2</v>
      </c>
      <c r="G38" s="47">
        <v>2</v>
      </c>
      <c r="H38" s="47">
        <v>2</v>
      </c>
    </row>
    <row r="39" spans="1:8" ht="12.75">
      <c r="A39" s="19" t="s">
        <v>7</v>
      </c>
      <c r="B39" s="26" t="s">
        <v>8</v>
      </c>
      <c r="C39" s="46">
        <v>182</v>
      </c>
      <c r="D39" s="46">
        <v>182</v>
      </c>
      <c r="E39" s="46">
        <v>182</v>
      </c>
      <c r="F39" s="46">
        <v>182</v>
      </c>
      <c r="G39" s="46">
        <v>182</v>
      </c>
      <c r="H39" s="46">
        <v>182</v>
      </c>
    </row>
    <row r="40" spans="1:8" ht="12.75">
      <c r="A40" s="19" t="s">
        <v>9</v>
      </c>
      <c r="B40" s="26" t="s">
        <v>6</v>
      </c>
      <c r="C40" s="48">
        <f aca="true" t="shared" si="7" ref="C40:H40">2*C38*C18*C36/C39</f>
        <v>0.8310461192350956</v>
      </c>
      <c r="D40" s="48">
        <f t="shared" si="7"/>
        <v>0.5538807649043871</v>
      </c>
      <c r="E40" s="48">
        <f t="shared" si="7"/>
        <v>0.5538807649043871</v>
      </c>
      <c r="F40" s="48">
        <f t="shared" si="7"/>
        <v>0.5538807649043871</v>
      </c>
      <c r="G40" s="48">
        <f t="shared" si="7"/>
        <v>0.8310461192350956</v>
      </c>
      <c r="H40" s="48">
        <f t="shared" si="7"/>
        <v>0.8310461192350956</v>
      </c>
    </row>
    <row r="41" spans="1:8" ht="25.5">
      <c r="A41" s="19" t="s">
        <v>10</v>
      </c>
      <c r="B41" s="26" t="s">
        <v>0</v>
      </c>
      <c r="C41" s="48">
        <v>1.3</v>
      </c>
      <c r="D41" s="48">
        <v>1.3</v>
      </c>
      <c r="E41" s="48">
        <v>1.3</v>
      </c>
      <c r="F41" s="48">
        <v>1.3</v>
      </c>
      <c r="G41" s="48">
        <v>1.3</v>
      </c>
      <c r="H41" s="48">
        <v>1.3</v>
      </c>
    </row>
    <row r="42" spans="1:8" ht="12.75">
      <c r="A42" s="19" t="s">
        <v>60</v>
      </c>
      <c r="B42" s="26" t="s">
        <v>6</v>
      </c>
      <c r="C42" s="48">
        <f>C41*C40</f>
        <v>1.0803599550056244</v>
      </c>
      <c r="D42" s="48">
        <f>D41*D40*2</f>
        <v>1.4400899887514065</v>
      </c>
      <c r="E42" s="48">
        <f>E41*E40*2</f>
        <v>1.4400899887514065</v>
      </c>
      <c r="F42" s="48">
        <f>F41*F40*2</f>
        <v>1.4400899887514065</v>
      </c>
      <c r="G42" s="48">
        <f>G41*G40*2</f>
        <v>2.160719910011249</v>
      </c>
      <c r="H42" s="48">
        <f>H41*H40*2</f>
        <v>2.160719910011249</v>
      </c>
    </row>
    <row r="43" spans="1:8" ht="12.75">
      <c r="A43" s="19" t="s">
        <v>11</v>
      </c>
      <c r="B43" s="26" t="s">
        <v>12</v>
      </c>
      <c r="C43" s="47">
        <v>728</v>
      </c>
      <c r="D43" s="47">
        <v>728</v>
      </c>
      <c r="E43" s="47">
        <v>728</v>
      </c>
      <c r="F43" s="47">
        <v>728</v>
      </c>
      <c r="G43" s="47">
        <v>728</v>
      </c>
      <c r="H43" s="47">
        <v>728</v>
      </c>
    </row>
    <row r="44" spans="1:8" ht="12.75">
      <c r="A44" s="18" t="s">
        <v>63</v>
      </c>
      <c r="B44" s="25" t="s">
        <v>4</v>
      </c>
      <c r="C44" s="48">
        <v>25.4</v>
      </c>
      <c r="D44" s="48">
        <v>25.4</v>
      </c>
      <c r="E44" s="48">
        <v>25.4</v>
      </c>
      <c r="F44" s="48">
        <v>25.4</v>
      </c>
      <c r="G44" s="48">
        <v>25.4</v>
      </c>
      <c r="H44" s="48">
        <v>25.4</v>
      </c>
    </row>
    <row r="45" spans="1:10" ht="12.75">
      <c r="A45" s="19" t="s">
        <v>44</v>
      </c>
      <c r="B45" s="26" t="s">
        <v>2</v>
      </c>
      <c r="C45" s="46">
        <f aca="true" t="shared" si="8" ref="C45:H45">(2*(C19+C20)*1000/C44)/1000</f>
        <v>2.0472440944881893</v>
      </c>
      <c r="D45" s="46">
        <f t="shared" si="8"/>
        <v>2.0472440944881893</v>
      </c>
      <c r="E45" s="46">
        <f t="shared" si="8"/>
        <v>2.0472440944881893</v>
      </c>
      <c r="F45" s="46">
        <f t="shared" si="8"/>
        <v>2.0472440944881893</v>
      </c>
      <c r="G45" s="46">
        <f t="shared" si="8"/>
        <v>2.0472440944881893</v>
      </c>
      <c r="H45" s="46">
        <f t="shared" si="8"/>
        <v>2.0472440944881893</v>
      </c>
      <c r="J45" s="44"/>
    </row>
    <row r="46" spans="1:8" ht="12.75">
      <c r="A46" s="19" t="s">
        <v>3</v>
      </c>
      <c r="B46" s="26" t="s">
        <v>4</v>
      </c>
      <c r="C46" s="46">
        <v>0.19</v>
      </c>
      <c r="D46" s="46">
        <v>0.19</v>
      </c>
      <c r="E46" s="46">
        <v>0.19</v>
      </c>
      <c r="F46" s="46">
        <v>0.19</v>
      </c>
      <c r="G46" s="46">
        <v>0.19</v>
      </c>
      <c r="H46" s="46">
        <v>0.19</v>
      </c>
    </row>
    <row r="47" spans="1:8" ht="12.75">
      <c r="A47" s="19" t="s">
        <v>5</v>
      </c>
      <c r="B47" s="26" t="s">
        <v>6</v>
      </c>
      <c r="C47" s="47">
        <v>2</v>
      </c>
      <c r="D47" s="47">
        <v>2</v>
      </c>
      <c r="E47" s="47">
        <v>2</v>
      </c>
      <c r="F47" s="47">
        <v>2</v>
      </c>
      <c r="G47" s="47">
        <v>2</v>
      </c>
      <c r="H47" s="47">
        <v>2</v>
      </c>
    </row>
    <row r="48" spans="1:8" ht="12.75">
      <c r="A48" s="19" t="s">
        <v>7</v>
      </c>
      <c r="B48" s="26" t="s">
        <v>8</v>
      </c>
      <c r="C48" s="46">
        <v>182</v>
      </c>
      <c r="D48" s="46">
        <v>182</v>
      </c>
      <c r="E48" s="46">
        <v>182</v>
      </c>
      <c r="F48" s="46">
        <v>182</v>
      </c>
      <c r="G48" s="46">
        <v>182</v>
      </c>
      <c r="H48" s="46">
        <v>182</v>
      </c>
    </row>
    <row r="49" spans="1:8" ht="12.75">
      <c r="A49" s="19" t="s">
        <v>9</v>
      </c>
      <c r="B49" s="26" t="s">
        <v>6</v>
      </c>
      <c r="C49" s="48">
        <f aca="true" t="shared" si="9" ref="C49:H49">2*C47*C18*C45/C48</f>
        <v>0.8310461192350956</v>
      </c>
      <c r="D49" s="48">
        <f t="shared" si="9"/>
        <v>0.5538807649043871</v>
      </c>
      <c r="E49" s="48">
        <f t="shared" si="9"/>
        <v>0.5538807649043871</v>
      </c>
      <c r="F49" s="48">
        <f t="shared" si="9"/>
        <v>0.5538807649043871</v>
      </c>
      <c r="G49" s="48">
        <f t="shared" si="9"/>
        <v>0.8310461192350956</v>
      </c>
      <c r="H49" s="48">
        <f t="shared" si="9"/>
        <v>0.8310461192350956</v>
      </c>
    </row>
    <row r="50" spans="1:8" ht="25.5">
      <c r="A50" s="19" t="s">
        <v>10</v>
      </c>
      <c r="B50" s="26" t="s">
        <v>0</v>
      </c>
      <c r="C50" s="48">
        <v>1.3</v>
      </c>
      <c r="D50" s="48">
        <v>1.3</v>
      </c>
      <c r="E50" s="48">
        <v>1.3</v>
      </c>
      <c r="F50" s="48">
        <v>1.3</v>
      </c>
      <c r="G50" s="48">
        <v>1.3</v>
      </c>
      <c r="H50" s="48">
        <v>1.3</v>
      </c>
    </row>
    <row r="51" spans="1:8" ht="12.75">
      <c r="A51" s="19" t="s">
        <v>48</v>
      </c>
      <c r="B51" s="26" t="s">
        <v>6</v>
      </c>
      <c r="C51" s="48">
        <f aca="true" t="shared" si="10" ref="C51:H51">C50*C49*C31</f>
        <v>6.482159730033747</v>
      </c>
      <c r="D51" s="48">
        <f t="shared" si="10"/>
        <v>8.640539932508439</v>
      </c>
      <c r="E51" s="48">
        <f t="shared" si="10"/>
        <v>8.640539932508439</v>
      </c>
      <c r="F51" s="48">
        <f t="shared" si="10"/>
        <v>17.281079865016878</v>
      </c>
      <c r="G51" s="48">
        <f t="shared" si="10"/>
        <v>3.2410798650168733</v>
      </c>
      <c r="H51" s="48">
        <f t="shared" si="10"/>
        <v>9.72323959505062</v>
      </c>
    </row>
    <row r="52" spans="1:8" ht="12.75">
      <c r="A52" s="19" t="s">
        <v>11</v>
      </c>
      <c r="B52" s="24" t="s">
        <v>12</v>
      </c>
      <c r="C52" s="47">
        <v>728</v>
      </c>
      <c r="D52" s="47">
        <v>728</v>
      </c>
      <c r="E52" s="47">
        <v>728</v>
      </c>
      <c r="F52" s="47">
        <v>728</v>
      </c>
      <c r="G52" s="47">
        <v>728</v>
      </c>
      <c r="H52" s="47">
        <v>728</v>
      </c>
    </row>
    <row r="53" spans="1:8" ht="12.75">
      <c r="A53" s="19" t="s">
        <v>50</v>
      </c>
      <c r="B53" s="23" t="s">
        <v>1</v>
      </c>
      <c r="C53" s="49">
        <f aca="true" t="shared" si="11" ref="C53:H53">C52*C51/C31</f>
        <v>786.5020472440946</v>
      </c>
      <c r="D53" s="49">
        <f t="shared" si="11"/>
        <v>524.192755905512</v>
      </c>
      <c r="E53" s="49">
        <f t="shared" si="11"/>
        <v>524.192755905512</v>
      </c>
      <c r="F53" s="49">
        <f t="shared" si="11"/>
        <v>524.192755905512</v>
      </c>
      <c r="G53" s="49">
        <f t="shared" si="11"/>
        <v>786.5020472440946</v>
      </c>
      <c r="H53" s="49">
        <f t="shared" si="11"/>
        <v>786.5020472440946</v>
      </c>
    </row>
    <row r="54" spans="1:8" ht="12.75">
      <c r="A54" s="19" t="s">
        <v>64</v>
      </c>
      <c r="B54" s="25" t="s">
        <v>8</v>
      </c>
      <c r="C54" s="50">
        <f aca="true" t="shared" si="12" ref="C54:H54">C36*C18</f>
        <v>37.81259842519685</v>
      </c>
      <c r="D54" s="50">
        <f t="shared" si="12"/>
        <v>25.20157480314961</v>
      </c>
      <c r="E54" s="50">
        <f t="shared" si="12"/>
        <v>25.20157480314961</v>
      </c>
      <c r="F54" s="50">
        <f t="shared" si="12"/>
        <v>25.20157480314961</v>
      </c>
      <c r="G54" s="50">
        <f t="shared" si="12"/>
        <v>37.81259842519685</v>
      </c>
      <c r="H54" s="50">
        <f t="shared" si="12"/>
        <v>37.81259842519685</v>
      </c>
    </row>
    <row r="55" spans="1:8" ht="12.75">
      <c r="A55" s="19" t="s">
        <v>65</v>
      </c>
      <c r="B55" s="25" t="s">
        <v>66</v>
      </c>
      <c r="C55" s="51">
        <f aca="true" t="shared" si="13" ref="C55:H55">1.258</f>
        <v>1.258</v>
      </c>
      <c r="D55" s="51">
        <f t="shared" si="13"/>
        <v>1.258</v>
      </c>
      <c r="E55" s="51">
        <f t="shared" si="13"/>
        <v>1.258</v>
      </c>
      <c r="F55" s="51">
        <f t="shared" si="13"/>
        <v>1.258</v>
      </c>
      <c r="G55" s="51">
        <f t="shared" si="13"/>
        <v>1.258</v>
      </c>
      <c r="H55" s="51">
        <f t="shared" si="13"/>
        <v>1.258</v>
      </c>
    </row>
    <row r="56" spans="1:8" ht="12.75">
      <c r="A56" s="19" t="s">
        <v>67</v>
      </c>
      <c r="B56" s="25" t="s">
        <v>1</v>
      </c>
      <c r="C56" s="49">
        <f aca="true" t="shared" si="14" ref="C56:H56">C55*C54</f>
        <v>47.568248818897644</v>
      </c>
      <c r="D56" s="49">
        <f t="shared" si="14"/>
        <v>31.70358110236221</v>
      </c>
      <c r="E56" s="49">
        <f t="shared" si="14"/>
        <v>31.70358110236221</v>
      </c>
      <c r="F56" s="49">
        <f t="shared" si="14"/>
        <v>31.70358110236221</v>
      </c>
      <c r="G56" s="49">
        <f t="shared" si="14"/>
        <v>47.568248818897644</v>
      </c>
      <c r="H56" s="49">
        <f t="shared" si="14"/>
        <v>47.568248818897644</v>
      </c>
    </row>
    <row r="57" spans="1:8" ht="12.75">
      <c r="A57" s="19" t="s">
        <v>13</v>
      </c>
      <c r="B57" s="24" t="s">
        <v>4</v>
      </c>
      <c r="C57" s="51">
        <v>0.38</v>
      </c>
      <c r="D57" s="51">
        <v>0.38</v>
      </c>
      <c r="E57" s="51">
        <v>0.38</v>
      </c>
      <c r="F57" s="51">
        <v>0.38</v>
      </c>
      <c r="G57" s="51">
        <v>0.38</v>
      </c>
      <c r="H57" s="51">
        <v>0.38</v>
      </c>
    </row>
    <row r="58" spans="1:8" ht="12.75">
      <c r="A58" s="19" t="s">
        <v>5</v>
      </c>
      <c r="B58" s="24" t="s">
        <v>6</v>
      </c>
      <c r="C58" s="51">
        <v>4</v>
      </c>
      <c r="D58" s="51">
        <v>4</v>
      </c>
      <c r="E58" s="51">
        <v>4</v>
      </c>
      <c r="F58" s="51">
        <v>4</v>
      </c>
      <c r="G58" s="51">
        <v>4</v>
      </c>
      <c r="H58" s="51">
        <v>4</v>
      </c>
    </row>
    <row r="59" spans="1:8" ht="12.75">
      <c r="A59" s="19" t="s">
        <v>14</v>
      </c>
      <c r="B59" s="24" t="s">
        <v>4</v>
      </c>
      <c r="C59" s="51">
        <f aca="true" t="shared" si="15" ref="C59:H59">2*C58*C57</f>
        <v>3.04</v>
      </c>
      <c r="D59" s="51">
        <f t="shared" si="15"/>
        <v>3.04</v>
      </c>
      <c r="E59" s="51">
        <f t="shared" si="15"/>
        <v>3.04</v>
      </c>
      <c r="F59" s="51">
        <f t="shared" si="15"/>
        <v>3.04</v>
      </c>
      <c r="G59" s="51">
        <f t="shared" si="15"/>
        <v>3.04</v>
      </c>
      <c r="H59" s="51">
        <f t="shared" si="15"/>
        <v>3.04</v>
      </c>
    </row>
    <row r="60" spans="1:8" ht="12.75">
      <c r="A60" s="19" t="s">
        <v>15</v>
      </c>
      <c r="B60" s="24" t="s">
        <v>16</v>
      </c>
      <c r="C60" s="50">
        <v>6</v>
      </c>
      <c r="D60" s="50">
        <v>6</v>
      </c>
      <c r="E60" s="50">
        <v>6</v>
      </c>
      <c r="F60" s="50">
        <v>6</v>
      </c>
      <c r="G60" s="50">
        <v>6</v>
      </c>
      <c r="H60" s="50">
        <v>6</v>
      </c>
    </row>
    <row r="61" spans="1:8" ht="12.75">
      <c r="A61" s="19" t="s">
        <v>17</v>
      </c>
      <c r="B61" s="24" t="s">
        <v>8</v>
      </c>
      <c r="C61" s="50">
        <f aca="true" t="shared" si="16" ref="C61:H61">(C17*(100*C58/C60))*2*(C14+C13)/1000</f>
        <v>35.4624</v>
      </c>
      <c r="D61" s="50">
        <f t="shared" si="16"/>
        <v>23.635200000000005</v>
      </c>
      <c r="E61" s="50">
        <f t="shared" si="16"/>
        <v>23.635200000000005</v>
      </c>
      <c r="F61" s="50">
        <f t="shared" si="16"/>
        <v>23.635200000000005</v>
      </c>
      <c r="G61" s="50">
        <f t="shared" si="16"/>
        <v>35.4624</v>
      </c>
      <c r="H61" s="50">
        <f t="shared" si="16"/>
        <v>35.4624</v>
      </c>
    </row>
    <row r="62" spans="1:8" ht="12.75">
      <c r="A62" s="19" t="s">
        <v>7</v>
      </c>
      <c r="B62" s="24" t="s">
        <v>8</v>
      </c>
      <c r="C62" s="50">
        <v>10</v>
      </c>
      <c r="D62" s="50">
        <v>10</v>
      </c>
      <c r="E62" s="50">
        <v>10</v>
      </c>
      <c r="F62" s="50">
        <v>10</v>
      </c>
      <c r="G62" s="50">
        <v>10</v>
      </c>
      <c r="H62" s="50">
        <v>10</v>
      </c>
    </row>
    <row r="63" spans="1:8" ht="12.75">
      <c r="A63" s="19" t="s">
        <v>9</v>
      </c>
      <c r="B63" s="24" t="s">
        <v>6</v>
      </c>
      <c r="C63" s="50">
        <f aca="true" t="shared" si="17" ref="C63:H63">C61/C62</f>
        <v>3.54624</v>
      </c>
      <c r="D63" s="50">
        <f t="shared" si="17"/>
        <v>2.3635200000000003</v>
      </c>
      <c r="E63" s="50">
        <f t="shared" si="17"/>
        <v>2.3635200000000003</v>
      </c>
      <c r="F63" s="50">
        <f t="shared" si="17"/>
        <v>2.3635200000000003</v>
      </c>
      <c r="G63" s="50">
        <f t="shared" si="17"/>
        <v>3.54624</v>
      </c>
      <c r="H63" s="50">
        <f t="shared" si="17"/>
        <v>3.54624</v>
      </c>
    </row>
    <row r="64" spans="1:8" ht="25.5">
      <c r="A64" s="19" t="s">
        <v>10</v>
      </c>
      <c r="B64" s="24" t="s">
        <v>0</v>
      </c>
      <c r="C64" s="51">
        <v>1.3</v>
      </c>
      <c r="D64" s="51">
        <v>1.3</v>
      </c>
      <c r="E64" s="51">
        <v>1.3</v>
      </c>
      <c r="F64" s="51">
        <v>1.3</v>
      </c>
      <c r="G64" s="51">
        <v>1.3</v>
      </c>
      <c r="H64" s="51">
        <v>1.3</v>
      </c>
    </row>
    <row r="65" spans="1:8" ht="12.75">
      <c r="A65" s="19" t="s">
        <v>49</v>
      </c>
      <c r="B65" s="24" t="s">
        <v>6</v>
      </c>
      <c r="C65" s="50">
        <f aca="true" t="shared" si="18" ref="C65:H65">C64*C63*C31</f>
        <v>27.660671999999998</v>
      </c>
      <c r="D65" s="50">
        <f t="shared" si="18"/>
        <v>36.870912000000004</v>
      </c>
      <c r="E65" s="50">
        <f t="shared" si="18"/>
        <v>36.870912000000004</v>
      </c>
      <c r="F65" s="50">
        <f t="shared" si="18"/>
        <v>73.74182400000001</v>
      </c>
      <c r="G65" s="50">
        <f t="shared" si="18"/>
        <v>13.830335999999999</v>
      </c>
      <c r="H65" s="50">
        <f t="shared" si="18"/>
        <v>41.491008</v>
      </c>
    </row>
    <row r="66" spans="1:8" ht="12.75">
      <c r="A66" s="18" t="s">
        <v>18</v>
      </c>
      <c r="B66" s="27" t="s">
        <v>1</v>
      </c>
      <c r="C66" s="50">
        <v>50</v>
      </c>
      <c r="D66" s="50">
        <v>50</v>
      </c>
      <c r="E66" s="50">
        <v>50</v>
      </c>
      <c r="F66" s="50">
        <v>50</v>
      </c>
      <c r="G66" s="50">
        <v>50</v>
      </c>
      <c r="H66" s="50">
        <v>50</v>
      </c>
    </row>
    <row r="67" spans="1:8" ht="12.75">
      <c r="A67" s="18" t="s">
        <v>51</v>
      </c>
      <c r="B67" s="23" t="s">
        <v>1</v>
      </c>
      <c r="C67" s="49">
        <f aca="true" t="shared" si="19" ref="C67:H67">C66*C65/C31</f>
        <v>230.5056</v>
      </c>
      <c r="D67" s="49">
        <f t="shared" si="19"/>
        <v>153.6288</v>
      </c>
      <c r="E67" s="49">
        <f t="shared" si="19"/>
        <v>153.6288</v>
      </c>
      <c r="F67" s="49">
        <f t="shared" si="19"/>
        <v>153.6288</v>
      </c>
      <c r="G67" s="49">
        <f t="shared" si="19"/>
        <v>230.5056</v>
      </c>
      <c r="H67" s="49">
        <f t="shared" si="19"/>
        <v>230.50560000000002</v>
      </c>
    </row>
    <row r="68" spans="1:8" ht="12.75">
      <c r="A68" s="20" t="s">
        <v>19</v>
      </c>
      <c r="B68" s="28" t="s">
        <v>20</v>
      </c>
      <c r="C68" s="51">
        <f aca="true" t="shared" si="20" ref="C68:H68">0.15*C13*C14*(C17)/1000</f>
        <v>0.57449088</v>
      </c>
      <c r="D68" s="51">
        <f t="shared" si="20"/>
        <v>0.38289024000000005</v>
      </c>
      <c r="E68" s="51">
        <f t="shared" si="20"/>
        <v>0.38289024000000005</v>
      </c>
      <c r="F68" s="51">
        <f t="shared" si="20"/>
        <v>0.38289024000000005</v>
      </c>
      <c r="G68" s="51">
        <f t="shared" si="20"/>
        <v>0.57449088</v>
      </c>
      <c r="H68" s="51">
        <f t="shared" si="20"/>
        <v>0.57449088</v>
      </c>
    </row>
    <row r="69" spans="1:8" ht="12.75">
      <c r="A69" s="18" t="s">
        <v>21</v>
      </c>
      <c r="B69" s="27" t="s">
        <v>22</v>
      </c>
      <c r="C69" s="50">
        <v>150</v>
      </c>
      <c r="D69" s="50">
        <v>150</v>
      </c>
      <c r="E69" s="50">
        <v>150</v>
      </c>
      <c r="F69" s="50">
        <v>150</v>
      </c>
      <c r="G69" s="50">
        <v>150</v>
      </c>
      <c r="H69" s="50">
        <v>150</v>
      </c>
    </row>
    <row r="70" spans="1:8" ht="12.75">
      <c r="A70" s="18" t="s">
        <v>52</v>
      </c>
      <c r="B70" s="23" t="s">
        <v>1</v>
      </c>
      <c r="C70" s="49">
        <f aca="true" t="shared" si="21" ref="C70:H70">C69*C68</f>
        <v>86.17363200000001</v>
      </c>
      <c r="D70" s="49">
        <f t="shared" si="21"/>
        <v>57.433536000000004</v>
      </c>
      <c r="E70" s="49">
        <f t="shared" si="21"/>
        <v>57.433536000000004</v>
      </c>
      <c r="F70" s="49">
        <f t="shared" si="21"/>
        <v>57.433536000000004</v>
      </c>
      <c r="G70" s="49">
        <f t="shared" si="21"/>
        <v>86.17363200000001</v>
      </c>
      <c r="H70" s="49">
        <f t="shared" si="21"/>
        <v>86.17363200000001</v>
      </c>
    </row>
    <row r="71" spans="1:8" ht="12.75">
      <c r="A71" s="18"/>
      <c r="B71" s="27"/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</row>
    <row r="72" spans="1:8" ht="13.5" thickBot="1">
      <c r="A72" s="34"/>
      <c r="B72" s="53"/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</row>
    <row r="73" spans="1:8" ht="19.5" customHeight="1" thickBot="1">
      <c r="A73" s="35" t="s">
        <v>54</v>
      </c>
      <c r="B73" s="36"/>
      <c r="C73" s="55">
        <f>C53+C67+C70+C56</f>
        <v>1150.7495280629923</v>
      </c>
      <c r="D73" s="55">
        <f>D53+D67+D70</f>
        <v>735.255091905512</v>
      </c>
      <c r="E73" s="55">
        <f>E53+E67+E70</f>
        <v>735.255091905512</v>
      </c>
      <c r="F73" s="55">
        <f>F53+F67+F70</f>
        <v>735.255091905512</v>
      </c>
      <c r="G73" s="55">
        <f>G53+G67+G70</f>
        <v>1103.1812792440946</v>
      </c>
      <c r="H73" s="55">
        <f>H53+H67+H70</f>
        <v>1103.1812792440946</v>
      </c>
    </row>
    <row r="74" spans="1:8" ht="24.75" customHeight="1" thickBot="1">
      <c r="A74" s="21" t="s">
        <v>55</v>
      </c>
      <c r="B74" s="29"/>
      <c r="C74" s="56">
        <f aca="true" t="shared" si="22" ref="C74:H74">C73+C33</f>
        <v>1676.2495280629923</v>
      </c>
      <c r="D74" s="56">
        <f t="shared" si="22"/>
        <v>1079.935091905512</v>
      </c>
      <c r="E74" s="56">
        <f t="shared" si="22"/>
        <v>1079.935091905512</v>
      </c>
      <c r="F74" s="56">
        <f t="shared" si="22"/>
        <v>1079.935091905512</v>
      </c>
      <c r="G74" s="56">
        <f t="shared" si="22"/>
        <v>1620.3412792440945</v>
      </c>
      <c r="H74" s="56">
        <f t="shared" si="22"/>
        <v>1620.3412792440945</v>
      </c>
    </row>
    <row r="75" spans="1:8" ht="21.75" customHeight="1" thickBot="1">
      <c r="A75" s="35" t="s">
        <v>56</v>
      </c>
      <c r="B75" s="36"/>
      <c r="C75" s="55">
        <f aca="true" t="shared" si="23" ref="C75:H75">C73*C31</f>
        <v>6904.497168377954</v>
      </c>
      <c r="D75" s="55">
        <f t="shared" si="23"/>
        <v>8823.061102866144</v>
      </c>
      <c r="E75" s="55">
        <f t="shared" si="23"/>
        <v>8823.061102866144</v>
      </c>
      <c r="F75" s="55">
        <f t="shared" si="23"/>
        <v>17646.12220573229</v>
      </c>
      <c r="G75" s="55">
        <f t="shared" si="23"/>
        <v>3309.543837732284</v>
      </c>
      <c r="H75" s="55">
        <f t="shared" si="23"/>
        <v>9928.631513196851</v>
      </c>
    </row>
    <row r="76" spans="1:8" ht="22.5" customHeight="1" thickBot="1">
      <c r="A76" s="21" t="s">
        <v>57</v>
      </c>
      <c r="B76" s="29"/>
      <c r="C76" s="56">
        <f aca="true" t="shared" si="24" ref="C76:H76">C74*C31</f>
        <v>10057.497168377955</v>
      </c>
      <c r="D76" s="56">
        <f t="shared" si="24"/>
        <v>12959.221102866144</v>
      </c>
      <c r="E76" s="56">
        <f t="shared" si="24"/>
        <v>12959.221102866144</v>
      </c>
      <c r="F76" s="56">
        <f t="shared" si="24"/>
        <v>25918.442205732288</v>
      </c>
      <c r="G76" s="56">
        <f t="shared" si="24"/>
        <v>4861.023837732284</v>
      </c>
      <c r="H76" s="56">
        <f t="shared" si="24"/>
        <v>14583.07151319685</v>
      </c>
    </row>
    <row r="77" spans="1:8" ht="22.5" customHeight="1">
      <c r="A77" s="115"/>
      <c r="B77" s="116"/>
      <c r="C77" s="117"/>
      <c r="D77" s="117"/>
      <c r="E77" s="117"/>
      <c r="F77" s="117"/>
      <c r="G77" s="117"/>
      <c r="H77" s="117"/>
    </row>
    <row r="78" spans="1:9" ht="15.75">
      <c r="A78" s="110"/>
      <c r="B78" s="111"/>
      <c r="C78" s="112"/>
      <c r="D78" s="112"/>
      <c r="E78" s="112"/>
      <c r="F78" s="112"/>
      <c r="G78" s="112"/>
      <c r="H78" s="112"/>
      <c r="I78" s="113"/>
    </row>
    <row r="79" spans="1:9" ht="16.5" thickBot="1">
      <c r="A79" s="110" t="s">
        <v>97</v>
      </c>
      <c r="B79" s="111"/>
      <c r="C79" s="112"/>
      <c r="D79" s="112"/>
      <c r="E79" s="112"/>
      <c r="F79" s="112"/>
      <c r="G79" s="112"/>
      <c r="H79" s="112"/>
      <c r="I79" s="113"/>
    </row>
    <row r="80" spans="1:9" ht="12.75">
      <c r="A80" s="81" t="s">
        <v>59</v>
      </c>
      <c r="B80" s="84"/>
      <c r="C80" s="73"/>
      <c r="D80" s="73"/>
      <c r="E80" s="73"/>
      <c r="F80" s="73"/>
      <c r="G80" s="73"/>
      <c r="H80" s="73"/>
      <c r="I80" s="85">
        <f>SUM(C76:F76)</f>
        <v>61894.38157984253</v>
      </c>
    </row>
    <row r="81" spans="1:9" ht="12.75">
      <c r="A81" s="75" t="s">
        <v>120</v>
      </c>
      <c r="B81" s="66"/>
      <c r="C81" s="94">
        <v>8450</v>
      </c>
      <c r="D81" s="94">
        <v>7575</v>
      </c>
      <c r="E81" s="94">
        <v>7575</v>
      </c>
      <c r="F81" s="94">
        <v>7575</v>
      </c>
      <c r="G81" s="94">
        <v>8450</v>
      </c>
      <c r="H81" s="94">
        <v>8450</v>
      </c>
      <c r="I81" s="76"/>
    </row>
    <row r="82" spans="1:9" ht="12.75">
      <c r="A82" t="s">
        <v>121</v>
      </c>
      <c r="B82" s="66"/>
      <c r="C82" s="94">
        <v>8450</v>
      </c>
      <c r="D82" s="94">
        <v>7575</v>
      </c>
      <c r="E82" s="94">
        <f>E81*0.85</f>
        <v>6438.75</v>
      </c>
      <c r="F82" s="94">
        <f>F81*0.85</f>
        <v>6438.75</v>
      </c>
      <c r="G82" s="94">
        <f>G81*0.85</f>
        <v>7182.5</v>
      </c>
      <c r="H82" s="94">
        <f>H81*0.85</f>
        <v>7182.5</v>
      </c>
      <c r="I82" s="76"/>
    </row>
    <row r="83" spans="1:9" ht="12.75">
      <c r="A83" s="86" t="s">
        <v>69</v>
      </c>
      <c r="B83" s="66"/>
      <c r="C83" s="114">
        <v>40000</v>
      </c>
      <c r="D83" s="94">
        <v>30000</v>
      </c>
      <c r="E83" s="94">
        <v>30000</v>
      </c>
      <c r="F83" s="94">
        <v>30000</v>
      </c>
      <c r="G83" s="114">
        <v>40000</v>
      </c>
      <c r="H83" s="114">
        <v>40000</v>
      </c>
      <c r="I83" s="87">
        <f>SUM(C83:H83)</f>
        <v>210000</v>
      </c>
    </row>
    <row r="84" spans="1:9" ht="12.75">
      <c r="A84" s="86" t="s">
        <v>116</v>
      </c>
      <c r="B84" s="66"/>
      <c r="C84" s="94">
        <f aca="true" t="shared" si="25" ref="C84:H84">C82*C$31</f>
        <v>50700</v>
      </c>
      <c r="D84" s="94">
        <f t="shared" si="25"/>
        <v>90900</v>
      </c>
      <c r="E84" s="94">
        <f t="shared" si="25"/>
        <v>77265</v>
      </c>
      <c r="F84" s="94">
        <f t="shared" si="25"/>
        <v>154530</v>
      </c>
      <c r="G84" s="94">
        <f t="shared" si="25"/>
        <v>21547.5</v>
      </c>
      <c r="H84" s="94">
        <f t="shared" si="25"/>
        <v>64642.5</v>
      </c>
      <c r="I84" s="87">
        <f>SUM(C84:H84)</f>
        <v>459585</v>
      </c>
    </row>
    <row r="85" spans="1:9" ht="12.75">
      <c r="A85" s="75" t="s">
        <v>117</v>
      </c>
      <c r="B85" s="67"/>
      <c r="C85" s="94">
        <f aca="true" t="shared" si="26" ref="C85:H85">SUM(C83:C84)+C76</f>
        <v>100757.49716837796</v>
      </c>
      <c r="D85" s="94">
        <f t="shared" si="26"/>
        <v>133859.22110286614</v>
      </c>
      <c r="E85" s="94">
        <f t="shared" si="26"/>
        <v>120224.22110286614</v>
      </c>
      <c r="F85" s="94">
        <f t="shared" si="26"/>
        <v>210448.44220573228</v>
      </c>
      <c r="G85" s="94">
        <f t="shared" si="26"/>
        <v>66408.52383773228</v>
      </c>
      <c r="H85" s="94">
        <f t="shared" si="26"/>
        <v>119225.57151319685</v>
      </c>
      <c r="I85" s="88"/>
    </row>
    <row r="86" spans="1:9" ht="12.75">
      <c r="A86" s="75"/>
      <c r="B86" s="83"/>
      <c r="C86" s="69"/>
      <c r="D86" s="69"/>
      <c r="E86" s="69"/>
      <c r="F86" s="69"/>
      <c r="G86" s="69"/>
      <c r="H86" s="69"/>
      <c r="I86" s="88"/>
    </row>
    <row r="87" spans="1:9" ht="16.5" thickBot="1">
      <c r="A87" s="101" t="s">
        <v>68</v>
      </c>
      <c r="B87" s="102"/>
      <c r="C87" s="103"/>
      <c r="D87" s="103"/>
      <c r="E87" s="103"/>
      <c r="F87" s="103"/>
      <c r="G87" s="103"/>
      <c r="H87" s="103"/>
      <c r="I87" s="104">
        <f>SUM(I80:I85)</f>
        <v>731479.3815798425</v>
      </c>
    </row>
    <row r="88" spans="1:9" ht="15.75">
      <c r="A88" s="110"/>
      <c r="B88" s="111"/>
      <c r="C88" s="112"/>
      <c r="D88" s="112"/>
      <c r="E88" s="112"/>
      <c r="F88" s="112"/>
      <c r="G88" s="112"/>
      <c r="H88" s="112"/>
      <c r="I88" s="113"/>
    </row>
    <row r="89" spans="1:9" ht="15.75">
      <c r="A89" s="110"/>
      <c r="B89" s="111"/>
      <c r="C89" s="112"/>
      <c r="D89" s="112"/>
      <c r="E89" s="112"/>
      <c r="F89" s="112"/>
      <c r="G89" s="112"/>
      <c r="H89" s="112"/>
      <c r="I89" s="113"/>
    </row>
    <row r="90" spans="1:9" ht="16.5" thickBot="1">
      <c r="A90" s="110" t="s">
        <v>106</v>
      </c>
      <c r="B90" s="111"/>
      <c r="C90" s="118" t="s">
        <v>99</v>
      </c>
      <c r="D90" s="119">
        <v>0.5</v>
      </c>
      <c r="I90" s="119">
        <v>0.25</v>
      </c>
    </row>
    <row r="91" spans="1:9" ht="12.75">
      <c r="A91" s="81" t="s">
        <v>59</v>
      </c>
      <c r="B91" s="84"/>
      <c r="C91" s="73"/>
      <c r="D91" s="73"/>
      <c r="E91" s="73"/>
      <c r="F91" s="73"/>
      <c r="G91" s="73"/>
      <c r="H91" s="73"/>
      <c r="I91" s="85">
        <f>SUM(C76:H76)*(1+I90)</f>
        <v>101673.09616346458</v>
      </c>
    </row>
    <row r="92" spans="1:9" ht="12.75">
      <c r="A92" s="75"/>
      <c r="B92" s="66"/>
      <c r="C92" s="65"/>
      <c r="D92" s="65"/>
      <c r="E92" s="65"/>
      <c r="F92" s="65"/>
      <c r="G92" s="65"/>
      <c r="H92" s="65"/>
      <c r="I92" s="76"/>
    </row>
    <row r="93" spans="1:11" ht="12.75">
      <c r="A93" s="75" t="s">
        <v>98</v>
      </c>
      <c r="B93" s="66"/>
      <c r="C93" s="94">
        <f aca="true" t="shared" si="27" ref="C93:H94">C82</f>
        <v>8450</v>
      </c>
      <c r="D93" s="94">
        <f t="shared" si="27"/>
        <v>7575</v>
      </c>
      <c r="E93" s="94">
        <f t="shared" si="27"/>
        <v>6438.75</v>
      </c>
      <c r="F93" s="94">
        <f t="shared" si="27"/>
        <v>6438.75</v>
      </c>
      <c r="G93" s="94">
        <f t="shared" si="27"/>
        <v>7182.5</v>
      </c>
      <c r="H93" s="94">
        <f t="shared" si="27"/>
        <v>7182.5</v>
      </c>
      <c r="I93" s="76"/>
      <c r="K93" t="s">
        <v>113</v>
      </c>
    </row>
    <row r="94" spans="1:9" ht="12.75">
      <c r="A94" s="86" t="s">
        <v>69</v>
      </c>
      <c r="B94" s="66"/>
      <c r="C94" s="114">
        <f t="shared" si="27"/>
        <v>40000</v>
      </c>
      <c r="D94" s="114">
        <f t="shared" si="27"/>
        <v>30000</v>
      </c>
      <c r="E94" s="114">
        <f t="shared" si="27"/>
        <v>30000</v>
      </c>
      <c r="F94" s="114">
        <f t="shared" si="27"/>
        <v>30000</v>
      </c>
      <c r="G94" s="114">
        <f t="shared" si="27"/>
        <v>40000</v>
      </c>
      <c r="H94" s="114">
        <f t="shared" si="27"/>
        <v>40000</v>
      </c>
      <c r="I94" s="87">
        <f>SUM(C94:H94)*(1+D90)</f>
        <v>315000</v>
      </c>
    </row>
    <row r="95" spans="1:9" ht="12.75">
      <c r="A95" s="86" t="s">
        <v>116</v>
      </c>
      <c r="B95" s="66"/>
      <c r="C95" s="94">
        <f aca="true" t="shared" si="28" ref="C95:H95">C93*C$31</f>
        <v>50700</v>
      </c>
      <c r="D95" s="94">
        <f t="shared" si="28"/>
        <v>90900</v>
      </c>
      <c r="E95" s="94">
        <f t="shared" si="28"/>
        <v>77265</v>
      </c>
      <c r="F95" s="94">
        <f t="shared" si="28"/>
        <v>154530</v>
      </c>
      <c r="G95" s="94">
        <f t="shared" si="28"/>
        <v>21547.5</v>
      </c>
      <c r="H95" s="94">
        <f t="shared" si="28"/>
        <v>64642.5</v>
      </c>
      <c r="I95" s="87">
        <f>SUM(C95:H95)*(1+I90)</f>
        <v>574481.25</v>
      </c>
    </row>
    <row r="96" spans="1:9" ht="12.75">
      <c r="A96" s="75" t="s">
        <v>117</v>
      </c>
      <c r="B96" s="67"/>
      <c r="C96" s="94">
        <f aca="true" t="shared" si="29" ref="C96:H96">SUM(C94:C95)+C$76</f>
        <v>100757.49716837796</v>
      </c>
      <c r="D96" s="94">
        <f t="shared" si="29"/>
        <v>133859.22110286614</v>
      </c>
      <c r="E96" s="94">
        <f t="shared" si="29"/>
        <v>120224.22110286614</v>
      </c>
      <c r="F96" s="94">
        <f t="shared" si="29"/>
        <v>210448.44220573228</v>
      </c>
      <c r="G96" s="94">
        <f t="shared" si="29"/>
        <v>66408.52383773228</v>
      </c>
      <c r="H96" s="94">
        <f t="shared" si="29"/>
        <v>119225.57151319685</v>
      </c>
      <c r="I96" s="88"/>
    </row>
    <row r="97" spans="1:9" ht="13.5" thickBot="1">
      <c r="A97" s="75"/>
      <c r="B97" s="83"/>
      <c r="C97" s="69"/>
      <c r="D97" s="69"/>
      <c r="E97" s="69"/>
      <c r="F97" s="69"/>
      <c r="G97" s="69"/>
      <c r="H97" s="69"/>
      <c r="I97" s="121"/>
    </row>
    <row r="98" spans="1:9" ht="16.5" thickBot="1">
      <c r="A98" s="101" t="s">
        <v>68</v>
      </c>
      <c r="B98" s="102"/>
      <c r="C98" s="103"/>
      <c r="D98" s="103"/>
      <c r="E98" s="103"/>
      <c r="F98" s="120"/>
      <c r="G98" s="120"/>
      <c r="H98" s="120"/>
      <c r="I98" s="122">
        <f>SUM(I91:I96)</f>
        <v>991154.3461634646</v>
      </c>
    </row>
    <row r="99" spans="1:9" ht="15.75">
      <c r="A99" s="110"/>
      <c r="B99" s="111"/>
      <c r="C99" s="112"/>
      <c r="D99" s="112"/>
      <c r="E99" s="112"/>
      <c r="F99" s="112"/>
      <c r="G99" s="112"/>
      <c r="H99" s="112"/>
      <c r="I99" s="113"/>
    </row>
    <row r="100" spans="2:9" ht="12.75">
      <c r="B100" s="9"/>
      <c r="C100" s="11"/>
      <c r="D100" s="11"/>
      <c r="E100" s="11"/>
      <c r="F100" s="11"/>
      <c r="G100" s="11"/>
      <c r="H100" s="11"/>
      <c r="I100" s="52"/>
    </row>
    <row r="101" spans="2:9" ht="13.5" thickBot="1">
      <c r="B101" s="9"/>
      <c r="C101" s="11"/>
      <c r="D101" s="11"/>
      <c r="E101" s="11"/>
      <c r="F101" s="11"/>
      <c r="G101" s="11"/>
      <c r="H101" s="11"/>
      <c r="I101" s="52"/>
    </row>
    <row r="102" spans="1:9" ht="12.75">
      <c r="A102" s="81" t="s">
        <v>73</v>
      </c>
      <c r="B102" s="72"/>
      <c r="C102" s="73"/>
      <c r="D102" s="73"/>
      <c r="E102" s="73"/>
      <c r="F102" s="73"/>
      <c r="G102" s="73"/>
      <c r="H102" s="73"/>
      <c r="I102" s="74"/>
    </row>
    <row r="103" spans="1:9" ht="12.75">
      <c r="A103" s="75" t="s">
        <v>122</v>
      </c>
      <c r="B103" s="67">
        <v>8</v>
      </c>
      <c r="C103" s="65"/>
      <c r="D103" s="65"/>
      <c r="E103" s="65"/>
      <c r="F103" s="65"/>
      <c r="G103" s="65"/>
      <c r="H103" s="65"/>
      <c r="I103" s="76"/>
    </row>
    <row r="104" spans="1:9" ht="12.75">
      <c r="A104" s="75" t="s">
        <v>74</v>
      </c>
      <c r="B104" s="67">
        <f>0.5*12*2*0.3*1.5</f>
        <v>5.3999999999999995</v>
      </c>
      <c r="C104" s="65"/>
      <c r="D104" s="65"/>
      <c r="E104" s="65"/>
      <c r="F104" s="65"/>
      <c r="G104" s="65"/>
      <c r="H104" s="65"/>
      <c r="I104" s="76"/>
    </row>
    <row r="105" spans="1:9" ht="12.75">
      <c r="A105" s="75" t="s">
        <v>75</v>
      </c>
      <c r="B105" s="68"/>
      <c r="C105" s="68">
        <f aca="true" t="shared" si="30" ref="C105:H105">$B$104*$B$103</f>
        <v>43.199999999999996</v>
      </c>
      <c r="D105" s="68">
        <f t="shared" si="30"/>
        <v>43.199999999999996</v>
      </c>
      <c r="E105" s="68">
        <f t="shared" si="30"/>
        <v>43.199999999999996</v>
      </c>
      <c r="F105" s="68">
        <f t="shared" si="30"/>
        <v>43.199999999999996</v>
      </c>
      <c r="G105" s="68">
        <f t="shared" si="30"/>
        <v>43.199999999999996</v>
      </c>
      <c r="H105" s="68">
        <f t="shared" si="30"/>
        <v>43.199999999999996</v>
      </c>
      <c r="I105" s="76"/>
    </row>
    <row r="106" spans="1:9" ht="12.75">
      <c r="A106" s="75" t="s">
        <v>82</v>
      </c>
      <c r="B106" s="68"/>
      <c r="C106" s="69">
        <f aca="true" t="shared" si="31" ref="C106:H106">C105*C109</f>
        <v>4787.423999999999</v>
      </c>
      <c r="D106" s="69">
        <f t="shared" si="31"/>
        <v>6381.503999999999</v>
      </c>
      <c r="E106" s="69">
        <f t="shared" si="31"/>
        <v>6381.503999999999</v>
      </c>
      <c r="F106" s="69">
        <f t="shared" si="31"/>
        <v>12763.007999999998</v>
      </c>
      <c r="G106" s="69">
        <f t="shared" si="31"/>
        <v>2393.7119999999995</v>
      </c>
      <c r="H106" s="69">
        <f t="shared" si="31"/>
        <v>7181.135999999999</v>
      </c>
      <c r="I106" s="76"/>
    </row>
    <row r="107" spans="1:9" ht="12.75">
      <c r="A107" s="75" t="s">
        <v>76</v>
      </c>
      <c r="B107" s="67">
        <v>0.25</v>
      </c>
      <c r="C107" s="65"/>
      <c r="D107" s="65"/>
      <c r="E107" s="65"/>
      <c r="F107" s="65"/>
      <c r="G107" s="65"/>
      <c r="H107" s="65"/>
      <c r="I107" s="76"/>
    </row>
    <row r="108" spans="1:9" ht="12.75">
      <c r="A108" s="75" t="s">
        <v>77</v>
      </c>
      <c r="B108" s="67"/>
      <c r="C108" s="70">
        <f aca="true" t="shared" si="32" ref="C108:H108">C17/$B$107</f>
        <v>18.47</v>
      </c>
      <c r="D108" s="70">
        <f t="shared" si="32"/>
        <v>12.31</v>
      </c>
      <c r="E108" s="70">
        <f t="shared" si="32"/>
        <v>12.31</v>
      </c>
      <c r="F108" s="70">
        <f t="shared" si="32"/>
        <v>12.31</v>
      </c>
      <c r="G108" s="70">
        <f t="shared" si="32"/>
        <v>18.47</v>
      </c>
      <c r="H108" s="70">
        <f t="shared" si="32"/>
        <v>18.47</v>
      </c>
      <c r="I108" s="77"/>
    </row>
    <row r="109" spans="1:9" ht="12.75">
      <c r="A109" s="75" t="s">
        <v>78</v>
      </c>
      <c r="B109" s="66"/>
      <c r="C109" s="70">
        <f aca="true" t="shared" si="33" ref="C109:H109">C108*C31</f>
        <v>110.82</v>
      </c>
      <c r="D109" s="70">
        <f t="shared" si="33"/>
        <v>147.72</v>
      </c>
      <c r="E109" s="70">
        <f t="shared" si="33"/>
        <v>147.72</v>
      </c>
      <c r="F109" s="70">
        <f t="shared" si="33"/>
        <v>295.44</v>
      </c>
      <c r="G109" s="70">
        <f t="shared" si="33"/>
        <v>55.41</v>
      </c>
      <c r="H109" s="70">
        <f t="shared" si="33"/>
        <v>166.23</v>
      </c>
      <c r="I109" s="78"/>
    </row>
    <row r="110" spans="1:9" ht="12.75">
      <c r="A110" s="75" t="s">
        <v>79</v>
      </c>
      <c r="B110" s="71">
        <v>40</v>
      </c>
      <c r="C110" s="69"/>
      <c r="D110" s="69"/>
      <c r="E110" s="69"/>
      <c r="F110" s="69"/>
      <c r="G110" s="69"/>
      <c r="H110" s="69"/>
      <c r="I110" s="76"/>
    </row>
    <row r="111" spans="1:9" ht="12.75">
      <c r="A111" s="75" t="s">
        <v>80</v>
      </c>
      <c r="B111" s="71"/>
      <c r="C111" s="69">
        <f aca="true" t="shared" si="34" ref="C111:H111">C109*$B$110</f>
        <v>4432.799999999999</v>
      </c>
      <c r="D111" s="69">
        <f t="shared" si="34"/>
        <v>5908.8</v>
      </c>
      <c r="E111" s="69">
        <f t="shared" si="34"/>
        <v>5908.8</v>
      </c>
      <c r="F111" s="69">
        <f t="shared" si="34"/>
        <v>11817.6</v>
      </c>
      <c r="G111" s="69">
        <f t="shared" si="34"/>
        <v>2216.3999999999996</v>
      </c>
      <c r="H111" s="69">
        <f t="shared" si="34"/>
        <v>6649.2</v>
      </c>
      <c r="I111" s="76"/>
    </row>
    <row r="112" spans="1:9" ht="12.75">
      <c r="A112" s="75" t="s">
        <v>81</v>
      </c>
      <c r="B112" s="66"/>
      <c r="C112" s="69">
        <f aca="true" t="shared" si="35" ref="C112:H112">C111+C106</f>
        <v>9220.223999999998</v>
      </c>
      <c r="D112" s="69">
        <f t="shared" si="35"/>
        <v>12290.304</v>
      </c>
      <c r="E112" s="69">
        <f t="shared" si="35"/>
        <v>12290.304</v>
      </c>
      <c r="F112" s="69">
        <f t="shared" si="35"/>
        <v>24580.608</v>
      </c>
      <c r="G112" s="69">
        <f t="shared" si="35"/>
        <v>4610.111999999999</v>
      </c>
      <c r="H112" s="69">
        <f t="shared" si="35"/>
        <v>13830.336</v>
      </c>
      <c r="I112" s="76"/>
    </row>
    <row r="113" spans="1:10" ht="12.75">
      <c r="A113" s="90" t="s">
        <v>83</v>
      </c>
      <c r="B113" s="91"/>
      <c r="C113" s="92"/>
      <c r="D113" s="92"/>
      <c r="E113" s="92"/>
      <c r="F113" s="92"/>
      <c r="G113" s="92"/>
      <c r="H113" s="92"/>
      <c r="I113" s="93">
        <f>SUM(C112:H112)</f>
        <v>76821.88799999999</v>
      </c>
      <c r="J113" s="126">
        <v>1</v>
      </c>
    </row>
    <row r="114" spans="1:10" ht="12.75">
      <c r="A114" s="86" t="s">
        <v>85</v>
      </c>
      <c r="B114" s="82"/>
      <c r="C114" s="62">
        <f>B103*0.5*2*2*0.3+6</f>
        <v>10.8</v>
      </c>
      <c r="D114" s="62">
        <f>C114</f>
        <v>10.8</v>
      </c>
      <c r="E114" s="62">
        <f>D114</f>
        <v>10.8</v>
      </c>
      <c r="F114" s="62">
        <f>E114</f>
        <v>10.8</v>
      </c>
      <c r="G114" s="62">
        <f>F114</f>
        <v>10.8</v>
      </c>
      <c r="H114" s="62">
        <f>G114</f>
        <v>10.8</v>
      </c>
      <c r="I114" s="87"/>
      <c r="J114" s="126"/>
    </row>
    <row r="115" spans="1:10" ht="12.75">
      <c r="A115" s="86" t="s">
        <v>86</v>
      </c>
      <c r="B115" s="82"/>
      <c r="C115" s="94">
        <f aca="true" t="shared" si="36" ref="C115:H115">C114*C109</f>
        <v>1196.856</v>
      </c>
      <c r="D115" s="94">
        <f t="shared" si="36"/>
        <v>1595.3760000000002</v>
      </c>
      <c r="E115" s="94">
        <f t="shared" si="36"/>
        <v>1595.3760000000002</v>
      </c>
      <c r="F115" s="94">
        <f t="shared" si="36"/>
        <v>3190.7520000000004</v>
      </c>
      <c r="G115" s="94">
        <f t="shared" si="36"/>
        <v>598.428</v>
      </c>
      <c r="H115" s="94">
        <f t="shared" si="36"/>
        <v>1795.284</v>
      </c>
      <c r="I115" s="87">
        <f>SUM(C115:H115)</f>
        <v>9972.072</v>
      </c>
      <c r="J115" s="126">
        <v>1</v>
      </c>
    </row>
    <row r="116" spans="1:10" ht="12.75">
      <c r="A116" s="86" t="s">
        <v>89</v>
      </c>
      <c r="B116" s="82"/>
      <c r="C116" s="94">
        <f aca="true" t="shared" si="37" ref="C116:H116">C114*C109*0.75</f>
        <v>897.642</v>
      </c>
      <c r="D116" s="94">
        <f t="shared" si="37"/>
        <v>1196.5320000000002</v>
      </c>
      <c r="E116" s="94">
        <f t="shared" si="37"/>
        <v>1196.5320000000002</v>
      </c>
      <c r="F116" s="94">
        <f t="shared" si="37"/>
        <v>2393.0640000000003</v>
      </c>
      <c r="G116" s="94">
        <f t="shared" si="37"/>
        <v>448.821</v>
      </c>
      <c r="H116" s="94">
        <f t="shared" si="37"/>
        <v>1346.4630000000002</v>
      </c>
      <c r="I116" s="87">
        <f>SUM(C116:H116)</f>
        <v>7479.054</v>
      </c>
      <c r="J116" s="126">
        <v>1</v>
      </c>
    </row>
    <row r="117" spans="1:10" ht="12.75">
      <c r="A117" s="95" t="s">
        <v>84</v>
      </c>
      <c r="B117" s="66"/>
      <c r="C117" s="65">
        <v>12</v>
      </c>
      <c r="D117" s="65">
        <v>12</v>
      </c>
      <c r="E117" s="65">
        <v>12</v>
      </c>
      <c r="F117" s="65">
        <v>12</v>
      </c>
      <c r="G117" s="65">
        <v>12</v>
      </c>
      <c r="H117" s="65">
        <v>12</v>
      </c>
      <c r="I117" s="96"/>
      <c r="J117" s="126"/>
    </row>
    <row r="118" spans="1:10" ht="13.5" thickBot="1">
      <c r="A118" s="97" t="s">
        <v>88</v>
      </c>
      <c r="B118" s="79"/>
      <c r="C118" s="89">
        <f aca="true" t="shared" si="38" ref="C118:H118">C109*6*C117</f>
        <v>7979.039999999999</v>
      </c>
      <c r="D118" s="89">
        <f t="shared" si="38"/>
        <v>10635.84</v>
      </c>
      <c r="E118" s="89">
        <f t="shared" si="38"/>
        <v>10635.84</v>
      </c>
      <c r="F118" s="89">
        <f t="shared" si="38"/>
        <v>21271.68</v>
      </c>
      <c r="G118" s="89">
        <f t="shared" si="38"/>
        <v>3989.5199999999995</v>
      </c>
      <c r="H118" s="89">
        <f t="shared" si="38"/>
        <v>11968.559999999998</v>
      </c>
      <c r="I118" s="80">
        <f>SUM(C118:H118)</f>
        <v>66480.47999999998</v>
      </c>
      <c r="J118" s="126">
        <v>1</v>
      </c>
    </row>
    <row r="119" spans="1:10" ht="13.5" thickBot="1">
      <c r="A119" s="135" t="s">
        <v>108</v>
      </c>
      <c r="B119" s="136"/>
      <c r="C119" s="139">
        <f aca="true" t="shared" si="39" ref="C119:H119">0.375*3.5*C17*39.4*0.3</f>
        <v>71.63474062499999</v>
      </c>
      <c r="D119" s="139">
        <f t="shared" si="39"/>
        <v>47.743565624999995</v>
      </c>
      <c r="E119" s="139">
        <f t="shared" si="39"/>
        <v>47.743565624999995</v>
      </c>
      <c r="F119" s="139">
        <f t="shared" si="39"/>
        <v>47.743565624999995</v>
      </c>
      <c r="G119" s="139">
        <f t="shared" si="39"/>
        <v>71.63474062499999</v>
      </c>
      <c r="H119" s="139">
        <f t="shared" si="39"/>
        <v>71.63474062499999</v>
      </c>
      <c r="I119" s="138"/>
      <c r="J119" s="126"/>
    </row>
    <row r="120" spans="1:10" ht="13.5" thickBot="1">
      <c r="A120" s="135" t="s">
        <v>107</v>
      </c>
      <c r="B120" s="136"/>
      <c r="C120" s="137">
        <f aca="true" t="shared" si="40" ref="C120:H120">C119*$B$103</f>
        <v>573.0779249999999</v>
      </c>
      <c r="D120" s="137">
        <f t="shared" si="40"/>
        <v>381.94852499999996</v>
      </c>
      <c r="E120" s="137">
        <f t="shared" si="40"/>
        <v>381.94852499999996</v>
      </c>
      <c r="F120" s="137">
        <f t="shared" si="40"/>
        <v>381.94852499999996</v>
      </c>
      <c r="G120" s="137">
        <f t="shared" si="40"/>
        <v>573.0779249999999</v>
      </c>
      <c r="H120" s="137">
        <f t="shared" si="40"/>
        <v>573.0779249999999</v>
      </c>
      <c r="I120" s="138"/>
      <c r="J120" s="126"/>
    </row>
    <row r="121" spans="1:10" ht="13.5" thickBot="1">
      <c r="A121" s="135" t="s">
        <v>109</v>
      </c>
      <c r="B121" s="136"/>
      <c r="C121" s="137">
        <f aca="true" t="shared" si="41" ref="C121:H121">C120*C31</f>
        <v>3438.4675499999994</v>
      </c>
      <c r="D121" s="137">
        <f t="shared" si="41"/>
        <v>4583.382299999999</v>
      </c>
      <c r="E121" s="137">
        <f t="shared" si="41"/>
        <v>4583.382299999999</v>
      </c>
      <c r="F121" s="137">
        <f t="shared" si="41"/>
        <v>9166.764599999999</v>
      </c>
      <c r="G121" s="137">
        <f t="shared" si="41"/>
        <v>1719.2337749999997</v>
      </c>
      <c r="H121" s="137">
        <f t="shared" si="41"/>
        <v>5157.701324999999</v>
      </c>
      <c r="I121" s="138">
        <f>SUM(C121:H121)</f>
        <v>28648.931849999997</v>
      </c>
      <c r="J121" s="126">
        <v>1</v>
      </c>
    </row>
    <row r="122" spans="1:10" ht="13.5" thickBot="1">
      <c r="A122" s="135" t="s">
        <v>110</v>
      </c>
      <c r="B122" s="136"/>
      <c r="C122" s="137">
        <f aca="true" t="shared" si="42" ref="C122:H122">C120*2</f>
        <v>1146.1558499999999</v>
      </c>
      <c r="D122" s="137">
        <f t="shared" si="42"/>
        <v>763.8970499999999</v>
      </c>
      <c r="E122" s="137">
        <f t="shared" si="42"/>
        <v>763.8970499999999</v>
      </c>
      <c r="F122" s="137">
        <f t="shared" si="42"/>
        <v>763.8970499999999</v>
      </c>
      <c r="G122" s="137">
        <f t="shared" si="42"/>
        <v>1146.1558499999999</v>
      </c>
      <c r="H122" s="137">
        <f t="shared" si="42"/>
        <v>1146.1558499999999</v>
      </c>
      <c r="I122" s="138">
        <f>SUM(C122:H122)</f>
        <v>5730.1587</v>
      </c>
      <c r="J122" s="126">
        <v>0.5</v>
      </c>
    </row>
    <row r="123" spans="1:10" ht="13.5" thickBot="1">
      <c r="A123" s="135" t="s">
        <v>112</v>
      </c>
      <c r="B123" s="136"/>
      <c r="C123" s="137">
        <v>3000</v>
      </c>
      <c r="D123" s="137">
        <f>C123</f>
        <v>3000</v>
      </c>
      <c r="E123" s="137">
        <f>D123</f>
        <v>3000</v>
      </c>
      <c r="F123" s="137">
        <f>E123</f>
        <v>3000</v>
      </c>
      <c r="G123" s="137">
        <f>F123</f>
        <v>3000</v>
      </c>
      <c r="H123" s="137">
        <f>G123</f>
        <v>3000</v>
      </c>
      <c r="I123" s="138">
        <f>SUM(C123:H123)</f>
        <v>18000</v>
      </c>
      <c r="J123" s="126">
        <v>0.5</v>
      </c>
    </row>
    <row r="124" spans="1:9" ht="15.75" thickBot="1">
      <c r="A124" s="123" t="s">
        <v>87</v>
      </c>
      <c r="B124" s="99"/>
      <c r="C124" s="100"/>
      <c r="D124" s="100"/>
      <c r="E124" s="100"/>
      <c r="F124" s="100"/>
      <c r="G124" s="100"/>
      <c r="H124" s="100"/>
      <c r="I124" s="127">
        <f>SUM(I113:I123)</f>
        <v>213132.58454999997</v>
      </c>
    </row>
    <row r="125" spans="1:9" ht="16.5" thickBot="1">
      <c r="A125" s="123" t="s">
        <v>105</v>
      </c>
      <c r="B125" s="125"/>
      <c r="C125" s="124"/>
      <c r="D125" s="124"/>
      <c r="E125" s="124"/>
      <c r="F125" s="124"/>
      <c r="G125" s="124"/>
      <c r="H125" s="124"/>
      <c r="I125" s="122">
        <f>I113*(1+J113)+I115*(1+J115)+I116*(1+J116)+I118*(1+J118)+I121*(1+J121)+I122*(1+J122)+I123*(1+J123)</f>
        <v>414400.0897499999</v>
      </c>
    </row>
    <row r="126" ht="8.25" customHeight="1"/>
    <row r="127" ht="9" customHeight="1" thickBot="1"/>
    <row r="128" spans="1:9" ht="21" customHeight="1">
      <c r="A128" s="81" t="s">
        <v>90</v>
      </c>
      <c r="B128" s="84"/>
      <c r="C128" s="73"/>
      <c r="D128" s="73"/>
      <c r="E128" s="73"/>
      <c r="F128" s="73"/>
      <c r="G128" s="142"/>
      <c r="H128" s="142"/>
      <c r="I128" s="74"/>
    </row>
    <row r="129" spans="1:9" ht="15.75" thickBot="1">
      <c r="A129" s="128" t="s">
        <v>104</v>
      </c>
      <c r="B129" s="129"/>
      <c r="C129" s="106">
        <v>20</v>
      </c>
      <c r="D129" s="106">
        <v>20</v>
      </c>
      <c r="E129" s="106">
        <v>20</v>
      </c>
      <c r="F129" s="106">
        <v>20</v>
      </c>
      <c r="G129" s="106">
        <v>20</v>
      </c>
      <c r="H129" s="106">
        <v>20</v>
      </c>
      <c r="I129" s="130"/>
    </row>
    <row r="130" spans="1:9" ht="15.75" thickBot="1">
      <c r="A130" s="140" t="s">
        <v>111</v>
      </c>
      <c r="B130" s="129"/>
      <c r="C130" s="106">
        <v>8</v>
      </c>
      <c r="D130" s="106">
        <v>8</v>
      </c>
      <c r="E130" s="106">
        <v>8</v>
      </c>
      <c r="F130" s="106">
        <v>8</v>
      </c>
      <c r="G130" s="106">
        <v>8</v>
      </c>
      <c r="H130" s="106">
        <v>8</v>
      </c>
      <c r="I130" s="130"/>
    </row>
    <row r="131" spans="1:9" ht="15.75" thickBot="1">
      <c r="A131" s="75" t="s">
        <v>91</v>
      </c>
      <c r="B131" s="66"/>
      <c r="C131" s="106">
        <v>1</v>
      </c>
      <c r="D131" s="106">
        <f>C131</f>
        <v>1</v>
      </c>
      <c r="E131" s="106">
        <f>D131</f>
        <v>1</v>
      </c>
      <c r="F131" s="106">
        <f>E131</f>
        <v>1</v>
      </c>
      <c r="G131" s="106">
        <f>F131</f>
        <v>1</v>
      </c>
      <c r="H131" s="106">
        <f>G131</f>
        <v>1</v>
      </c>
      <c r="I131" s="76"/>
    </row>
    <row r="132" spans="1:9" ht="15.75" thickBot="1">
      <c r="A132" s="75" t="s">
        <v>92</v>
      </c>
      <c r="B132" s="66"/>
      <c r="C132" s="106">
        <f>C131*C108</f>
        <v>18.47</v>
      </c>
      <c r="D132" s="106">
        <f>D131*D108</f>
        <v>12.31</v>
      </c>
      <c r="E132" s="106">
        <f>E131*E108</f>
        <v>12.31</v>
      </c>
      <c r="F132" s="106">
        <f>F131*F108</f>
        <v>12.31</v>
      </c>
      <c r="G132" s="106">
        <f>G131*G108</f>
        <v>18.47</v>
      </c>
      <c r="H132" s="106">
        <f>H131*H108</f>
        <v>18.47</v>
      </c>
      <c r="I132" s="76"/>
    </row>
    <row r="133" spans="1:9" ht="15.75" thickBot="1">
      <c r="A133" s="75" t="s">
        <v>93</v>
      </c>
      <c r="B133" s="66"/>
      <c r="C133" s="106">
        <v>8</v>
      </c>
      <c r="D133" s="106">
        <v>8</v>
      </c>
      <c r="E133" s="106">
        <v>8</v>
      </c>
      <c r="F133" s="106">
        <v>8</v>
      </c>
      <c r="G133" s="106">
        <v>8</v>
      </c>
      <c r="H133" s="106">
        <v>8</v>
      </c>
      <c r="I133" s="76"/>
    </row>
    <row r="134" spans="1:9" ht="15.75" thickBot="1">
      <c r="A134" s="75" t="s">
        <v>103</v>
      </c>
      <c r="B134" s="66"/>
      <c r="C134" s="106">
        <f>C135*0.75/2</f>
        <v>170.115</v>
      </c>
      <c r="D134" s="106">
        <f>D135*0.75/2</f>
        <v>197.79000000000002</v>
      </c>
      <c r="E134" s="106">
        <f>E135*0.75/2</f>
        <v>197.79000000000002</v>
      </c>
      <c r="F134" s="106">
        <f>F135*0.75/2</f>
        <v>380.58000000000004</v>
      </c>
      <c r="G134" s="106">
        <f>G135*0.75/2</f>
        <v>74.5575</v>
      </c>
      <c r="H134" s="106">
        <f>H135*0.75/2</f>
        <v>193.6725</v>
      </c>
      <c r="I134" s="132"/>
    </row>
    <row r="135" spans="1:9" ht="16.5" thickBot="1">
      <c r="A135" s="107" t="s">
        <v>94</v>
      </c>
      <c r="B135" s="108"/>
      <c r="C135" s="106">
        <f>(C129+(C133+C132+C130)*C$31)*2</f>
        <v>453.64</v>
      </c>
      <c r="D135" s="106">
        <f>(D129+(D133+D132)*D$31)*2</f>
        <v>527.44</v>
      </c>
      <c r="E135" s="106">
        <f>(E129+(E133+E132)*E$31)*2</f>
        <v>527.44</v>
      </c>
      <c r="F135" s="131">
        <f>(F129+(F133+F132)*F$31)*2</f>
        <v>1014.8800000000001</v>
      </c>
      <c r="G135" s="131">
        <f>(G129+(G133+G132)*G$31)*2</f>
        <v>198.82</v>
      </c>
      <c r="H135" s="131">
        <f>(H129+(H133+H132)*H$31)*2</f>
        <v>516.46</v>
      </c>
      <c r="I135" s="134">
        <f>SUM(C135:H135)</f>
        <v>3238.6800000000003</v>
      </c>
    </row>
    <row r="136" spans="1:9" ht="16.5" thickBot="1">
      <c r="A136" s="75" t="s">
        <v>100</v>
      </c>
      <c r="B136" s="108"/>
      <c r="C136" s="106">
        <v>20</v>
      </c>
      <c r="D136" s="106">
        <v>20</v>
      </c>
      <c r="E136" s="106">
        <v>20</v>
      </c>
      <c r="F136" s="106">
        <v>20</v>
      </c>
      <c r="G136" s="106">
        <v>20</v>
      </c>
      <c r="H136" s="106">
        <v>20</v>
      </c>
      <c r="I136" s="133"/>
    </row>
    <row r="137" spans="1:9" ht="16.5" thickBot="1">
      <c r="A137" s="75" t="s">
        <v>101</v>
      </c>
      <c r="B137" s="108"/>
      <c r="C137" s="106">
        <v>20</v>
      </c>
      <c r="D137" s="106">
        <v>20</v>
      </c>
      <c r="E137" s="106">
        <v>20</v>
      </c>
      <c r="F137" s="106">
        <v>20</v>
      </c>
      <c r="G137" s="106">
        <v>20</v>
      </c>
      <c r="H137" s="106">
        <v>20</v>
      </c>
      <c r="I137" s="109"/>
    </row>
    <row r="138" spans="1:9" ht="16.5" thickBot="1">
      <c r="A138" s="75" t="s">
        <v>102</v>
      </c>
      <c r="B138" s="108"/>
      <c r="C138" s="106">
        <v>2</v>
      </c>
      <c r="D138" s="106">
        <f>C138</f>
        <v>2</v>
      </c>
      <c r="E138" s="106">
        <f>D138</f>
        <v>2</v>
      </c>
      <c r="F138" s="106">
        <f>E138</f>
        <v>2</v>
      </c>
      <c r="G138" s="106">
        <f>F138</f>
        <v>2</v>
      </c>
      <c r="H138" s="106">
        <f>G138</f>
        <v>2</v>
      </c>
      <c r="I138" s="109"/>
    </row>
    <row r="139" spans="1:9" ht="15.75" thickBot="1">
      <c r="A139" s="75" t="s">
        <v>95</v>
      </c>
      <c r="B139" s="66"/>
      <c r="C139" s="106">
        <v>8</v>
      </c>
      <c r="D139" s="106">
        <v>8</v>
      </c>
      <c r="E139" s="106">
        <v>8</v>
      </c>
      <c r="F139" s="106">
        <v>8</v>
      </c>
      <c r="G139" s="106">
        <v>8</v>
      </c>
      <c r="H139" s="106">
        <v>8</v>
      </c>
      <c r="I139" s="132"/>
    </row>
    <row r="140" spans="1:9" ht="16.5" thickBot="1">
      <c r="A140" s="101" t="s">
        <v>96</v>
      </c>
      <c r="B140" s="105"/>
      <c r="C140" s="106">
        <f>C139*C$31*2+C137+C136+C134</f>
        <v>306.115</v>
      </c>
      <c r="D140" s="106">
        <f>D139*D$31*2+D137+D136+D134</f>
        <v>429.79</v>
      </c>
      <c r="E140" s="106">
        <f>E139*E$31*2+E137+E136+E134</f>
        <v>429.79</v>
      </c>
      <c r="F140" s="131">
        <f>F139*F$31*2+F137+F136+F134</f>
        <v>804.58</v>
      </c>
      <c r="G140" s="131">
        <f>G139*G$31*2+G137+G136+G134</f>
        <v>162.5575</v>
      </c>
      <c r="H140" s="131">
        <f>H139*H$31*2+H137+H136+H134</f>
        <v>377.6725</v>
      </c>
      <c r="I140" s="134">
        <f>SUM(C140:H140)</f>
        <v>2510.505</v>
      </c>
    </row>
    <row r="143" spans="2:11" ht="12.75" hidden="1">
      <c r="B143">
        <v>1849</v>
      </c>
      <c r="C143" s="4">
        <v>144</v>
      </c>
      <c r="E143" s="4">
        <f>SUM(A143:D143)</f>
        <v>1993</v>
      </c>
      <c r="I143">
        <f>E143*K143</f>
        <v>161433</v>
      </c>
      <c r="K143">
        <v>81</v>
      </c>
    </row>
    <row r="144" spans="1:11" ht="12.75" hidden="1">
      <c r="A144">
        <v>632</v>
      </c>
      <c r="B144">
        <v>1934</v>
      </c>
      <c r="C144" s="4">
        <v>192</v>
      </c>
      <c r="D144" s="4">
        <v>940</v>
      </c>
      <c r="E144" s="4">
        <f>SUM(A144:D144)</f>
        <v>3698</v>
      </c>
      <c r="I144">
        <f>E144*K144</f>
        <v>628660</v>
      </c>
      <c r="K144">
        <v>170</v>
      </c>
    </row>
    <row r="145" ht="12.75" hidden="1">
      <c r="I145" s="52">
        <f>I144+I125+I98+I143</f>
        <v>2195647.4359134645</v>
      </c>
    </row>
    <row r="147" spans="8:9" ht="12.75">
      <c r="H147" s="10" t="s">
        <v>124</v>
      </c>
      <c r="I147" s="152">
        <f>I125+I98</f>
        <v>1405554.4359134645</v>
      </c>
    </row>
    <row r="149" spans="8:9" ht="12.75">
      <c r="H149" s="4" t="s">
        <v>123</v>
      </c>
      <c r="I149" s="3">
        <f>I140+I135</f>
        <v>5749.185</v>
      </c>
    </row>
    <row r="150" spans="8:9" ht="12.75">
      <c r="H150" s="4" t="s">
        <v>125</v>
      </c>
      <c r="I150" s="52">
        <v>85</v>
      </c>
    </row>
    <row r="152" spans="8:9" ht="12.75">
      <c r="H152" s="10" t="s">
        <v>126</v>
      </c>
      <c r="I152" s="152">
        <f>I150*I149</f>
        <v>488680.72500000003</v>
      </c>
    </row>
    <row r="154" spans="8:9" ht="12.75">
      <c r="H154" s="10" t="s">
        <v>127</v>
      </c>
      <c r="I154" s="152">
        <f>I152+I147</f>
        <v>1894235.1609134646</v>
      </c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2007-10-29T12:47:13Z</cp:lastPrinted>
  <dcterms:created xsi:type="dcterms:W3CDTF">2001-10-24T18:11:20Z</dcterms:created>
  <dcterms:modified xsi:type="dcterms:W3CDTF">2008-01-07T19:43:36Z</dcterms:modified>
  <cp:category/>
  <cp:version/>
  <cp:contentType/>
  <cp:contentStatus/>
</cp:coreProperties>
</file>