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40" yWindow="15" windowWidth="17850" windowHeight="13260" tabRatio="186" activeTab="0"/>
  </bookViews>
  <sheets>
    <sheet name="M&amp;S" sheetId="1" r:id="rId1"/>
  </sheets>
  <definedNames>
    <definedName name="_xlnm.Print_Area" localSheetId="0">'M&amp;S'!$A$26:$I$122</definedName>
  </definedNames>
  <calcPr fullCalcOnLoad="1"/>
</workbook>
</file>

<file path=xl/sharedStrings.xml><?xml version="1.0" encoding="utf-8"?>
<sst xmlns="http://schemas.openxmlformats.org/spreadsheetml/2006/main" count="121" uniqueCount="103">
  <si>
    <t>$</t>
  </si>
  <si>
    <t>mm</t>
  </si>
  <si>
    <t>m</t>
  </si>
  <si>
    <t>Epoxy volume reqd. (15% void fraction)</t>
  </si>
  <si>
    <t>l</t>
  </si>
  <si>
    <t>Epoxy cost/liter</t>
  </si>
  <si>
    <t>$/l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</si>
  <si>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</si>
  <si>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</si>
  <si>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</si>
  <si>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</si>
  <si>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</si>
  <si>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</si>
  <si>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</si>
  <si>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</si>
  <si>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</si>
  <si>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</si>
  <si>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</si>
  <si>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</si>
  <si>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</si>
  <si>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</si>
  <si>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</si>
  <si>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</si>
  <si>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calculated coil Cu wt.</t>
  </si>
  <si>
    <t>II.  Materials M&amp;S</t>
  </si>
  <si>
    <t>Number of Coils</t>
  </si>
  <si>
    <t>Trim1</t>
  </si>
  <si>
    <t>Epoxy cost per coil</t>
  </si>
  <si>
    <t>Trim2</t>
  </si>
  <si>
    <t>Total Material Cost All Trim Coils</t>
  </si>
  <si>
    <t>Trim Coil Material Estimate</t>
  </si>
  <si>
    <t>Winding geometry</t>
  </si>
  <si>
    <t>Total Cost All Coils</t>
  </si>
  <si>
    <t>Total Cost for Fixtures</t>
  </si>
  <si>
    <t>Trim3</t>
  </si>
  <si>
    <t>Trim4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</si>
  <si>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</si>
  <si>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</si>
  <si>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</si>
  <si>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</si>
  <si>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</si>
  <si>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</si>
  <si>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</si>
  <si>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</si>
  <si>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</si>
  <si>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</si>
  <si>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</si>
  <si>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</si>
  <si>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</si>
  <si>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</si>
  <si>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</si>
  <si>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</si>
  <si>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</si>
  <si>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Hours to Position Coil and mark locations</t>
  </si>
  <si>
    <t>`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</si>
  <si>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</si>
  <si>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</si>
  <si>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</si>
  <si>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</si>
  <si>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</si>
  <si>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</si>
  <si>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Total Hours</t>
  </si>
  <si>
    <t>Total Cost</t>
  </si>
  <si>
    <t>Cost for Hardware adjusted for uncertainty</t>
  </si>
  <si>
    <t>Cost Man-hours</t>
  </si>
  <si>
    <t>Cost Total M&amp;S</t>
  </si>
  <si>
    <t>Technicican Rate</t>
  </si>
  <si>
    <t>Eng Rate</t>
  </si>
  <si>
    <t>Weeks for two technicians per Field Period</t>
  </si>
  <si>
    <t>Weeks for four technicians per Field Period</t>
  </si>
  <si>
    <t>Total # Coils</t>
  </si>
  <si>
    <t>Contingency</t>
  </si>
  <si>
    <t>Conductor With Insulation Cost Per LB</t>
  </si>
  <si>
    <t>Vendor quote</t>
  </si>
  <si>
    <t>Conductor With Insulation Cost Per Coil</t>
  </si>
  <si>
    <t>$300 per gallon as paid for Modular coils. Vendor under Contract</t>
  </si>
  <si>
    <t>Material Costs Epoxy all Coils</t>
  </si>
  <si>
    <t>Material Costs Conductor with Insulation all Coils</t>
  </si>
  <si>
    <t>Material Costs Total</t>
  </si>
  <si>
    <t>U Brackets</t>
  </si>
  <si>
    <t>3/4 SS</t>
  </si>
  <si>
    <t>Brackets</t>
  </si>
  <si>
    <t># of Bolts</t>
  </si>
  <si>
    <t>Cost per Bolt</t>
  </si>
  <si>
    <t>Cost per Nut</t>
  </si>
  <si>
    <t>Cost per Washer</t>
  </si>
  <si>
    <t>Hardware Cost</t>
  </si>
  <si>
    <t>Forming U Bracket</t>
  </si>
  <si>
    <t># U Brackets</t>
  </si>
  <si>
    <t>Cost</t>
  </si>
  <si>
    <t>Water Jet</t>
  </si>
  <si>
    <t>Hrs per Coil</t>
  </si>
  <si>
    <t>Total Hrs</t>
  </si>
  <si>
    <t>$ per Hr</t>
  </si>
  <si>
    <t>Fabricate Assembly</t>
  </si>
  <si>
    <t>All Coils</t>
  </si>
  <si>
    <t>Uncertainty Factor</t>
  </si>
  <si>
    <t>U Channel Material Cost</t>
  </si>
  <si>
    <t>Bracket Material Cost</t>
  </si>
  <si>
    <t>.75 inch Plate Cost</t>
  </si>
  <si>
    <t>Bend and Drill Brackets</t>
  </si>
  <si>
    <t>G10 Insulator Fabrication</t>
  </si>
  <si>
    <t>G10 Block Fabrication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</si>
</sst>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2" xfId="0" applyFont="1" applyFill="1" applyBorder="1" applyAlignment="1">
      <alignment wrapText="1"/>
    </xf>
    <xf numFmtId="174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wrapText="1"/>
    </xf>
    <xf numFmtId="11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66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166" fontId="1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166" fontId="9" fillId="0" borderId="9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0" fontId="9" fillId="0" borderId="9" xfId="0" applyFont="1" applyBorder="1" applyAlignment="1">
      <alignment/>
    </xf>
    <xf numFmtId="1" fontId="9" fillId="0" borderId="9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9" fillId="0" borderId="2" xfId="0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11" xfId="0" applyNumberFormat="1" applyFont="1" applyFill="1" applyBorder="1" applyAlignment="1">
      <alignment/>
    </xf>
    <xf numFmtId="166" fontId="0" fillId="0" borderId="12" xfId="0" applyNumberFormat="1" applyBorder="1" applyAlignment="1">
      <alignment/>
    </xf>
    <xf numFmtId="166" fontId="1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" fontId="8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" fontId="12" fillId="0" borderId="9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8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1" fontId="14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9" fontId="9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2" fontId="1" fillId="0" borderId="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8" fillId="0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" fontId="14" fillId="0" borderId="6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165" fontId="1" fillId="0" borderId="2" xfId="0" applyNumberFormat="1" applyFont="1" applyFill="1" applyBorder="1" applyAlignment="1">
      <alignment horizontal="center" wrapText="1"/>
    </xf>
    <xf numFmtId="174" fontId="0" fillId="0" borderId="5" xfId="0" applyNumberFormat="1" applyFont="1" applyFill="1" applyBorder="1" applyAlignment="1">
      <alignment wrapText="1"/>
    </xf>
    <xf numFmtId="174" fontId="5" fillId="0" borderId="2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wrapText="1"/>
    </xf>
    <xf numFmtId="165" fontId="15" fillId="0" borderId="8" xfId="0" applyNumberFormat="1" applyFont="1" applyFill="1" applyBorder="1" applyAlignment="1">
      <alignment wrapText="1"/>
    </xf>
    <xf numFmtId="0" fontId="9" fillId="0" borderId="9" xfId="0" applyFont="1" applyFill="1" applyBorder="1" applyAlignment="1">
      <alignment/>
    </xf>
    <xf numFmtId="166" fontId="8" fillId="0" borderId="9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9" fontId="1" fillId="0" borderId="2" xfId="0" applyNumberFormat="1" applyFont="1" applyBorder="1" applyAlignment="1">
      <alignment wrapText="1"/>
    </xf>
    <xf numFmtId="0" fontId="0" fillId="0" borderId="7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24" xfId="0" applyNumberFormat="1" applyBorder="1" applyAlignment="1">
      <alignment/>
    </xf>
    <xf numFmtId="0" fontId="9" fillId="0" borderId="8" xfId="0" applyFont="1" applyFill="1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 wrapText="1"/>
    </xf>
    <xf numFmtId="0" fontId="9" fillId="0" borderId="7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166" fontId="9" fillId="0" borderId="4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25" zoomScaleNormal="125" workbookViewId="0" topLeftCell="A59">
      <selection activeCell="J97" sqref="J97"/>
    </sheetView>
  </sheetViews>
  <sheetFormatPr defaultColWidth="9.140625" defaultRowHeight="12.75"/>
  <cols>
    <col min="1" max="1" width="47.421875" style="0" customWidth="1"/>
    <col min="2" max="2" width="9.00390625" style="0" customWidth="1"/>
    <col min="3" max="3" width="10.00390625" style="3" customWidth="1"/>
    <col min="4" max="4" width="9.140625" style="3" customWidth="1"/>
    <col min="5" max="5" width="9.57421875" style="3" customWidth="1"/>
    <col min="6" max="6" width="9.8515625" style="3" customWidth="1"/>
    <col min="7" max="7" width="11.28125" style="3" customWidth="1"/>
    <col min="8" max="8" width="9.8515625" style="3" customWidth="1"/>
    <col min="9" max="9" width="12.421875" style="0" customWidth="1"/>
    <col min="10" max="10" width="11.421875" style="0" customWidth="1"/>
    <col min="11" max="11" width="11.00390625" style="0" customWidth="1"/>
  </cols>
  <sheetData>
    <row r="1" spans="1:2" ht="12.75" hidden="1">
      <c r="A1" s="8"/>
      <c r="B1" s="3"/>
    </row>
    <row r="2" spans="1:2" ht="12.75" hidden="1">
      <c r="A2" s="3"/>
      <c r="B2" s="9"/>
    </row>
    <row r="3" spans="1:2" ht="12.75" hidden="1">
      <c r="A3" s="3"/>
      <c r="B3" s="9"/>
    </row>
    <row r="4" spans="1:2" ht="12.75" hidden="1">
      <c r="A4" s="3"/>
      <c r="B4" s="9"/>
    </row>
    <row r="5" spans="1:2" ht="12.75" hidden="1">
      <c r="A5" s="3"/>
      <c r="B5" s="9"/>
    </row>
    <row r="6" spans="1:2" ht="12.75" hidden="1">
      <c r="A6" s="10"/>
      <c r="B6" s="9"/>
    </row>
    <row r="7" spans="1:2" ht="12.75" hidden="1">
      <c r="A7" s="3"/>
      <c r="B7" s="3"/>
    </row>
    <row r="8" spans="1:8" ht="12.75">
      <c r="A8" s="8"/>
      <c r="B8" s="3"/>
      <c r="C8" s="13" t="s">
        <v>26</v>
      </c>
      <c r="D8" s="13" t="s">
        <v>28</v>
      </c>
      <c r="E8" s="13" t="s">
        <v>34</v>
      </c>
      <c r="F8" s="13" t="s">
        <v>35</v>
      </c>
      <c r="G8" s="65" t="s">
        <v>57</v>
      </c>
      <c r="H8" s="65" t="s">
        <v>58</v>
      </c>
    </row>
    <row r="9" spans="1:2" ht="12.75">
      <c r="A9" s="8"/>
      <c r="B9" s="3"/>
    </row>
    <row r="10" spans="1:2" ht="12.75">
      <c r="A10" s="8" t="s">
        <v>31</v>
      </c>
      <c r="B10" s="3"/>
    </row>
    <row r="11" spans="1:12" ht="12.75">
      <c r="A11" s="11"/>
      <c r="B11" s="11"/>
      <c r="C11" s="12"/>
      <c r="D11" s="12"/>
      <c r="E11" s="12"/>
      <c r="F11" s="12"/>
      <c r="G11" s="12"/>
      <c r="H11" s="12"/>
      <c r="I11" s="7"/>
      <c r="J11" s="6"/>
      <c r="K11" s="2"/>
      <c r="L11" s="2"/>
    </row>
    <row r="12" spans="1:12" ht="12.75">
      <c r="A12" s="15" t="s">
        <v>8</v>
      </c>
      <c r="B12" s="15" t="s">
        <v>9</v>
      </c>
      <c r="C12" s="16">
        <v>0.5219446</v>
      </c>
      <c r="D12" s="16">
        <v>0.5219446</v>
      </c>
      <c r="E12" s="16">
        <v>0.5219446</v>
      </c>
      <c r="F12" s="16">
        <v>0.5219446</v>
      </c>
      <c r="G12" s="16">
        <v>0.5219446</v>
      </c>
      <c r="H12" s="16">
        <v>0.5219446</v>
      </c>
      <c r="I12" s="4"/>
      <c r="J12" s="5"/>
      <c r="K12" s="1"/>
      <c r="L12" s="1"/>
    </row>
    <row r="13" spans="1:8" ht="12.75">
      <c r="A13" s="15" t="s">
        <v>10</v>
      </c>
      <c r="B13" s="15" t="s">
        <v>1</v>
      </c>
      <c r="C13" s="17">
        <f aca="true" t="shared" si="0" ref="C13:H13">C20*2+2.8</f>
        <v>28.8</v>
      </c>
      <c r="D13" s="17">
        <f t="shared" si="0"/>
        <v>28.8</v>
      </c>
      <c r="E13" s="17">
        <f t="shared" si="0"/>
        <v>28.8</v>
      </c>
      <c r="F13" s="17">
        <f t="shared" si="0"/>
        <v>28.8</v>
      </c>
      <c r="G13" s="17">
        <f t="shared" si="0"/>
        <v>28.8</v>
      </c>
      <c r="H13" s="17">
        <f t="shared" si="0"/>
        <v>28.8</v>
      </c>
    </row>
    <row r="14" spans="1:8" ht="12.75">
      <c r="A14" s="15" t="s">
        <v>11</v>
      </c>
      <c r="B14" s="15" t="s">
        <v>1</v>
      </c>
      <c r="C14" s="17">
        <f aca="true" t="shared" si="1" ref="C14:H14">C13</f>
        <v>28.8</v>
      </c>
      <c r="D14" s="17">
        <f t="shared" si="1"/>
        <v>28.8</v>
      </c>
      <c r="E14" s="17">
        <f t="shared" si="1"/>
        <v>28.8</v>
      </c>
      <c r="F14" s="17">
        <f t="shared" si="1"/>
        <v>28.8</v>
      </c>
      <c r="G14" s="17">
        <f t="shared" si="1"/>
        <v>28.8</v>
      </c>
      <c r="H14" s="17">
        <f t="shared" si="1"/>
        <v>28.8</v>
      </c>
    </row>
    <row r="15" spans="1:8" ht="12.75">
      <c r="A15" s="15" t="s">
        <v>12</v>
      </c>
      <c r="B15" s="15"/>
      <c r="C15" s="18">
        <v>4</v>
      </c>
      <c r="D15" s="18">
        <v>4</v>
      </c>
      <c r="E15" s="18">
        <v>4</v>
      </c>
      <c r="F15" s="18">
        <v>4</v>
      </c>
      <c r="G15" s="18">
        <v>4</v>
      </c>
      <c r="H15" s="18">
        <v>4</v>
      </c>
    </row>
    <row r="16" spans="1:8" ht="12.75">
      <c r="A16" s="15" t="s">
        <v>13</v>
      </c>
      <c r="B16" s="15"/>
      <c r="C16" s="17">
        <v>0.75</v>
      </c>
      <c r="D16" s="17">
        <v>0.75</v>
      </c>
      <c r="E16" s="17">
        <v>0.75</v>
      </c>
      <c r="F16" s="17">
        <v>0.75</v>
      </c>
      <c r="G16" s="17">
        <v>0.75</v>
      </c>
      <c r="H16" s="17">
        <v>0.75</v>
      </c>
    </row>
    <row r="17" spans="1:8" ht="12.75">
      <c r="A17" s="15" t="s">
        <v>15</v>
      </c>
      <c r="B17" s="15" t="s">
        <v>2</v>
      </c>
      <c r="C17" s="87">
        <v>4.64</v>
      </c>
      <c r="D17" s="87">
        <f>(26.7*2+16+27)*0.0254</f>
        <v>2.44856</v>
      </c>
      <c r="E17" s="87">
        <v>2.22</v>
      </c>
      <c r="F17" s="87">
        <f>(13.85*2+24+22.25*2)*0.0254</f>
        <v>2.44348</v>
      </c>
      <c r="G17" s="17"/>
      <c r="H17" s="17"/>
    </row>
    <row r="18" spans="1:8" ht="12.75">
      <c r="A18" s="15" t="s">
        <v>16</v>
      </c>
      <c r="B18" s="15" t="s">
        <v>2</v>
      </c>
      <c r="C18" s="17">
        <f aca="true" t="shared" si="2" ref="C18:H18">C17*C15</f>
        <v>18.56</v>
      </c>
      <c r="D18" s="17">
        <f t="shared" si="2"/>
        <v>9.79424</v>
      </c>
      <c r="E18" s="17">
        <f t="shared" si="2"/>
        <v>8.88</v>
      </c>
      <c r="F18" s="17">
        <f t="shared" si="2"/>
        <v>9.77392</v>
      </c>
      <c r="G18" s="17">
        <f t="shared" si="2"/>
        <v>0</v>
      </c>
      <c r="H18" s="17">
        <f t="shared" si="2"/>
        <v>0</v>
      </c>
    </row>
    <row r="19" spans="1:8" ht="12.75">
      <c r="A19" s="15" t="s">
        <v>17</v>
      </c>
      <c r="B19" s="15" t="s">
        <v>1</v>
      </c>
      <c r="C19" s="17">
        <v>13</v>
      </c>
      <c r="D19" s="17">
        <v>13</v>
      </c>
      <c r="E19" s="17">
        <v>13</v>
      </c>
      <c r="F19" s="17">
        <v>13</v>
      </c>
      <c r="G19" s="17">
        <v>13</v>
      </c>
      <c r="H19" s="17">
        <v>13</v>
      </c>
    </row>
    <row r="20" spans="1:8" ht="12.75">
      <c r="A20" s="15" t="s">
        <v>18</v>
      </c>
      <c r="B20" s="15" t="s">
        <v>1</v>
      </c>
      <c r="C20" s="17">
        <v>13</v>
      </c>
      <c r="D20" s="17">
        <v>13</v>
      </c>
      <c r="E20" s="17">
        <v>13</v>
      </c>
      <c r="F20" s="17">
        <v>13</v>
      </c>
      <c r="G20" s="17">
        <v>13</v>
      </c>
      <c r="H20" s="17">
        <v>13</v>
      </c>
    </row>
    <row r="21" spans="1:8" ht="12.75">
      <c r="A21" s="15" t="s">
        <v>19</v>
      </c>
      <c r="B21" s="15" t="s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2.75">
      <c r="A22" s="15" t="s">
        <v>20</v>
      </c>
      <c r="B22" s="15" t="s">
        <v>1</v>
      </c>
      <c r="C22" s="17">
        <v>1.016</v>
      </c>
      <c r="D22" s="17">
        <v>1.016</v>
      </c>
      <c r="E22" s="17">
        <v>1.016</v>
      </c>
      <c r="F22" s="17">
        <v>1.016</v>
      </c>
      <c r="G22" s="17">
        <v>1.016</v>
      </c>
      <c r="H22" s="17">
        <v>1.016</v>
      </c>
    </row>
    <row r="23" spans="1:8" ht="12.75">
      <c r="A23" s="15" t="s">
        <v>21</v>
      </c>
      <c r="B23" s="15" t="s">
        <v>22</v>
      </c>
      <c r="C23" s="17">
        <f aca="true" t="shared" si="3" ref="C23:H23">C20*C19-((4-PI())*C22*C22)-PI()*C21^2/4</f>
        <v>168.11390386622398</v>
      </c>
      <c r="D23" s="17">
        <f t="shared" si="3"/>
        <v>168.11390386622398</v>
      </c>
      <c r="E23" s="17">
        <f t="shared" si="3"/>
        <v>168.11390386622398</v>
      </c>
      <c r="F23" s="17">
        <f t="shared" si="3"/>
        <v>168.11390386622398</v>
      </c>
      <c r="G23" s="17">
        <f t="shared" si="3"/>
        <v>168.11390386622398</v>
      </c>
      <c r="H23" s="17">
        <f t="shared" si="3"/>
        <v>168.11390386622398</v>
      </c>
    </row>
    <row r="24" spans="1:8" ht="12.75">
      <c r="A24" s="15" t="s">
        <v>23</v>
      </c>
      <c r="B24" s="15" t="s">
        <v>14</v>
      </c>
      <c r="C24" s="17">
        <f aca="true" t="shared" si="4" ref="C24:H24">C18*1000*C23*$B25</f>
        <v>26.77126499839606</v>
      </c>
      <c r="D24" s="17">
        <f t="shared" si="4"/>
        <v>14.127381169067382</v>
      </c>
      <c r="E24" s="17">
        <f t="shared" si="4"/>
        <v>12.80866558112915</v>
      </c>
      <c r="F24" s="17">
        <f t="shared" si="4"/>
        <v>14.098071249629486</v>
      </c>
      <c r="G24" s="17">
        <f t="shared" si="4"/>
        <v>0</v>
      </c>
      <c r="H24" s="17">
        <f t="shared" si="4"/>
        <v>0</v>
      </c>
    </row>
    <row r="25" spans="1:8" ht="12.75">
      <c r="A25" s="19" t="s">
        <v>7</v>
      </c>
      <c r="B25" s="20">
        <v>8.58E-06</v>
      </c>
      <c r="C25" s="21"/>
      <c r="D25" s="21"/>
      <c r="E25" s="21"/>
      <c r="F25" s="21"/>
      <c r="G25" s="21"/>
      <c r="H25" s="21"/>
    </row>
    <row r="26" spans="1:2" ht="12.75">
      <c r="A26" s="3"/>
      <c r="B26" s="3"/>
    </row>
    <row r="27" spans="1:2" ht="16.5" thickBot="1">
      <c r="A27" s="89" t="s">
        <v>30</v>
      </c>
      <c r="B27" s="3"/>
    </row>
    <row r="28" spans="1:9" ht="13.5" thickBot="1">
      <c r="A28" s="88"/>
      <c r="B28" s="88"/>
      <c r="C28" s="90" t="s">
        <v>26</v>
      </c>
      <c r="D28" s="90" t="s">
        <v>28</v>
      </c>
      <c r="E28" s="90" t="s">
        <v>34</v>
      </c>
      <c r="F28" s="90" t="s">
        <v>35</v>
      </c>
      <c r="G28" s="91" t="s">
        <v>70</v>
      </c>
      <c r="I28" s="80"/>
    </row>
    <row r="29" spans="1:9" ht="12.75">
      <c r="A29" s="92" t="s">
        <v>24</v>
      </c>
      <c r="B29" s="93"/>
      <c r="C29" s="94"/>
      <c r="D29" s="94"/>
      <c r="E29" s="94"/>
      <c r="F29" s="94"/>
      <c r="G29" s="95"/>
      <c r="I29" s="81"/>
    </row>
    <row r="30" spans="1:9" ht="13.5" thickBot="1">
      <c r="A30" s="96" t="s">
        <v>25</v>
      </c>
      <c r="B30" s="97"/>
      <c r="C30" s="67">
        <v>1E-05</v>
      </c>
      <c r="D30" s="67">
        <v>24</v>
      </c>
      <c r="E30" s="67">
        <v>1E-05</v>
      </c>
      <c r="F30" s="67">
        <v>24</v>
      </c>
      <c r="G30" s="98">
        <f>SUM(C30:F30)</f>
        <v>48.00002</v>
      </c>
      <c r="I30" s="82"/>
    </row>
    <row r="31" spans="1:8" ht="12.75">
      <c r="A31" s="96" t="s">
        <v>72</v>
      </c>
      <c r="B31" s="97"/>
      <c r="C31" s="99">
        <v>11.65</v>
      </c>
      <c r="D31" s="99">
        <v>11.65</v>
      </c>
      <c r="E31" s="99">
        <v>11.65</v>
      </c>
      <c r="F31" s="99">
        <v>11.65</v>
      </c>
      <c r="G31" s="100"/>
      <c r="H31" s="3" t="s">
        <v>73</v>
      </c>
    </row>
    <row r="32" spans="1:7" ht="12.75">
      <c r="A32" s="96" t="s">
        <v>74</v>
      </c>
      <c r="B32" s="101" t="s">
        <v>0</v>
      </c>
      <c r="C32" s="99">
        <f>C31*C24*2.205</f>
        <v>687.7069480950476</v>
      </c>
      <c r="D32" s="99">
        <f>D31*D24*2.205</f>
        <v>362.90769931629524</v>
      </c>
      <c r="E32" s="99">
        <f>E31*E24*2.205</f>
        <v>329.0322036144409</v>
      </c>
      <c r="F32" s="99">
        <f>F31*F24*2.205</f>
        <v>362.15477877829466</v>
      </c>
      <c r="G32" s="100"/>
    </row>
    <row r="33" spans="1:7" ht="12.75">
      <c r="A33" s="102" t="s">
        <v>3</v>
      </c>
      <c r="B33" s="103" t="s">
        <v>4</v>
      </c>
      <c r="C33" s="104">
        <f>0.15*C13*C14*(C17)/1000</f>
        <v>0.5772902400000001</v>
      </c>
      <c r="D33" s="104">
        <f>0.15*D13*D14*(D17)/1000</f>
        <v>0.30464004096</v>
      </c>
      <c r="E33" s="104">
        <f>0.15*E13*E14*(E17)/1000</f>
        <v>0.27620352000000004</v>
      </c>
      <c r="F33" s="104">
        <f>0.15*F13*F14*(F17)/1000</f>
        <v>0.30400800768</v>
      </c>
      <c r="G33" s="100"/>
    </row>
    <row r="34" spans="1:10" ht="12.75">
      <c r="A34" s="105" t="s">
        <v>5</v>
      </c>
      <c r="B34" s="106" t="s">
        <v>6</v>
      </c>
      <c r="C34" s="107">
        <v>79.2</v>
      </c>
      <c r="D34" s="107">
        <v>79.2</v>
      </c>
      <c r="E34" s="107">
        <v>79.2</v>
      </c>
      <c r="F34" s="107">
        <v>79.2</v>
      </c>
      <c r="G34" s="108"/>
      <c r="H34" s="3" t="s">
        <v>75</v>
      </c>
      <c r="J34" s="78"/>
    </row>
    <row r="35" spans="1:10" ht="16.5" customHeight="1">
      <c r="A35" s="105" t="s">
        <v>27</v>
      </c>
      <c r="B35" s="101" t="s">
        <v>0</v>
      </c>
      <c r="C35" s="109">
        <f>C34*C33</f>
        <v>45.72138700800001</v>
      </c>
      <c r="D35" s="109">
        <f>D34*D33</f>
        <v>24.127491244032004</v>
      </c>
      <c r="E35" s="109">
        <f>E34*E33</f>
        <v>21.875318784000005</v>
      </c>
      <c r="F35" s="109">
        <f>F34*F33</f>
        <v>24.077434208256</v>
      </c>
      <c r="G35" s="100"/>
      <c r="J35" s="79"/>
    </row>
    <row r="36" spans="1:7" ht="12.75">
      <c r="A36" s="110" t="s">
        <v>76</v>
      </c>
      <c r="B36" s="111"/>
      <c r="C36" s="99">
        <f>C35*C30</f>
        <v>0.0004572138700800001</v>
      </c>
      <c r="D36" s="99">
        <f>D35*D30</f>
        <v>579.0597898567681</v>
      </c>
      <c r="E36" s="99">
        <f>E35*E30</f>
        <v>0.00021875318784000006</v>
      </c>
      <c r="F36" s="99">
        <f>F35*F30</f>
        <v>577.8584209981441</v>
      </c>
      <c r="G36" s="100"/>
    </row>
    <row r="37" spans="1:7" ht="12.75">
      <c r="A37" s="110" t="s">
        <v>77</v>
      </c>
      <c r="B37" s="111"/>
      <c r="C37" s="99">
        <f>C36*C30</f>
        <v>4.572138700800002E-09</v>
      </c>
      <c r="D37" s="99">
        <f>D36*D30</f>
        <v>13897.434956562436</v>
      </c>
      <c r="E37" s="99">
        <f>E36*E30</f>
        <v>2.187531878400001E-09</v>
      </c>
      <c r="F37" s="99">
        <f>F36*F30</f>
        <v>13868.602103955458</v>
      </c>
      <c r="G37" s="100"/>
    </row>
    <row r="38" spans="1:7" ht="16.5" thickBot="1">
      <c r="A38" s="112" t="s">
        <v>78</v>
      </c>
      <c r="B38" s="113"/>
      <c r="C38" s="114">
        <f>C36+C37</f>
        <v>0.0004572184422187009</v>
      </c>
      <c r="D38" s="114">
        <f>D36+D37</f>
        <v>14476.494746419205</v>
      </c>
      <c r="E38" s="114">
        <f>E36+E37</f>
        <v>0.00021875537537187847</v>
      </c>
      <c r="F38" s="114">
        <f>F36+F37</f>
        <v>14446.460524953602</v>
      </c>
      <c r="G38" s="115">
        <f>SUM(C38:F38)</f>
        <v>28922.95594734662</v>
      </c>
    </row>
    <row r="39" spans="1:8" ht="22.5" customHeight="1">
      <c r="A39" s="51"/>
      <c r="B39" s="52"/>
      <c r="C39" s="53"/>
      <c r="D39" s="53"/>
      <c r="E39" s="53"/>
      <c r="F39" s="53"/>
      <c r="G39" s="53"/>
      <c r="H39" s="53"/>
    </row>
    <row r="40" spans="1:9" ht="16.5" thickBot="1">
      <c r="A40" s="46" t="s">
        <v>44</v>
      </c>
      <c r="B40" s="47"/>
      <c r="C40" s="48"/>
      <c r="D40" s="48"/>
      <c r="E40" s="48"/>
      <c r="F40" s="48"/>
      <c r="G40" s="48"/>
      <c r="H40" s="48"/>
      <c r="I40" s="49"/>
    </row>
    <row r="41" spans="1:10" ht="12.75">
      <c r="A41" s="29" t="s">
        <v>29</v>
      </c>
      <c r="B41" s="31"/>
      <c r="C41" s="25"/>
      <c r="D41" s="25"/>
      <c r="E41" s="25"/>
      <c r="F41" s="25"/>
      <c r="G41" s="25"/>
      <c r="H41" s="25"/>
      <c r="I41" s="32">
        <f>G38</f>
        <v>28922.95594734662</v>
      </c>
      <c r="J41" s="84"/>
    </row>
    <row r="42" spans="1:10" ht="12.75">
      <c r="A42" s="27" t="s">
        <v>59</v>
      </c>
      <c r="B42" s="22"/>
      <c r="C42" s="36">
        <v>8450</v>
      </c>
      <c r="D42" s="36">
        <v>7575</v>
      </c>
      <c r="E42" s="36">
        <v>7575</v>
      </c>
      <c r="F42" s="36">
        <v>7575</v>
      </c>
      <c r="G42" s="36"/>
      <c r="H42" s="36"/>
      <c r="I42" s="28"/>
      <c r="J42" s="84"/>
    </row>
    <row r="43" spans="1:10" ht="12.75">
      <c r="A43" t="s">
        <v>60</v>
      </c>
      <c r="B43" s="22"/>
      <c r="C43" s="36">
        <v>8450</v>
      </c>
      <c r="D43" s="36">
        <f>7575*0.85</f>
        <v>6438.75</v>
      </c>
      <c r="E43" s="36">
        <f>E42*0.85</f>
        <v>6438.75</v>
      </c>
      <c r="F43" s="36">
        <f>F42*0.85</f>
        <v>6438.75</v>
      </c>
      <c r="G43" s="36"/>
      <c r="H43" s="36"/>
      <c r="I43" s="28"/>
      <c r="J43" s="84"/>
    </row>
    <row r="44" spans="1:10" ht="12.75">
      <c r="A44" s="33" t="s">
        <v>33</v>
      </c>
      <c r="B44" s="22"/>
      <c r="C44" s="50">
        <v>0</v>
      </c>
      <c r="D44" s="36">
        <v>30000</v>
      </c>
      <c r="E44" s="36">
        <v>0</v>
      </c>
      <c r="F44" s="36">
        <v>30000</v>
      </c>
      <c r="G44" s="50"/>
      <c r="H44" s="50"/>
      <c r="I44" s="34">
        <f>SUM(C44:H44)</f>
        <v>60000</v>
      </c>
      <c r="J44" s="84"/>
    </row>
    <row r="45" spans="1:10" ht="12.75">
      <c r="A45" s="33" t="s">
        <v>55</v>
      </c>
      <c r="B45" s="22"/>
      <c r="C45" s="36">
        <f>C43*C$30</f>
        <v>0.0845</v>
      </c>
      <c r="D45" s="36">
        <f>D43*D$30</f>
        <v>154530</v>
      </c>
      <c r="E45" s="36">
        <f>E43*E$30</f>
        <v>0.0643875</v>
      </c>
      <c r="F45" s="36">
        <f>F43*F$30</f>
        <v>154530</v>
      </c>
      <c r="G45" s="36"/>
      <c r="H45" s="36"/>
      <c r="I45" s="34">
        <f>SUM(C45:H45)</f>
        <v>309060.1488875</v>
      </c>
      <c r="J45" s="84"/>
    </row>
    <row r="46" spans="1:10" ht="12.75">
      <c r="A46" s="27" t="s">
        <v>56</v>
      </c>
      <c r="B46" s="23"/>
      <c r="C46" s="36">
        <f>SUM(C44:C45)+C38</f>
        <v>0.08495721844221871</v>
      </c>
      <c r="D46" s="36">
        <f>SUM(D44:D45)+D38</f>
        <v>199006.4947464192</v>
      </c>
      <c r="E46" s="36">
        <f>SUM(E44:E45)+E38</f>
        <v>0.06460625537537187</v>
      </c>
      <c r="F46" s="36">
        <f>SUM(F44:F45)+F38</f>
        <v>198976.4605249536</v>
      </c>
      <c r="G46" s="36"/>
      <c r="H46" s="36"/>
      <c r="I46" s="35"/>
      <c r="J46" s="84"/>
    </row>
    <row r="47" spans="1:10" ht="12.75">
      <c r="A47" s="27"/>
      <c r="B47" s="30"/>
      <c r="C47" s="24"/>
      <c r="D47" s="24"/>
      <c r="E47" s="24"/>
      <c r="F47" s="24"/>
      <c r="G47" s="24"/>
      <c r="H47" s="24"/>
      <c r="I47" s="35"/>
      <c r="J47" s="84"/>
    </row>
    <row r="48" spans="1:10" ht="16.5" thickBot="1">
      <c r="A48" s="37" t="s">
        <v>32</v>
      </c>
      <c r="B48" s="38"/>
      <c r="C48" s="39"/>
      <c r="D48" s="39"/>
      <c r="E48" s="39"/>
      <c r="F48" s="39"/>
      <c r="G48" s="39"/>
      <c r="H48" s="39"/>
      <c r="I48" s="40">
        <f>SUM(I41:I46)</f>
        <v>397983.1048348466</v>
      </c>
      <c r="J48" s="84"/>
    </row>
    <row r="49" spans="1:10" ht="15.75">
      <c r="A49" s="46"/>
      <c r="B49" s="47"/>
      <c r="C49" s="48"/>
      <c r="D49" s="48"/>
      <c r="E49" s="48"/>
      <c r="F49" s="48"/>
      <c r="G49" s="48"/>
      <c r="H49" s="48"/>
      <c r="I49" s="49"/>
      <c r="J49" s="84"/>
    </row>
    <row r="50" spans="1:10" ht="15.75">
      <c r="A50" s="46"/>
      <c r="B50" s="47"/>
      <c r="C50" s="48"/>
      <c r="D50" s="48"/>
      <c r="E50" s="48"/>
      <c r="F50" s="48"/>
      <c r="G50" s="48"/>
      <c r="H50" s="48"/>
      <c r="I50" s="49"/>
      <c r="J50" s="84"/>
    </row>
    <row r="51" spans="1:10" ht="16.5" thickBot="1">
      <c r="A51" s="46" t="s">
        <v>52</v>
      </c>
      <c r="B51" s="47"/>
      <c r="C51" s="54" t="s">
        <v>46</v>
      </c>
      <c r="J51" s="83" t="s">
        <v>71</v>
      </c>
    </row>
    <row r="52" spans="1:10" ht="15">
      <c r="A52" s="29" t="s">
        <v>29</v>
      </c>
      <c r="B52" s="31"/>
      <c r="C52" s="25"/>
      <c r="D52" s="25"/>
      <c r="E52" s="25"/>
      <c r="F52" s="25"/>
      <c r="G52" s="25"/>
      <c r="H52" s="25"/>
      <c r="I52" s="32">
        <f>G38</f>
        <v>28922.95594734662</v>
      </c>
      <c r="J52" s="55">
        <v>0.5</v>
      </c>
    </row>
    <row r="53" spans="1:10" ht="15">
      <c r="A53" s="27"/>
      <c r="B53" s="22"/>
      <c r="C53" s="21"/>
      <c r="D53" s="21"/>
      <c r="E53" s="21"/>
      <c r="F53" s="21"/>
      <c r="G53" s="21"/>
      <c r="H53" s="21"/>
      <c r="I53" s="28"/>
      <c r="J53" s="85"/>
    </row>
    <row r="54" spans="1:11" ht="15">
      <c r="A54" s="27" t="s">
        <v>45</v>
      </c>
      <c r="B54" s="22"/>
      <c r="C54" s="36">
        <f aca="true" t="shared" si="5" ref="C54:F55">C43</f>
        <v>8450</v>
      </c>
      <c r="D54" s="36">
        <f t="shared" si="5"/>
        <v>6438.75</v>
      </c>
      <c r="E54" s="36">
        <f t="shared" si="5"/>
        <v>6438.75</v>
      </c>
      <c r="F54" s="36">
        <f t="shared" si="5"/>
        <v>6438.75</v>
      </c>
      <c r="G54" s="36"/>
      <c r="H54" s="36"/>
      <c r="I54" s="28"/>
      <c r="J54" s="85"/>
      <c r="K54" t="s">
        <v>54</v>
      </c>
    </row>
    <row r="55" spans="1:10" ht="15">
      <c r="A55" s="33" t="s">
        <v>33</v>
      </c>
      <c r="B55" s="22"/>
      <c r="C55" s="50">
        <f t="shared" si="5"/>
        <v>0</v>
      </c>
      <c r="D55" s="50">
        <f t="shared" si="5"/>
        <v>30000</v>
      </c>
      <c r="E55" s="50">
        <f t="shared" si="5"/>
        <v>0</v>
      </c>
      <c r="F55" s="50">
        <f t="shared" si="5"/>
        <v>30000</v>
      </c>
      <c r="G55" s="76"/>
      <c r="H55" s="76"/>
      <c r="I55" s="34">
        <f>SUM(C55:H55)*(1+J55)</f>
        <v>90000</v>
      </c>
      <c r="J55" s="55">
        <v>0.5</v>
      </c>
    </row>
    <row r="56" spans="1:10" ht="15">
      <c r="A56" s="33" t="s">
        <v>55</v>
      </c>
      <c r="B56" s="22"/>
      <c r="C56" s="36">
        <f>C54*C$30</f>
        <v>0.0845</v>
      </c>
      <c r="D56" s="36">
        <f>D54*D$30</f>
        <v>154530</v>
      </c>
      <c r="E56" s="36">
        <f>E54*E$30</f>
        <v>0.0643875</v>
      </c>
      <c r="F56" s="36">
        <f>F54*F$30</f>
        <v>154530</v>
      </c>
      <c r="G56" s="36"/>
      <c r="H56" s="36"/>
      <c r="I56" s="34">
        <f>SUM(C56:H56)*(1+J56)</f>
        <v>463590.22333125</v>
      </c>
      <c r="J56" s="55">
        <v>0.5</v>
      </c>
    </row>
    <row r="57" spans="1:10" ht="15">
      <c r="A57" s="27" t="s">
        <v>56</v>
      </c>
      <c r="B57" s="23"/>
      <c r="C57" s="36">
        <f>SUM(C55:C56)+C38</f>
        <v>0.08495721844221871</v>
      </c>
      <c r="D57" s="36">
        <f>SUM(D55:D56)+D38</f>
        <v>199006.4947464192</v>
      </c>
      <c r="E57" s="36">
        <f>SUM(E55:E56)+E38</f>
        <v>0.06460625537537187</v>
      </c>
      <c r="F57" s="36">
        <f>SUM(F55:F56)+F38</f>
        <v>198976.4605249536</v>
      </c>
      <c r="G57" s="36"/>
      <c r="H57" s="36"/>
      <c r="I57" s="35"/>
      <c r="J57" s="85"/>
    </row>
    <row r="58" spans="1:10" ht="15.75" thickBot="1">
      <c r="A58" s="27"/>
      <c r="B58" s="30"/>
      <c r="C58" s="24"/>
      <c r="D58" s="24"/>
      <c r="E58" s="24"/>
      <c r="F58" s="24"/>
      <c r="G58" s="24"/>
      <c r="H58" s="24"/>
      <c r="I58" s="57"/>
      <c r="J58" s="85"/>
    </row>
    <row r="59" spans="1:10" ht="16.5" thickBot="1">
      <c r="A59" s="37" t="s">
        <v>32</v>
      </c>
      <c r="B59" s="38"/>
      <c r="C59" s="39"/>
      <c r="D59" s="39"/>
      <c r="E59" s="39"/>
      <c r="F59" s="56"/>
      <c r="G59" s="56"/>
      <c r="H59" s="56"/>
      <c r="I59" s="58">
        <f>SUM(I52:I57)</f>
        <v>582513.1792785967</v>
      </c>
      <c r="J59" s="85"/>
    </row>
    <row r="60" spans="1:10" ht="16.5" thickBot="1">
      <c r="A60" s="46"/>
      <c r="B60" s="47"/>
      <c r="C60" s="48"/>
      <c r="D60" s="48"/>
      <c r="E60" s="48"/>
      <c r="F60" s="48"/>
      <c r="G60" s="48"/>
      <c r="H60" s="48"/>
      <c r="I60" s="49"/>
      <c r="J60" s="85"/>
    </row>
    <row r="61" spans="1:10" ht="12.75">
      <c r="A61" s="124" t="s">
        <v>79</v>
      </c>
      <c r="B61" s="125">
        <f>0.187*(5.2+1.6)*(83+92)*24*G61*0.3</f>
        <v>12817.728000000001</v>
      </c>
      <c r="C61" s="118"/>
      <c r="D61" s="129" t="s">
        <v>97</v>
      </c>
      <c r="E61" s="31"/>
      <c r="F61" s="125"/>
      <c r="G61" s="26">
        <v>8</v>
      </c>
      <c r="H61" s="117"/>
      <c r="I61" s="119"/>
      <c r="J61" s="14"/>
    </row>
    <row r="62" spans="1:9" ht="12.75">
      <c r="A62" s="27" t="s">
        <v>80</v>
      </c>
      <c r="B62" s="22">
        <f>100*48*G62</f>
        <v>38400</v>
      </c>
      <c r="C62" s="52"/>
      <c r="D62" s="27" t="s">
        <v>99</v>
      </c>
      <c r="E62" s="22"/>
      <c r="F62" s="22"/>
      <c r="G62" s="28">
        <v>8</v>
      </c>
      <c r="H62" s="52"/>
      <c r="I62" s="120"/>
    </row>
    <row r="63" spans="1:9" ht="13.5" thickBot="1">
      <c r="A63" s="27" t="s">
        <v>81</v>
      </c>
      <c r="B63" s="22">
        <f>0.5*48*6*G63</f>
        <v>5760</v>
      </c>
      <c r="C63" s="52"/>
      <c r="D63" s="130" t="s">
        <v>98</v>
      </c>
      <c r="E63" s="131"/>
      <c r="F63" s="131"/>
      <c r="G63" s="132">
        <v>40</v>
      </c>
      <c r="H63" s="52"/>
      <c r="I63" s="120"/>
    </row>
    <row r="64" spans="1:10" ht="12.75">
      <c r="A64" s="27"/>
      <c r="B64" s="122">
        <f>SUM(B61:B63)</f>
        <v>56977.728</v>
      </c>
      <c r="C64" s="52"/>
      <c r="D64" s="121"/>
      <c r="E64" s="52"/>
      <c r="F64" s="121"/>
      <c r="G64" s="52"/>
      <c r="H64" s="121"/>
      <c r="I64" s="120"/>
      <c r="J64" s="116"/>
    </row>
    <row r="65" spans="1:9" ht="12.75">
      <c r="A65" s="27"/>
      <c r="B65" s="22"/>
      <c r="C65" s="52"/>
      <c r="D65" s="52"/>
      <c r="E65" s="52"/>
      <c r="F65" s="52"/>
      <c r="G65" s="52"/>
      <c r="H65" s="52"/>
      <c r="I65" s="120"/>
    </row>
    <row r="66" spans="1:9" ht="12.75">
      <c r="A66" s="27" t="s">
        <v>82</v>
      </c>
      <c r="B66" s="22">
        <f>8*4*48</f>
        <v>1536</v>
      </c>
      <c r="C66" s="52"/>
      <c r="D66" s="52"/>
      <c r="E66" s="52"/>
      <c r="F66" s="52"/>
      <c r="G66" s="52"/>
      <c r="H66" s="52"/>
      <c r="I66" s="120"/>
    </row>
    <row r="67" spans="1:9" ht="12.75">
      <c r="A67" s="27" t="s">
        <v>83</v>
      </c>
      <c r="B67" s="22">
        <v>20</v>
      </c>
      <c r="C67" s="52"/>
      <c r="D67" s="52"/>
      <c r="E67" s="52"/>
      <c r="F67" s="52"/>
      <c r="G67" s="52"/>
      <c r="H67" s="52"/>
      <c r="I67" s="120"/>
    </row>
    <row r="68" spans="1:9" ht="12.75">
      <c r="A68" s="27" t="s">
        <v>84</v>
      </c>
      <c r="B68" s="22">
        <v>8</v>
      </c>
      <c r="C68" s="52"/>
      <c r="D68" s="52"/>
      <c r="E68" s="52"/>
      <c r="F68" s="52"/>
      <c r="G68" s="52"/>
      <c r="H68" s="52"/>
      <c r="I68" s="120"/>
    </row>
    <row r="69" spans="1:9" ht="12.75">
      <c r="A69" s="27" t="s">
        <v>85</v>
      </c>
      <c r="B69" s="22">
        <v>5</v>
      </c>
      <c r="C69" s="52"/>
      <c r="D69" s="52"/>
      <c r="E69" s="52"/>
      <c r="F69" s="52"/>
      <c r="G69" s="52"/>
      <c r="H69" s="52"/>
      <c r="I69" s="120"/>
    </row>
    <row r="70" spans="1:10" ht="12.75">
      <c r="A70" s="27" t="s">
        <v>86</v>
      </c>
      <c r="B70" s="122">
        <f>(B67+B68+(5*B69))*B66</f>
        <v>81408</v>
      </c>
      <c r="C70" s="52"/>
      <c r="D70" s="121"/>
      <c r="E70" s="52"/>
      <c r="F70" s="121"/>
      <c r="G70" s="52"/>
      <c r="H70" s="121"/>
      <c r="I70" s="120"/>
      <c r="J70" s="116"/>
    </row>
    <row r="71" spans="1:9" ht="12.75">
      <c r="A71" s="27"/>
      <c r="B71" s="22"/>
      <c r="C71" s="52"/>
      <c r="D71" s="52"/>
      <c r="E71" s="52"/>
      <c r="F71" s="52"/>
      <c r="G71" s="52"/>
      <c r="H71" s="52"/>
      <c r="I71" s="120"/>
    </row>
    <row r="72" spans="1:9" ht="12.75">
      <c r="A72" s="27" t="s">
        <v>87</v>
      </c>
      <c r="B72" s="22">
        <v>27</v>
      </c>
      <c r="C72" s="52"/>
      <c r="D72" s="52"/>
      <c r="E72" s="52"/>
      <c r="F72" s="52"/>
      <c r="G72" s="52"/>
      <c r="H72" s="52"/>
      <c r="I72" s="120"/>
    </row>
    <row r="73" spans="1:9" ht="12.75">
      <c r="A73" s="27" t="s">
        <v>88</v>
      </c>
      <c r="B73" s="22">
        <f>24*5+24*4</f>
        <v>216</v>
      </c>
      <c r="C73" s="52"/>
      <c r="D73" s="52"/>
      <c r="E73" s="52"/>
      <c r="F73" s="52"/>
      <c r="G73" s="52"/>
      <c r="H73" s="52"/>
      <c r="I73" s="120"/>
    </row>
    <row r="74" spans="1:10" ht="12.75">
      <c r="A74" s="27" t="s">
        <v>89</v>
      </c>
      <c r="B74" s="122">
        <f>B73*B72</f>
        <v>5832</v>
      </c>
      <c r="C74" s="52"/>
      <c r="D74" s="121"/>
      <c r="E74" s="52"/>
      <c r="F74" s="121"/>
      <c r="G74" s="52"/>
      <c r="H74" s="121"/>
      <c r="I74" s="120"/>
      <c r="J74" s="116"/>
    </row>
    <row r="75" spans="1:9" ht="12.75">
      <c r="A75" s="27"/>
      <c r="B75" s="22"/>
      <c r="C75" s="52"/>
      <c r="D75" s="52"/>
      <c r="E75" s="52"/>
      <c r="F75" s="52"/>
      <c r="G75" s="52"/>
      <c r="H75" s="52"/>
      <c r="I75" s="120"/>
    </row>
    <row r="76" spans="1:9" ht="12.75">
      <c r="A76" s="27" t="s">
        <v>90</v>
      </c>
      <c r="B76" s="22"/>
      <c r="C76" s="52"/>
      <c r="D76" s="52"/>
      <c r="E76" s="52"/>
      <c r="F76" s="52"/>
      <c r="G76" s="52"/>
      <c r="H76" s="52"/>
      <c r="I76" s="120"/>
    </row>
    <row r="77" spans="1:9" ht="12.75">
      <c r="A77" s="27" t="s">
        <v>91</v>
      </c>
      <c r="B77" s="22">
        <v>8</v>
      </c>
      <c r="C77" s="52"/>
      <c r="D77" s="52"/>
      <c r="E77" s="52"/>
      <c r="F77" s="52"/>
      <c r="G77" s="52"/>
      <c r="H77" s="52"/>
      <c r="I77" s="120"/>
    </row>
    <row r="78" spans="1:9" ht="12.75">
      <c r="A78" s="27" t="s">
        <v>92</v>
      </c>
      <c r="B78" s="22">
        <f>B77*48</f>
        <v>384</v>
      </c>
      <c r="C78" s="52"/>
      <c r="D78" s="52"/>
      <c r="E78" s="52"/>
      <c r="F78" s="52"/>
      <c r="G78" s="52"/>
      <c r="H78" s="52"/>
      <c r="I78" s="120"/>
    </row>
    <row r="79" spans="1:9" ht="12.75" customHeight="1">
      <c r="A79" s="27" t="s">
        <v>93</v>
      </c>
      <c r="B79" s="22">
        <v>84</v>
      </c>
      <c r="C79" s="52"/>
      <c r="D79" s="52"/>
      <c r="E79" s="52"/>
      <c r="F79" s="52"/>
      <c r="G79" s="52"/>
      <c r="H79" s="52"/>
      <c r="I79" s="120"/>
    </row>
    <row r="80" spans="1:10" ht="15.75" customHeight="1">
      <c r="A80" s="27"/>
      <c r="B80" s="122">
        <f>B78*B79</f>
        <v>32256</v>
      </c>
      <c r="C80" s="52"/>
      <c r="D80" s="121"/>
      <c r="E80" s="52"/>
      <c r="F80" s="121"/>
      <c r="G80" s="52"/>
      <c r="H80" s="121"/>
      <c r="I80" s="120"/>
      <c r="J80" s="116"/>
    </row>
    <row r="81" spans="1:9" ht="14.25" customHeight="1">
      <c r="A81" s="27"/>
      <c r="B81" s="22"/>
      <c r="C81" s="52"/>
      <c r="D81" s="52"/>
      <c r="E81" s="52"/>
      <c r="F81" s="52"/>
      <c r="G81" s="52"/>
      <c r="H81" s="52"/>
      <c r="I81" s="120"/>
    </row>
    <row r="82" spans="1:10" ht="12.75">
      <c r="A82" s="27" t="s">
        <v>100</v>
      </c>
      <c r="B82" s="122">
        <f>6*48*2*B79</f>
        <v>48384</v>
      </c>
      <c r="C82" s="52"/>
      <c r="D82" s="121"/>
      <c r="E82" s="52"/>
      <c r="F82" s="121"/>
      <c r="G82" s="52"/>
      <c r="H82" s="121"/>
      <c r="I82" s="120"/>
      <c r="J82" s="116"/>
    </row>
    <row r="83" spans="1:10" ht="12.75">
      <c r="A83" s="27" t="s">
        <v>101</v>
      </c>
      <c r="B83" s="122">
        <f>80*B79</f>
        <v>6720</v>
      </c>
      <c r="C83" s="52"/>
      <c r="D83" s="121"/>
      <c r="E83" s="52"/>
      <c r="F83" s="121"/>
      <c r="G83" s="52"/>
      <c r="H83" s="121"/>
      <c r="I83" s="120"/>
      <c r="J83" s="116"/>
    </row>
    <row r="84" spans="1:10" ht="12.75">
      <c r="A84" s="27" t="s">
        <v>102</v>
      </c>
      <c r="B84" s="122">
        <f>2*3*48*B79</f>
        <v>24192</v>
      </c>
      <c r="C84" s="52"/>
      <c r="D84" s="121"/>
      <c r="E84" s="52"/>
      <c r="F84" s="121"/>
      <c r="G84" s="52"/>
      <c r="H84" s="121"/>
      <c r="I84" s="120"/>
      <c r="J84" s="116"/>
    </row>
    <row r="85" spans="1:9" ht="12.75">
      <c r="A85" s="27"/>
      <c r="B85" s="22"/>
      <c r="C85" s="52"/>
      <c r="D85" s="52"/>
      <c r="E85" s="52"/>
      <c r="F85" s="52"/>
      <c r="G85" s="52"/>
      <c r="H85" s="52"/>
      <c r="I85" s="120"/>
    </row>
    <row r="86" spans="1:9" ht="12.75">
      <c r="A86" s="27" t="s">
        <v>94</v>
      </c>
      <c r="B86" s="22">
        <v>16</v>
      </c>
      <c r="C86" s="52"/>
      <c r="D86" s="52"/>
      <c r="E86" s="52"/>
      <c r="F86" s="52"/>
      <c r="G86" s="52"/>
      <c r="H86" s="52"/>
      <c r="I86" s="120"/>
    </row>
    <row r="87" spans="1:9" ht="12.75">
      <c r="A87" s="27" t="s">
        <v>95</v>
      </c>
      <c r="B87" s="22">
        <f>B86*48</f>
        <v>768</v>
      </c>
      <c r="C87" s="52"/>
      <c r="D87" s="52"/>
      <c r="E87" s="52"/>
      <c r="F87" s="52"/>
      <c r="G87" s="52"/>
      <c r="H87" s="52"/>
      <c r="I87" s="120"/>
    </row>
    <row r="88" spans="1:10" ht="12.75">
      <c r="A88" s="27" t="s">
        <v>89</v>
      </c>
      <c r="B88" s="122">
        <f>B87*B79</f>
        <v>64512</v>
      </c>
      <c r="C88" s="52"/>
      <c r="D88" s="121"/>
      <c r="E88" s="52"/>
      <c r="F88" s="121"/>
      <c r="G88" s="52"/>
      <c r="H88" s="121"/>
      <c r="I88" s="120"/>
      <c r="J88" s="116"/>
    </row>
    <row r="89" spans="1:9" ht="12.75">
      <c r="A89" s="27"/>
      <c r="B89" s="22"/>
      <c r="C89" s="52"/>
      <c r="D89" s="52"/>
      <c r="E89" s="52"/>
      <c r="F89" s="52"/>
      <c r="G89" s="52"/>
      <c r="H89" s="52"/>
      <c r="I89" s="120"/>
    </row>
    <row r="90" spans="1:9" ht="12.75">
      <c r="A90" s="27"/>
      <c r="B90" s="22"/>
      <c r="C90" s="52"/>
      <c r="D90" s="52"/>
      <c r="E90" s="52"/>
      <c r="F90" s="52"/>
      <c r="G90" s="52"/>
      <c r="H90" s="52"/>
      <c r="I90" s="120"/>
    </row>
    <row r="91" spans="1:10" ht="12.75">
      <c r="A91" s="27" t="s">
        <v>62</v>
      </c>
      <c r="B91" s="122">
        <f>B88+B82+B80+B74+B70+B64</f>
        <v>289369.728</v>
      </c>
      <c r="C91" s="52"/>
      <c r="D91" s="121"/>
      <c r="E91" s="52"/>
      <c r="F91" s="121"/>
      <c r="G91" s="52"/>
      <c r="H91" s="121"/>
      <c r="I91" s="120"/>
      <c r="J91" s="116"/>
    </row>
    <row r="92" spans="1:10" ht="15">
      <c r="A92" s="27" t="s">
        <v>96</v>
      </c>
      <c r="B92" s="123">
        <v>0.25</v>
      </c>
      <c r="C92" s="126"/>
      <c r="D92" s="126"/>
      <c r="E92" s="126"/>
      <c r="F92" s="126"/>
      <c r="G92" s="126"/>
      <c r="H92" s="126"/>
      <c r="I92" s="127"/>
      <c r="J92" s="85"/>
    </row>
    <row r="93" spans="1:10" ht="15.75" thickBot="1">
      <c r="A93" s="133"/>
      <c r="B93" s="134"/>
      <c r="C93" s="126"/>
      <c r="D93" s="126"/>
      <c r="E93" s="126"/>
      <c r="F93" s="126"/>
      <c r="G93" s="126"/>
      <c r="H93" s="126"/>
      <c r="I93" s="127"/>
      <c r="J93" s="85"/>
    </row>
    <row r="94" spans="1:10" ht="15">
      <c r="A94" s="135" t="s">
        <v>36</v>
      </c>
      <c r="B94" s="136"/>
      <c r="C94" s="137"/>
      <c r="D94" s="137"/>
      <c r="E94" s="137"/>
      <c r="F94" s="137"/>
      <c r="G94" s="137"/>
      <c r="H94" s="137"/>
      <c r="I94" s="138">
        <f>B91</f>
        <v>289369.728</v>
      </c>
      <c r="J94" s="86"/>
    </row>
    <row r="95" spans="1:10" ht="16.5" thickBot="1">
      <c r="A95" s="128" t="s">
        <v>63</v>
      </c>
      <c r="B95" s="41"/>
      <c r="C95" s="113"/>
      <c r="D95" s="113"/>
      <c r="E95" s="113"/>
      <c r="F95" s="113"/>
      <c r="G95" s="113"/>
      <c r="H95" s="113"/>
      <c r="I95" s="139">
        <f>I94+I94*B92</f>
        <v>361712.16000000003</v>
      </c>
      <c r="J95" s="84"/>
    </row>
    <row r="96" ht="12.75">
      <c r="J96" s="84"/>
    </row>
    <row r="97" ht="13.5" thickBot="1">
      <c r="J97" s="84"/>
    </row>
    <row r="98" spans="1:10" ht="12.75">
      <c r="A98" s="29" t="s">
        <v>37</v>
      </c>
      <c r="B98" s="31"/>
      <c r="C98" s="25"/>
      <c r="D98" s="25"/>
      <c r="E98" s="25"/>
      <c r="F98" s="25"/>
      <c r="G98" s="66"/>
      <c r="H98" s="66"/>
      <c r="I98" s="26"/>
      <c r="J98" s="84"/>
    </row>
    <row r="99" spans="1:10" ht="15.75" thickBot="1">
      <c r="A99" s="59" t="s">
        <v>51</v>
      </c>
      <c r="B99" s="60"/>
      <c r="C99" s="42">
        <v>20</v>
      </c>
      <c r="D99" s="42">
        <v>20</v>
      </c>
      <c r="E99" s="42">
        <v>20</v>
      </c>
      <c r="F99" s="42">
        <v>20</v>
      </c>
      <c r="G99" s="77"/>
      <c r="H99" s="77"/>
      <c r="I99" s="61"/>
      <c r="J99" s="84"/>
    </row>
    <row r="100" spans="1:10" ht="15.75" thickBot="1">
      <c r="A100" s="64" t="s">
        <v>53</v>
      </c>
      <c r="B100" s="60"/>
      <c r="C100" s="42">
        <v>6</v>
      </c>
      <c r="D100" s="42">
        <v>6</v>
      </c>
      <c r="E100" s="42">
        <v>6</v>
      </c>
      <c r="F100" s="42">
        <v>6</v>
      </c>
      <c r="G100" s="42"/>
      <c r="H100" s="42"/>
      <c r="I100" s="61"/>
      <c r="J100" s="84"/>
    </row>
    <row r="101" spans="1:10" ht="15.75" thickBot="1">
      <c r="A101" s="27" t="s">
        <v>38</v>
      </c>
      <c r="B101" s="22"/>
      <c r="C101" s="42">
        <v>1</v>
      </c>
      <c r="D101" s="42">
        <v>1</v>
      </c>
      <c r="E101" s="42">
        <v>1</v>
      </c>
      <c r="F101" s="42">
        <v>1</v>
      </c>
      <c r="G101" s="42"/>
      <c r="H101" s="42"/>
      <c r="I101" s="28"/>
      <c r="J101" s="84"/>
    </row>
    <row r="102" spans="1:10" ht="15.75" thickBot="1">
      <c r="A102" s="27" t="s">
        <v>39</v>
      </c>
      <c r="B102" s="22"/>
      <c r="C102" s="42">
        <f>C101*C17*2</f>
        <v>9.28</v>
      </c>
      <c r="D102" s="42">
        <f>D101*D17*2</f>
        <v>4.89712</v>
      </c>
      <c r="E102" s="42">
        <f>E101*E17*2</f>
        <v>4.44</v>
      </c>
      <c r="F102" s="42">
        <f>F101*F17*2</f>
        <v>4.88696</v>
      </c>
      <c r="G102" s="42"/>
      <c r="H102" s="42"/>
      <c r="I102" s="28"/>
      <c r="J102" s="84"/>
    </row>
    <row r="103" spans="1:10" ht="15.75" thickBot="1">
      <c r="A103" s="27" t="s">
        <v>40</v>
      </c>
      <c r="B103" s="22"/>
      <c r="C103" s="42">
        <v>6</v>
      </c>
      <c r="D103" s="42">
        <v>4</v>
      </c>
      <c r="E103" s="42">
        <v>4</v>
      </c>
      <c r="F103" s="42">
        <v>4</v>
      </c>
      <c r="G103" s="42"/>
      <c r="H103" s="42"/>
      <c r="I103" s="28"/>
      <c r="J103" s="84"/>
    </row>
    <row r="104" spans="1:10" ht="15.75" thickBot="1">
      <c r="A104" s="27" t="s">
        <v>50</v>
      </c>
      <c r="B104" s="22"/>
      <c r="C104" s="42">
        <f>C105*0.1/2</f>
        <v>2.00002128</v>
      </c>
      <c r="D104" s="42">
        <f>D105*0.1/2</f>
        <v>37.753088000000005</v>
      </c>
      <c r="E104" s="42">
        <f>E105*0.1/2</f>
        <v>2.00001444</v>
      </c>
      <c r="F104" s="42">
        <f>F105*0.1/2</f>
        <v>37.728704</v>
      </c>
      <c r="G104" s="42"/>
      <c r="H104" s="42"/>
      <c r="I104" s="62"/>
      <c r="J104" s="84"/>
    </row>
    <row r="105" spans="1:10" ht="16.5" thickBot="1">
      <c r="A105" s="43" t="s">
        <v>41</v>
      </c>
      <c r="B105" s="44"/>
      <c r="C105" s="42">
        <f>(C99+(C103+C102+C100)*C$30)*2</f>
        <v>40.0004256</v>
      </c>
      <c r="D105" s="42">
        <f>(D99+(D103+D102+D100)*D$30)*2</f>
        <v>755.06176</v>
      </c>
      <c r="E105" s="42">
        <f>(E99+(E103+E102+E100)*E$30)*2</f>
        <v>40.0002888</v>
      </c>
      <c r="F105" s="42">
        <f>(F99+(F103+F102+F100)*F$30)*2</f>
        <v>754.57408</v>
      </c>
      <c r="G105" s="42"/>
      <c r="H105" s="42"/>
      <c r="I105" s="75">
        <f>SUM(C105:H105)</f>
        <v>1589.6365544</v>
      </c>
      <c r="J105" s="84"/>
    </row>
    <row r="106" spans="1:10" ht="16.5" thickBot="1">
      <c r="A106" s="27" t="s">
        <v>47</v>
      </c>
      <c r="B106" s="44"/>
      <c r="C106" s="42">
        <v>20</v>
      </c>
      <c r="D106" s="42">
        <v>20</v>
      </c>
      <c r="E106" s="42">
        <v>20</v>
      </c>
      <c r="F106" s="42">
        <v>20</v>
      </c>
      <c r="G106" s="77"/>
      <c r="H106" s="77"/>
      <c r="I106" s="63"/>
      <c r="J106" s="84"/>
    </row>
    <row r="107" spans="1:10" ht="16.5" thickBot="1">
      <c r="A107" s="27" t="s">
        <v>48</v>
      </c>
      <c r="B107" s="44"/>
      <c r="C107" s="42">
        <v>20</v>
      </c>
      <c r="D107" s="42">
        <v>20</v>
      </c>
      <c r="E107" s="42">
        <v>20</v>
      </c>
      <c r="F107" s="42">
        <v>20</v>
      </c>
      <c r="G107" s="77"/>
      <c r="H107" s="77"/>
      <c r="I107" s="45"/>
      <c r="J107" s="84"/>
    </row>
    <row r="108" spans="1:10" ht="16.5" thickBot="1">
      <c r="A108" s="27" t="s">
        <v>49</v>
      </c>
      <c r="B108" s="44"/>
      <c r="C108" s="42">
        <v>2</v>
      </c>
      <c r="D108" s="42">
        <v>2</v>
      </c>
      <c r="E108" s="42">
        <v>2</v>
      </c>
      <c r="F108" s="42">
        <v>2</v>
      </c>
      <c r="G108" s="42"/>
      <c r="H108" s="42"/>
      <c r="I108" s="45"/>
      <c r="J108" s="84"/>
    </row>
    <row r="109" spans="1:9" ht="15.75" thickBot="1">
      <c r="A109" s="27" t="s">
        <v>42</v>
      </c>
      <c r="B109" s="22"/>
      <c r="C109" s="42">
        <v>4</v>
      </c>
      <c r="D109" s="42">
        <v>4</v>
      </c>
      <c r="E109" s="42">
        <v>4</v>
      </c>
      <c r="F109" s="42">
        <v>4</v>
      </c>
      <c r="G109" s="42"/>
      <c r="H109" s="42"/>
      <c r="I109" s="62"/>
    </row>
    <row r="110" spans="1:9" ht="16.5" thickBot="1">
      <c r="A110" s="37" t="s">
        <v>43</v>
      </c>
      <c r="B110" s="41"/>
      <c r="C110" s="42">
        <v>0</v>
      </c>
      <c r="D110" s="42">
        <f>D109*D$30*2+D107+D106+D104</f>
        <v>269.753088</v>
      </c>
      <c r="E110" s="42">
        <v>0</v>
      </c>
      <c r="F110" s="42">
        <f>F109*F$30*2+F107+F106+F104</f>
        <v>269.728704</v>
      </c>
      <c r="G110" s="42"/>
      <c r="H110" s="42"/>
      <c r="I110" s="75">
        <f>SUM(C110:H110)</f>
        <v>539.481792</v>
      </c>
    </row>
    <row r="113" ht="13.5" thickBot="1"/>
    <row r="114" spans="1:9" ht="16.5" thickBot="1">
      <c r="A114" s="68" t="s">
        <v>68</v>
      </c>
      <c r="B114" s="68"/>
      <c r="C114" s="69">
        <f>I105/80/3</f>
        <v>6.623485643333333</v>
      </c>
      <c r="D114" s="70"/>
      <c r="E114" s="70"/>
      <c r="F114" s="70"/>
      <c r="G114" s="71" t="s">
        <v>65</v>
      </c>
      <c r="H114" s="71"/>
      <c r="I114" s="74">
        <f>I95+I59</f>
        <v>944225.3392785967</v>
      </c>
    </row>
    <row r="115" spans="1:9" ht="15">
      <c r="A115" s="68" t="s">
        <v>69</v>
      </c>
      <c r="B115" s="68"/>
      <c r="C115" s="69">
        <f>C114/2</f>
        <v>3.3117428216666664</v>
      </c>
      <c r="D115" s="70"/>
      <c r="E115" s="70"/>
      <c r="F115" s="70"/>
      <c r="G115" s="70"/>
      <c r="H115" s="70"/>
      <c r="I115" s="68"/>
    </row>
    <row r="116" spans="1:9" ht="15">
      <c r="A116" s="68"/>
      <c r="B116" s="68"/>
      <c r="C116" s="69"/>
      <c r="D116" s="70"/>
      <c r="E116" s="70"/>
      <c r="F116" s="70"/>
      <c r="G116" s="70" t="s">
        <v>61</v>
      </c>
      <c r="H116" s="70"/>
      <c r="I116" s="72">
        <f>I110+I105</f>
        <v>2129.1183464</v>
      </c>
    </row>
    <row r="117" spans="1:9" ht="15">
      <c r="A117" s="68"/>
      <c r="B117" s="68"/>
      <c r="C117" s="70"/>
      <c r="D117" s="70"/>
      <c r="E117" s="70"/>
      <c r="F117" s="70"/>
      <c r="G117" s="70" t="s">
        <v>66</v>
      </c>
      <c r="H117" s="70"/>
      <c r="I117" s="73">
        <v>85</v>
      </c>
    </row>
    <row r="118" spans="1:9" ht="15.75" thickBot="1">
      <c r="A118" s="68"/>
      <c r="B118" s="68"/>
      <c r="C118" s="70"/>
      <c r="D118" s="70"/>
      <c r="E118" s="70"/>
      <c r="F118" s="70"/>
      <c r="G118" s="70" t="s">
        <v>67</v>
      </c>
      <c r="H118" s="70"/>
      <c r="I118" s="73">
        <v>160</v>
      </c>
    </row>
    <row r="119" spans="1:9" ht="16.5" thickBot="1">
      <c r="A119" s="68"/>
      <c r="B119" s="68"/>
      <c r="C119" s="70"/>
      <c r="D119" s="70"/>
      <c r="E119" s="70"/>
      <c r="F119" s="70"/>
      <c r="G119" s="71" t="s">
        <v>64</v>
      </c>
      <c r="H119" s="71"/>
      <c r="I119" s="74">
        <f>I105*I117+I110*I118</f>
        <v>221436.193844</v>
      </c>
    </row>
    <row r="120" spans="1:9" ht="15.75" thickBot="1">
      <c r="A120" s="68"/>
      <c r="B120" s="68"/>
      <c r="C120" s="70"/>
      <c r="D120" s="70"/>
      <c r="E120" s="70"/>
      <c r="F120" s="70"/>
      <c r="G120" s="70"/>
      <c r="H120" s="70"/>
      <c r="I120" s="68"/>
    </row>
    <row r="121" spans="1:9" ht="16.5" thickBot="1">
      <c r="A121" s="68"/>
      <c r="B121" s="68"/>
      <c r="C121" s="70"/>
      <c r="D121" s="70"/>
      <c r="E121" s="70"/>
      <c r="F121" s="70"/>
      <c r="G121" s="71" t="s">
        <v>62</v>
      </c>
      <c r="H121" s="71"/>
      <c r="I121" s="74">
        <f>I119+I114</f>
        <v>1165661.5331225968</v>
      </c>
    </row>
    <row r="122" spans="1:9" ht="15">
      <c r="A122" s="68"/>
      <c r="B122" s="68"/>
      <c r="C122" s="70"/>
      <c r="D122" s="70"/>
      <c r="E122" s="70"/>
      <c r="F122" s="70"/>
      <c r="G122" s="70"/>
      <c r="H122" s="70"/>
      <c r="I122" s="68"/>
    </row>
  </sheetData>
  <printOptions/>
  <pageMargins left="0.45" right="0.45" top="1" bottom="1" header="0.5" footer="0.5"/>
  <pageSetup horizontalDpi="600" verticalDpi="600" orientation="portrait" paperSize="3" r:id="rId1"/>
  <headerFooter alignWithMargins="0">
    <oddHeader>&amp;R&amp;"Arial,Bold"&amp;14&amp;F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2008-02-25T18:15:55Z</cp:lastPrinted>
  <dcterms:created xsi:type="dcterms:W3CDTF">2001-10-24T18:11:20Z</dcterms:created>
  <dcterms:modified xsi:type="dcterms:W3CDTF">2008-05-05T16:24:04Z</dcterms:modified>
  <cp:category/>
  <cp:version/>
  <cp:contentType/>
  <cp:contentStatus/>
</cp:coreProperties>
</file>