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40" windowWidth="17565" windowHeight="12945" tabRatio="186" activeTab="0"/>
  </bookViews>
  <sheets>
    <sheet name="M&amp;S" sheetId="1" r:id="rId1"/>
  </sheets>
  <definedNames>
    <definedName name="_xlnm.Print_Area" localSheetId="0">'M&amp;S'!$A$8:$I$132</definedName>
  </definedNames>
  <calcPr fullCalcOnLoad="1"/>
</workbook>
</file>

<file path=xl/sharedStrings.xml><?xml version="1.0" encoding="utf-8"?>
<sst xmlns="http://schemas.openxmlformats.org/spreadsheetml/2006/main" count="188" uniqueCount="130">
  <si>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</si>
  <si>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</si>
  <si>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</si>
  <si>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</si>
  <si>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</si>
  <si>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</si>
  <si>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</si>
  <si>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</si>
  <si>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</si>
  <si>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</si>
  <si>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</si>
  <si>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</si>
  <si>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</si>
  <si>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</si>
  <si>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</si>
  <si>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</si>
  <si>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</si>
  <si>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</si>
  <si>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</si>
  <si>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</si>
  <si>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</si>
  <si>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</si>
  <si>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</si>
  <si>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</si>
  <si>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</si>
  <si>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</si>
  <si>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</si>
  <si>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</si>
  <si>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</si>
  <si>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</si>
  <si>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</si>
  <si>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</si>
  <si>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</si>
  <si>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</si>
  <si>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</si>
  <si>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</si>
  <si>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</si>
  <si>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</si>
  <si>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</si>
  <si>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</si>
  <si>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</si>
  <si>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</si>
  <si>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</si>
  <si>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</si>
  <si>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</si>
  <si>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</si>
  <si>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</si>
  <si>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</si>
  <si>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</si>
  <si>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</si>
  <si>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</si>
  <si>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</si>
  <si>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</si>
  <si>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</si>
  <si>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</si>
  <si>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</si>
  <si>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</si>
  <si>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</si>
  <si>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</si>
  <si>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</si>
  <si>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</si>
  <si>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</si>
  <si>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</si>
  <si>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</si>
  <si>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</si>
  <si>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</si>
  <si>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</si>
  <si>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</si>
  <si>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Total Cost All Coils</t>
  </si>
  <si>
    <t>Total Cost for Fixtures</t>
  </si>
  <si>
    <t>Trim3</t>
  </si>
  <si>
    <t>Trim4</t>
  </si>
  <si>
    <t>Copper Cost Per Meter</t>
  </si>
  <si>
    <t>Installation Hardware</t>
  </si>
  <si>
    <t>Hardware Cost per 3/8 Bolt (Inconnel)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</si>
  <si>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</si>
  <si>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</si>
  <si>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</si>
  <si>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</si>
  <si>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</si>
  <si>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</si>
  <si>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</si>
  <si>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</si>
  <si>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</si>
  <si>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</si>
  <si>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</si>
  <si>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</si>
  <si>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</si>
  <si>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</si>
  <si>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</si>
  <si>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</si>
  <si>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</si>
  <si>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Hours to Position Coil and mark locations</t>
  </si>
  <si>
    <t>Cost For Installation Fixtures</t>
  </si>
  <si>
    <t>`</t>
  </si>
  <si>
    <t>Trim5</t>
  </si>
  <si>
    <t>Trim6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</si>
  <si>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</si>
  <si>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</si>
  <si>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</si>
  <si>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</si>
  <si>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</si>
  <si>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</si>
  <si>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</si>
  <si>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</si>
  <si>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Total Cost</t>
  </si>
  <si>
    <t>Fabrication Cost per meter</t>
  </si>
  <si>
    <t>Cost for Hardware adjusted for uncertainty</t>
  </si>
  <si>
    <t>Cost of Material for Brackets Total</t>
  </si>
  <si>
    <t>Cost Bracket Fabrication with Materials Total</t>
  </si>
  <si>
    <t>Cost for Clamps per Coil</t>
  </si>
  <si>
    <t>Cost for all Bolts and Studs &amp; Brackets Total</t>
  </si>
  <si>
    <t>Cost for Bolts and Studs per coil</t>
  </si>
  <si>
    <t>$$ per coil for brackets material per coil</t>
  </si>
  <si>
    <t>Cost Man-hours</t>
  </si>
  <si>
    <t>Cost Total M&amp;S</t>
  </si>
  <si>
    <t>Technicican Rate</t>
  </si>
  <si>
    <t>Eng Rate</t>
  </si>
  <si>
    <t>Weeks for two technicians per Field Period</t>
  </si>
  <si>
    <t>Weeks for four technicians per Field Period</t>
  </si>
  <si>
    <t>Total # Coils</t>
  </si>
  <si>
    <t>Contingency</t>
  </si>
  <si>
    <t>Weight LB per meter of stiffening plates</t>
  </si>
  <si>
    <t>Weight LB per meter of Brackets</t>
  </si>
  <si>
    <t>Fabrication Cost per coil</t>
  </si>
  <si>
    <t>Fabrication Cost Total</t>
  </si>
  <si>
    <t>Number of Bolts Per Coil</t>
  </si>
  <si>
    <t>old cost</t>
  </si>
  <si>
    <t>new cost</t>
  </si>
  <si>
    <t>essex cost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</si>
</sst>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166" fontId="1" fillId="0" borderId="22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4" xfId="0" applyNumberFormat="1" applyFont="1" applyFill="1" applyBorder="1" applyAlignment="1">
      <alignment/>
    </xf>
    <xf numFmtId="166" fontId="0" fillId="0" borderId="22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1" fontId="8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Fill="1" applyBorder="1" applyAlignment="1">
      <alignment/>
    </xf>
    <xf numFmtId="166" fontId="1" fillId="0" borderId="3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66" fontId="1" fillId="0" borderId="3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1" fillId="0" borderId="22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8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1" fillId="0" borderId="31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4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1" fontId="14" fillId="0" borderId="3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9" fontId="9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2" fontId="1" fillId="0" borderId="14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="125" zoomScaleNormal="125" workbookViewId="0" topLeftCell="A8">
      <selection activeCell="D25" sqref="D25"/>
    </sheetView>
  </sheetViews>
  <sheetFormatPr defaultColWidth="9.140625" defaultRowHeight="12.75"/>
  <cols>
    <col min="1" max="1" width="47.421875" style="0" customWidth="1"/>
    <col min="2" max="2" width="8.140625" style="0" customWidth="1"/>
    <col min="3" max="3" width="10.00390625" style="3" customWidth="1"/>
    <col min="4" max="4" width="9.140625" style="3" customWidth="1"/>
    <col min="5" max="5" width="9.57421875" style="3" customWidth="1"/>
    <col min="6" max="8" width="9.8515625" style="3" customWidth="1"/>
    <col min="9" max="9" width="12.421875" style="0" customWidth="1"/>
    <col min="10" max="10" width="11.421875" style="0" customWidth="1"/>
    <col min="11" max="11" width="11.00390625" style="0" customWidth="1"/>
  </cols>
  <sheetData>
    <row r="1" spans="1:2" ht="12.75" hidden="1">
      <c r="A1" s="9"/>
      <c r="B1" s="3"/>
    </row>
    <row r="2" spans="1:2" ht="12.75" hidden="1">
      <c r="A2" s="3"/>
      <c r="B2" s="10"/>
    </row>
    <row r="3" spans="1:2" ht="12.75" hidden="1">
      <c r="A3" s="3"/>
      <c r="B3" s="10"/>
    </row>
    <row r="4" spans="1:2" ht="12.75" hidden="1">
      <c r="A4" s="3"/>
      <c r="B4" s="10"/>
    </row>
    <row r="5" spans="1:2" ht="12.75" hidden="1">
      <c r="A5" s="3"/>
      <c r="B5" s="10"/>
    </row>
    <row r="6" spans="1:2" ht="12.75" hidden="1">
      <c r="A6" s="11"/>
      <c r="B6" s="10"/>
    </row>
    <row r="7" spans="1:2" ht="12.75" hidden="1">
      <c r="A7" s="3"/>
      <c r="B7" s="3"/>
    </row>
    <row r="8" spans="1:8" ht="12.75">
      <c r="A8" s="9"/>
      <c r="B8" s="3"/>
      <c r="C8" s="28" t="s">
        <v>47</v>
      </c>
      <c r="D8" s="28" t="s">
        <v>58</v>
      </c>
      <c r="E8" s="28" t="s">
        <v>70</v>
      </c>
      <c r="F8" s="28" t="s">
        <v>71</v>
      </c>
      <c r="G8" s="128" t="s">
        <v>99</v>
      </c>
      <c r="H8" s="128" t="s">
        <v>100</v>
      </c>
    </row>
    <row r="9" spans="1:2" ht="12.75">
      <c r="A9" s="9"/>
      <c r="B9" s="3"/>
    </row>
    <row r="10" spans="1:2" ht="12.75">
      <c r="A10" s="9" t="s">
        <v>62</v>
      </c>
      <c r="B10" s="3"/>
    </row>
    <row r="11" spans="1:12" ht="12.75">
      <c r="A11" s="12"/>
      <c r="B11" s="12"/>
      <c r="C11" s="13"/>
      <c r="D11" s="13"/>
      <c r="E11" s="13"/>
      <c r="F11" s="13"/>
      <c r="G11" s="13"/>
      <c r="H11" s="13"/>
      <c r="I11" s="7"/>
      <c r="J11" s="6"/>
      <c r="K11" s="2"/>
      <c r="L11" s="2"/>
    </row>
    <row r="12" spans="1:12" ht="12.75">
      <c r="A12" s="56" t="s">
        <v>25</v>
      </c>
      <c r="B12" s="56" t="s">
        <v>26</v>
      </c>
      <c r="C12" s="57">
        <v>0.5219446</v>
      </c>
      <c r="D12" s="57">
        <v>0.5219446</v>
      </c>
      <c r="E12" s="57">
        <v>0.5219446</v>
      </c>
      <c r="F12" s="57">
        <v>0.5219446</v>
      </c>
      <c r="G12" s="57">
        <v>0.5219446</v>
      </c>
      <c r="H12" s="57">
        <v>0.5219446</v>
      </c>
      <c r="I12" s="4"/>
      <c r="J12" s="5"/>
      <c r="K12" s="1"/>
      <c r="L12" s="1"/>
    </row>
    <row r="13" spans="1:8" ht="12.75">
      <c r="A13" s="56" t="s">
        <v>27</v>
      </c>
      <c r="B13" s="56" t="s">
        <v>4</v>
      </c>
      <c r="C13" s="58">
        <f aca="true" t="shared" si="0" ref="C13:H13">C20*2+2.8</f>
        <v>28.8</v>
      </c>
      <c r="D13" s="58">
        <f t="shared" si="0"/>
        <v>28.8</v>
      </c>
      <c r="E13" s="58">
        <f t="shared" si="0"/>
        <v>28.8</v>
      </c>
      <c r="F13" s="58">
        <f t="shared" si="0"/>
        <v>28.8</v>
      </c>
      <c r="G13" s="58">
        <f t="shared" si="0"/>
        <v>28.8</v>
      </c>
      <c r="H13" s="58">
        <f t="shared" si="0"/>
        <v>28.8</v>
      </c>
    </row>
    <row r="14" spans="1:8" ht="12.75">
      <c r="A14" s="56" t="s">
        <v>28</v>
      </c>
      <c r="B14" s="56" t="s">
        <v>4</v>
      </c>
      <c r="C14" s="58">
        <f aca="true" t="shared" si="1" ref="C14:H14">C13</f>
        <v>28.8</v>
      </c>
      <c r="D14" s="58">
        <f t="shared" si="1"/>
        <v>28.8</v>
      </c>
      <c r="E14" s="58">
        <f t="shared" si="1"/>
        <v>28.8</v>
      </c>
      <c r="F14" s="58">
        <f t="shared" si="1"/>
        <v>28.8</v>
      </c>
      <c r="G14" s="58">
        <f t="shared" si="1"/>
        <v>28.8</v>
      </c>
      <c r="H14" s="58">
        <f t="shared" si="1"/>
        <v>28.8</v>
      </c>
    </row>
    <row r="15" spans="1:8" ht="12.75">
      <c r="A15" s="56" t="s">
        <v>29</v>
      </c>
      <c r="B15" s="56"/>
      <c r="C15" s="59">
        <v>4</v>
      </c>
      <c r="D15" s="59">
        <v>4</v>
      </c>
      <c r="E15" s="59">
        <v>4</v>
      </c>
      <c r="F15" s="59">
        <v>4</v>
      </c>
      <c r="G15" s="59">
        <v>4</v>
      </c>
      <c r="H15" s="59">
        <v>4</v>
      </c>
    </row>
    <row r="16" spans="1:8" ht="12.75">
      <c r="A16" s="56" t="s">
        <v>30</v>
      </c>
      <c r="B16" s="56"/>
      <c r="C16" s="58">
        <v>0.75</v>
      </c>
      <c r="D16" s="58">
        <v>0.75</v>
      </c>
      <c r="E16" s="58">
        <v>0.75</v>
      </c>
      <c r="F16" s="58">
        <v>0.75</v>
      </c>
      <c r="G16" s="58">
        <v>0.75</v>
      </c>
      <c r="H16" s="58">
        <v>0.75</v>
      </c>
    </row>
    <row r="17" spans="1:8" ht="12.75">
      <c r="A17" s="56" t="s">
        <v>32</v>
      </c>
      <c r="B17" s="56" t="s">
        <v>8</v>
      </c>
      <c r="C17" s="161">
        <v>4.64</v>
      </c>
      <c r="D17" s="161">
        <v>2.64</v>
      </c>
      <c r="E17" s="161">
        <v>2.22</v>
      </c>
      <c r="F17" s="161">
        <v>2.52</v>
      </c>
      <c r="G17" s="58"/>
      <c r="H17" s="58"/>
    </row>
    <row r="18" spans="1:8" ht="12.75">
      <c r="A18" s="56" t="s">
        <v>33</v>
      </c>
      <c r="B18" s="56" t="s">
        <v>8</v>
      </c>
      <c r="C18" s="58">
        <f aca="true" t="shared" si="2" ref="C18:H18">C17*C15</f>
        <v>18.56</v>
      </c>
      <c r="D18" s="58">
        <f t="shared" si="2"/>
        <v>10.56</v>
      </c>
      <c r="E18" s="58">
        <f t="shared" si="2"/>
        <v>8.88</v>
      </c>
      <c r="F18" s="58">
        <f t="shared" si="2"/>
        <v>10.08</v>
      </c>
      <c r="G18" s="58">
        <f t="shared" si="2"/>
        <v>0</v>
      </c>
      <c r="H18" s="58">
        <f t="shared" si="2"/>
        <v>0</v>
      </c>
    </row>
    <row r="19" spans="1:8" ht="12.75">
      <c r="A19" s="56" t="s">
        <v>34</v>
      </c>
      <c r="B19" s="56" t="s">
        <v>4</v>
      </c>
      <c r="C19" s="58">
        <v>13</v>
      </c>
      <c r="D19" s="58">
        <v>13</v>
      </c>
      <c r="E19" s="58">
        <v>13</v>
      </c>
      <c r="F19" s="58">
        <v>13</v>
      </c>
      <c r="G19" s="58">
        <v>13</v>
      </c>
      <c r="H19" s="58">
        <v>13</v>
      </c>
    </row>
    <row r="20" spans="1:8" ht="12.75">
      <c r="A20" s="56" t="s">
        <v>35</v>
      </c>
      <c r="B20" s="56" t="s">
        <v>4</v>
      </c>
      <c r="C20" s="58">
        <v>13</v>
      </c>
      <c r="D20" s="58">
        <v>13</v>
      </c>
      <c r="E20" s="58">
        <v>13</v>
      </c>
      <c r="F20" s="58">
        <v>13</v>
      </c>
      <c r="G20" s="58">
        <v>13</v>
      </c>
      <c r="H20" s="58">
        <v>13</v>
      </c>
    </row>
    <row r="21" spans="1:8" ht="12.75">
      <c r="A21" s="56" t="s">
        <v>36</v>
      </c>
      <c r="B21" s="56" t="s">
        <v>4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</row>
    <row r="22" spans="1:8" ht="12.75">
      <c r="A22" s="56" t="s">
        <v>37</v>
      </c>
      <c r="B22" s="56" t="s">
        <v>4</v>
      </c>
      <c r="C22" s="58">
        <v>1.016</v>
      </c>
      <c r="D22" s="58">
        <v>1.016</v>
      </c>
      <c r="E22" s="58">
        <v>1.016</v>
      </c>
      <c r="F22" s="58">
        <v>1.016</v>
      </c>
      <c r="G22" s="58">
        <v>1.016</v>
      </c>
      <c r="H22" s="58">
        <v>1.016</v>
      </c>
    </row>
    <row r="23" spans="1:8" ht="12.75">
      <c r="A23" s="56" t="s">
        <v>38</v>
      </c>
      <c r="B23" s="56" t="s">
        <v>39</v>
      </c>
      <c r="C23" s="58">
        <f aca="true" t="shared" si="3" ref="C23:H23">C20*C19-((4-PI())*C22*C22)-PI()*C21^2/4</f>
        <v>168.11390386622398</v>
      </c>
      <c r="D23" s="58">
        <f t="shared" si="3"/>
        <v>168.11390386622398</v>
      </c>
      <c r="E23" s="58">
        <f t="shared" si="3"/>
        <v>168.11390386622398</v>
      </c>
      <c r="F23" s="58">
        <f t="shared" si="3"/>
        <v>168.11390386622398</v>
      </c>
      <c r="G23" s="58">
        <f t="shared" si="3"/>
        <v>168.11390386622398</v>
      </c>
      <c r="H23" s="58">
        <f t="shared" si="3"/>
        <v>168.11390386622398</v>
      </c>
    </row>
    <row r="24" spans="1:9" ht="12.75">
      <c r="A24" s="56" t="s">
        <v>41</v>
      </c>
      <c r="B24" s="56" t="s">
        <v>31</v>
      </c>
      <c r="C24" s="58">
        <f aca="true" t="shared" si="4" ref="C24:H24">C18*1000*C23*$B25</f>
        <v>26.77126499839606</v>
      </c>
      <c r="D24" s="58">
        <f t="shared" si="4"/>
        <v>15.23192663701845</v>
      </c>
      <c r="E24" s="58">
        <f t="shared" si="4"/>
        <v>12.80866558112915</v>
      </c>
      <c r="F24" s="58">
        <f t="shared" si="4"/>
        <v>14.539566335335792</v>
      </c>
      <c r="G24" s="58">
        <f t="shared" si="4"/>
        <v>0</v>
      </c>
      <c r="H24" s="58">
        <f t="shared" si="4"/>
        <v>0</v>
      </c>
      <c r="I24" s="164"/>
    </row>
    <row r="25" spans="1:8" ht="12.75">
      <c r="A25" s="60" t="s">
        <v>24</v>
      </c>
      <c r="B25" s="61">
        <v>8.58E-06</v>
      </c>
      <c r="C25" s="62"/>
      <c r="D25" s="62"/>
      <c r="E25" s="62"/>
      <c r="F25" s="62"/>
      <c r="G25" s="62"/>
      <c r="H25" s="62"/>
    </row>
    <row r="26" spans="1:9" ht="25.5">
      <c r="A26" s="3"/>
      <c r="B26" s="168" t="s">
        <v>129</v>
      </c>
      <c r="C26" s="3">
        <f>C24*C30</f>
        <v>160.62758999037635</v>
      </c>
      <c r="D26" s="3">
        <f>D24*D30</f>
        <v>182.78311964422142</v>
      </c>
      <c r="E26" s="3">
        <f>E24*E30</f>
        <v>76.8519934867749</v>
      </c>
      <c r="F26" s="3">
        <f>F24*F30</f>
        <v>348.949592048059</v>
      </c>
      <c r="G26" s="3" t="s">
        <v>128</v>
      </c>
      <c r="H26">
        <f>SUM(C26:F26)</f>
        <v>769.2122951694316</v>
      </c>
      <c r="I26" s="49">
        <f>H26*2.2*10</f>
        <v>16922.670493727495</v>
      </c>
    </row>
    <row r="27" spans="1:9" ht="13.5" thickBot="1">
      <c r="A27" s="9" t="s">
        <v>61</v>
      </c>
      <c r="B27" s="167" t="s">
        <v>127</v>
      </c>
      <c r="C27" s="165">
        <f>C32*C30</f>
        <v>3168.363833243097</v>
      </c>
      <c r="D27" s="165">
        <f>D32*D30</f>
        <v>3548.16</v>
      </c>
      <c r="E27" s="165">
        <f>E32*E30</f>
        <v>1491.8400000000001</v>
      </c>
      <c r="F27" s="165">
        <f>F32*F30</f>
        <v>6773.76</v>
      </c>
      <c r="I27" s="166">
        <f>SUM(C27:H27)</f>
        <v>14982.123833243097</v>
      </c>
    </row>
    <row r="28" spans="1:9" ht="12.75">
      <c r="A28" s="14"/>
      <c r="B28" s="20"/>
      <c r="C28" s="28" t="s">
        <v>47</v>
      </c>
      <c r="D28" s="28" t="s">
        <v>58</v>
      </c>
      <c r="E28" s="130" t="s">
        <v>70</v>
      </c>
      <c r="F28" s="134" t="s">
        <v>71</v>
      </c>
      <c r="G28" s="134" t="s">
        <v>95</v>
      </c>
      <c r="H28" s="150" t="s">
        <v>96</v>
      </c>
      <c r="I28" s="154" t="s">
        <v>120</v>
      </c>
    </row>
    <row r="29" spans="1:9" ht="12.75">
      <c r="A29" s="15" t="s">
        <v>45</v>
      </c>
      <c r="B29" s="21"/>
      <c r="C29" s="29"/>
      <c r="D29" s="29"/>
      <c r="E29" s="131"/>
      <c r="F29" s="135"/>
      <c r="G29" s="135"/>
      <c r="H29" s="151"/>
      <c r="I29" s="155"/>
    </row>
    <row r="30" spans="1:9" ht="13.5" thickBot="1">
      <c r="A30" s="34" t="s">
        <v>46</v>
      </c>
      <c r="B30" s="35"/>
      <c r="C30" s="89">
        <v>6</v>
      </c>
      <c r="D30" s="89">
        <v>12</v>
      </c>
      <c r="E30" s="132">
        <v>6</v>
      </c>
      <c r="F30" s="134">
        <v>24</v>
      </c>
      <c r="G30" s="134">
        <v>0.001</v>
      </c>
      <c r="H30" s="150">
        <v>0.001</v>
      </c>
      <c r="I30" s="156">
        <f>SUM(C30:H30)</f>
        <v>48.001999999999995</v>
      </c>
    </row>
    <row r="31" spans="1:8" ht="13.5" thickBot="1">
      <c r="A31" s="54" t="s">
        <v>72</v>
      </c>
      <c r="B31" s="55"/>
      <c r="C31" s="52">
        <f>3153/(18.47*6)</f>
        <v>28.451543042772066</v>
      </c>
      <c r="D31" s="52">
        <v>28</v>
      </c>
      <c r="E31" s="52">
        <v>28</v>
      </c>
      <c r="F31" s="133">
        <v>28</v>
      </c>
      <c r="G31" s="133">
        <v>28</v>
      </c>
      <c r="H31" s="133">
        <v>28</v>
      </c>
    </row>
    <row r="32" spans="1:8" ht="13.5" thickBot="1">
      <c r="A32" s="39" t="s">
        <v>53</v>
      </c>
      <c r="B32" s="40" t="s">
        <v>1</v>
      </c>
      <c r="C32" s="52">
        <f aca="true" t="shared" si="5" ref="C32:H32">C31*C18</f>
        <v>528.0606388738495</v>
      </c>
      <c r="D32" s="52">
        <f t="shared" si="5"/>
        <v>295.68</v>
      </c>
      <c r="E32" s="52">
        <f t="shared" si="5"/>
        <v>248.64000000000001</v>
      </c>
      <c r="F32" s="52">
        <f t="shared" si="5"/>
        <v>282.24</v>
      </c>
      <c r="G32" s="52">
        <f t="shared" si="5"/>
        <v>0</v>
      </c>
      <c r="H32" s="52">
        <f t="shared" si="5"/>
        <v>0</v>
      </c>
    </row>
    <row r="33" spans="1:8" ht="12.75">
      <c r="A33" s="36" t="s">
        <v>40</v>
      </c>
      <c r="B33" s="37">
        <v>2</v>
      </c>
      <c r="C33" s="38" t="s">
        <v>23</v>
      </c>
      <c r="D33" s="38" t="s">
        <v>23</v>
      </c>
      <c r="E33" s="38" t="s">
        <v>23</v>
      </c>
      <c r="F33" s="38" t="s">
        <v>23</v>
      </c>
      <c r="G33" s="38" t="s">
        <v>23</v>
      </c>
      <c r="H33" s="38" t="s">
        <v>23</v>
      </c>
    </row>
    <row r="34" spans="1:10" ht="12.75">
      <c r="A34" s="16" t="s">
        <v>42</v>
      </c>
      <c r="B34" s="23" t="s">
        <v>4</v>
      </c>
      <c r="C34" s="30">
        <v>25.4</v>
      </c>
      <c r="D34" s="30">
        <v>25.4</v>
      </c>
      <c r="E34" s="30">
        <v>25.4</v>
      </c>
      <c r="F34" s="30">
        <v>25.4</v>
      </c>
      <c r="G34" s="30">
        <v>25.4</v>
      </c>
      <c r="H34" s="30">
        <v>25.4</v>
      </c>
      <c r="J34" s="152"/>
    </row>
    <row r="35" spans="1:10" ht="16.5" customHeight="1">
      <c r="A35" s="17" t="s">
        <v>43</v>
      </c>
      <c r="B35" s="24" t="s">
        <v>2</v>
      </c>
      <c r="C35" s="43">
        <f aca="true" t="shared" si="6" ref="C35:H35">(2*(C19+C20)*1000/C34)/1000</f>
        <v>2.0472440944881893</v>
      </c>
      <c r="D35" s="43">
        <f t="shared" si="6"/>
        <v>2.0472440944881893</v>
      </c>
      <c r="E35" s="43">
        <f t="shared" si="6"/>
        <v>2.0472440944881893</v>
      </c>
      <c r="F35" s="43">
        <f t="shared" si="6"/>
        <v>2.0472440944881893</v>
      </c>
      <c r="G35" s="43">
        <f t="shared" si="6"/>
        <v>2.0472440944881893</v>
      </c>
      <c r="H35" s="43">
        <f t="shared" si="6"/>
        <v>2.0472440944881893</v>
      </c>
      <c r="J35" s="153"/>
    </row>
    <row r="36" spans="1:8" ht="12.75">
      <c r="A36" s="17" t="s">
        <v>3</v>
      </c>
      <c r="B36" s="24" t="s">
        <v>4</v>
      </c>
      <c r="C36" s="43">
        <v>0.19</v>
      </c>
      <c r="D36" s="43">
        <v>0.19</v>
      </c>
      <c r="E36" s="43">
        <v>0.19</v>
      </c>
      <c r="F36" s="43">
        <v>0.19</v>
      </c>
      <c r="G36" s="43">
        <v>0.19</v>
      </c>
      <c r="H36" s="43">
        <v>0.19</v>
      </c>
    </row>
    <row r="37" spans="1:8" ht="12.75">
      <c r="A37" s="17" t="s">
        <v>5</v>
      </c>
      <c r="B37" s="24" t="s">
        <v>6</v>
      </c>
      <c r="C37" s="44">
        <v>2</v>
      </c>
      <c r="D37" s="44">
        <v>2</v>
      </c>
      <c r="E37" s="44">
        <v>2</v>
      </c>
      <c r="F37" s="44">
        <v>2</v>
      </c>
      <c r="G37" s="44">
        <v>2</v>
      </c>
      <c r="H37" s="44">
        <v>2</v>
      </c>
    </row>
    <row r="38" spans="1:8" ht="12.75">
      <c r="A38" s="17" t="s">
        <v>7</v>
      </c>
      <c r="B38" s="24" t="s">
        <v>8</v>
      </c>
      <c r="C38" s="43">
        <v>182</v>
      </c>
      <c r="D38" s="43">
        <v>182</v>
      </c>
      <c r="E38" s="43">
        <v>182</v>
      </c>
      <c r="F38" s="43">
        <v>182</v>
      </c>
      <c r="G38" s="43">
        <v>182</v>
      </c>
      <c r="H38" s="43">
        <v>182</v>
      </c>
    </row>
    <row r="39" spans="1:8" ht="12.75">
      <c r="A39" s="17" t="s">
        <v>9</v>
      </c>
      <c r="B39" s="24" t="s">
        <v>6</v>
      </c>
      <c r="C39" s="45">
        <f aca="true" t="shared" si="7" ref="C39:H39">2*C37*C18*C35/C38</f>
        <v>0.835095613048369</v>
      </c>
      <c r="D39" s="45">
        <f t="shared" si="7"/>
        <v>0.4751406074240721</v>
      </c>
      <c r="E39" s="45">
        <f t="shared" si="7"/>
        <v>0.39955005624296974</v>
      </c>
      <c r="F39" s="45">
        <f t="shared" si="7"/>
        <v>0.4535433070866143</v>
      </c>
      <c r="G39" s="45">
        <f t="shared" si="7"/>
        <v>0</v>
      </c>
      <c r="H39" s="45">
        <f t="shared" si="7"/>
        <v>0</v>
      </c>
    </row>
    <row r="40" spans="1:8" ht="25.5">
      <c r="A40" s="17" t="s">
        <v>10</v>
      </c>
      <c r="B40" s="24" t="s">
        <v>0</v>
      </c>
      <c r="C40" s="45">
        <v>1.3</v>
      </c>
      <c r="D40" s="45">
        <v>1.3</v>
      </c>
      <c r="E40" s="45">
        <v>1.3</v>
      </c>
      <c r="F40" s="45">
        <v>1.3</v>
      </c>
      <c r="G40" s="45">
        <v>1.3</v>
      </c>
      <c r="H40" s="45">
        <v>1.3</v>
      </c>
    </row>
    <row r="41" spans="1:8" ht="12.75">
      <c r="A41" s="17" t="s">
        <v>60</v>
      </c>
      <c r="B41" s="24" t="s">
        <v>6</v>
      </c>
      <c r="C41" s="45">
        <f>C40*C39</f>
        <v>1.0856242969628798</v>
      </c>
      <c r="D41" s="45">
        <f>D40*D39*2</f>
        <v>1.2353655793025875</v>
      </c>
      <c r="E41" s="45">
        <f>E40*E39*2</f>
        <v>1.0388301462317213</v>
      </c>
      <c r="F41" s="45">
        <f>F40*F39*2</f>
        <v>1.179212598425197</v>
      </c>
      <c r="G41" s="45">
        <f>G40*G39*2</f>
        <v>0</v>
      </c>
      <c r="H41" s="45">
        <f>H40*H39*2</f>
        <v>0</v>
      </c>
    </row>
    <row r="42" spans="1:8" ht="12.75">
      <c r="A42" s="17" t="s">
        <v>11</v>
      </c>
      <c r="B42" s="24" t="s">
        <v>12</v>
      </c>
      <c r="C42" s="44">
        <v>728</v>
      </c>
      <c r="D42" s="44">
        <v>728</v>
      </c>
      <c r="E42" s="44">
        <v>728</v>
      </c>
      <c r="F42" s="44">
        <v>728</v>
      </c>
      <c r="G42" s="44">
        <v>728</v>
      </c>
      <c r="H42" s="44">
        <v>728</v>
      </c>
    </row>
    <row r="43" spans="1:8" ht="12.75">
      <c r="A43" s="16" t="s">
        <v>63</v>
      </c>
      <c r="B43" s="23" t="s">
        <v>4</v>
      </c>
      <c r="C43" s="45">
        <v>25.4</v>
      </c>
      <c r="D43" s="45">
        <v>25.4</v>
      </c>
      <c r="E43" s="45">
        <v>25.4</v>
      </c>
      <c r="F43" s="45">
        <v>25.4</v>
      </c>
      <c r="G43" s="45">
        <v>25.4</v>
      </c>
      <c r="H43" s="45">
        <v>25.4</v>
      </c>
    </row>
    <row r="44" spans="1:10" ht="12.75">
      <c r="A44" s="17" t="s">
        <v>44</v>
      </c>
      <c r="B44" s="24" t="s">
        <v>2</v>
      </c>
      <c r="C44" s="43">
        <f aca="true" t="shared" si="8" ref="C44:H44">(2*(C19+C20)*1000/C43)/1000</f>
        <v>2.0472440944881893</v>
      </c>
      <c r="D44" s="43">
        <f t="shared" si="8"/>
        <v>2.0472440944881893</v>
      </c>
      <c r="E44" s="43">
        <f t="shared" si="8"/>
        <v>2.0472440944881893</v>
      </c>
      <c r="F44" s="43">
        <f t="shared" si="8"/>
        <v>2.0472440944881893</v>
      </c>
      <c r="G44" s="43">
        <f t="shared" si="8"/>
        <v>2.0472440944881893</v>
      </c>
      <c r="H44" s="43">
        <f t="shared" si="8"/>
        <v>2.0472440944881893</v>
      </c>
      <c r="J44" s="41"/>
    </row>
    <row r="45" spans="1:8" ht="12.75">
      <c r="A45" s="17" t="s">
        <v>3</v>
      </c>
      <c r="B45" s="24" t="s">
        <v>4</v>
      </c>
      <c r="C45" s="43">
        <v>0.19</v>
      </c>
      <c r="D45" s="43">
        <v>0.19</v>
      </c>
      <c r="E45" s="43">
        <v>0.19</v>
      </c>
      <c r="F45" s="43">
        <v>0.19</v>
      </c>
      <c r="G45" s="43">
        <v>0.19</v>
      </c>
      <c r="H45" s="43">
        <v>0.19</v>
      </c>
    </row>
    <row r="46" spans="1:8" ht="12.75">
      <c r="A46" s="17" t="s">
        <v>5</v>
      </c>
      <c r="B46" s="24" t="s">
        <v>6</v>
      </c>
      <c r="C46" s="44">
        <v>2</v>
      </c>
      <c r="D46" s="44">
        <v>2</v>
      </c>
      <c r="E46" s="44">
        <v>2</v>
      </c>
      <c r="F46" s="44">
        <v>2</v>
      </c>
      <c r="G46" s="44">
        <v>2</v>
      </c>
      <c r="H46" s="44">
        <v>2</v>
      </c>
    </row>
    <row r="47" spans="1:8" ht="12.75">
      <c r="A47" s="17" t="s">
        <v>7</v>
      </c>
      <c r="B47" s="24" t="s">
        <v>8</v>
      </c>
      <c r="C47" s="43">
        <v>182</v>
      </c>
      <c r="D47" s="43">
        <v>182</v>
      </c>
      <c r="E47" s="43">
        <v>182</v>
      </c>
      <c r="F47" s="43">
        <v>182</v>
      </c>
      <c r="G47" s="43">
        <v>182</v>
      </c>
      <c r="H47" s="43">
        <v>182</v>
      </c>
    </row>
    <row r="48" spans="1:8" ht="12.75">
      <c r="A48" s="17" t="s">
        <v>9</v>
      </c>
      <c r="B48" s="24" t="s">
        <v>6</v>
      </c>
      <c r="C48" s="45">
        <f aca="true" t="shared" si="9" ref="C48:H48">2*C46*C18*C44/C47</f>
        <v>0.835095613048369</v>
      </c>
      <c r="D48" s="45">
        <f t="shared" si="9"/>
        <v>0.4751406074240721</v>
      </c>
      <c r="E48" s="45">
        <f t="shared" si="9"/>
        <v>0.39955005624296974</v>
      </c>
      <c r="F48" s="45">
        <f t="shared" si="9"/>
        <v>0.4535433070866143</v>
      </c>
      <c r="G48" s="45">
        <f t="shared" si="9"/>
        <v>0</v>
      </c>
      <c r="H48" s="45">
        <f t="shared" si="9"/>
        <v>0</v>
      </c>
    </row>
    <row r="49" spans="1:8" ht="25.5">
      <c r="A49" s="17" t="s">
        <v>10</v>
      </c>
      <c r="B49" s="24" t="s">
        <v>0</v>
      </c>
      <c r="C49" s="45">
        <v>1.3</v>
      </c>
      <c r="D49" s="45">
        <v>1.3</v>
      </c>
      <c r="E49" s="45">
        <v>1.3</v>
      </c>
      <c r="F49" s="45">
        <v>1.3</v>
      </c>
      <c r="G49" s="45">
        <v>1.3</v>
      </c>
      <c r="H49" s="45">
        <v>1.3</v>
      </c>
    </row>
    <row r="50" spans="1:8" ht="12.75">
      <c r="A50" s="17" t="s">
        <v>48</v>
      </c>
      <c r="B50" s="24" t="s">
        <v>6</v>
      </c>
      <c r="C50" s="45">
        <f aca="true" t="shared" si="10" ref="C50:H50">C49*C48*C30</f>
        <v>6.513745781777279</v>
      </c>
      <c r="D50" s="45">
        <f t="shared" si="10"/>
        <v>7.412193475815525</v>
      </c>
      <c r="E50" s="45">
        <f t="shared" si="10"/>
        <v>3.116490438695164</v>
      </c>
      <c r="F50" s="45">
        <f t="shared" si="10"/>
        <v>14.150551181102365</v>
      </c>
      <c r="G50" s="45">
        <f t="shared" si="10"/>
        <v>0</v>
      </c>
      <c r="H50" s="45">
        <f t="shared" si="10"/>
        <v>0</v>
      </c>
    </row>
    <row r="51" spans="1:8" ht="12.75">
      <c r="A51" s="17" t="s">
        <v>11</v>
      </c>
      <c r="B51" s="22" t="s">
        <v>12</v>
      </c>
      <c r="C51" s="44">
        <v>728</v>
      </c>
      <c r="D51" s="44">
        <v>728</v>
      </c>
      <c r="E51" s="44">
        <v>728</v>
      </c>
      <c r="F51" s="44">
        <v>728</v>
      </c>
      <c r="G51" s="44">
        <v>728</v>
      </c>
      <c r="H51" s="44">
        <v>728</v>
      </c>
    </row>
    <row r="52" spans="1:8" ht="12.75">
      <c r="A52" s="17" t="s">
        <v>50</v>
      </c>
      <c r="B52" s="21" t="s">
        <v>1</v>
      </c>
      <c r="C52" s="46">
        <f aca="true" t="shared" si="11" ref="C52:H52">C51*C50/C30</f>
        <v>790.3344881889765</v>
      </c>
      <c r="D52" s="46">
        <f t="shared" si="11"/>
        <v>449.67307086614187</v>
      </c>
      <c r="E52" s="46">
        <f t="shared" si="11"/>
        <v>378.1341732283465</v>
      </c>
      <c r="F52" s="46">
        <f t="shared" si="11"/>
        <v>429.2333858267718</v>
      </c>
      <c r="G52" s="46">
        <f t="shared" si="11"/>
        <v>0</v>
      </c>
      <c r="H52" s="46">
        <f t="shared" si="11"/>
        <v>0</v>
      </c>
    </row>
    <row r="53" spans="1:8" ht="12.75">
      <c r="A53" s="17" t="s">
        <v>64</v>
      </c>
      <c r="B53" s="23" t="s">
        <v>8</v>
      </c>
      <c r="C53" s="47">
        <f aca="true" t="shared" si="12" ref="C53:H53">C35*C18</f>
        <v>37.99685039370079</v>
      </c>
      <c r="D53" s="47">
        <f t="shared" si="12"/>
        <v>21.618897637795282</v>
      </c>
      <c r="E53" s="47">
        <f t="shared" si="12"/>
        <v>18.179527559055124</v>
      </c>
      <c r="F53" s="47">
        <f t="shared" si="12"/>
        <v>20.63622047244095</v>
      </c>
      <c r="G53" s="47">
        <f t="shared" si="12"/>
        <v>0</v>
      </c>
      <c r="H53" s="47">
        <f t="shared" si="12"/>
        <v>0</v>
      </c>
    </row>
    <row r="54" spans="1:8" ht="12.75">
      <c r="A54" s="17" t="s">
        <v>65</v>
      </c>
      <c r="B54" s="23" t="s">
        <v>66</v>
      </c>
      <c r="C54" s="48">
        <f aca="true" t="shared" si="13" ref="C54:H54">1.258</f>
        <v>1.258</v>
      </c>
      <c r="D54" s="48">
        <f t="shared" si="13"/>
        <v>1.258</v>
      </c>
      <c r="E54" s="48">
        <f t="shared" si="13"/>
        <v>1.258</v>
      </c>
      <c r="F54" s="48">
        <f t="shared" si="13"/>
        <v>1.258</v>
      </c>
      <c r="G54" s="48">
        <f t="shared" si="13"/>
        <v>1.258</v>
      </c>
      <c r="H54" s="48">
        <f t="shared" si="13"/>
        <v>1.258</v>
      </c>
    </row>
    <row r="55" spans="1:8" ht="12.75">
      <c r="A55" s="17" t="s">
        <v>67</v>
      </c>
      <c r="B55" s="23" t="s">
        <v>1</v>
      </c>
      <c r="C55" s="46">
        <f aca="true" t="shared" si="14" ref="C55:H55">C54*C53</f>
        <v>47.80003779527559</v>
      </c>
      <c r="D55" s="46">
        <f t="shared" si="14"/>
        <v>27.196573228346466</v>
      </c>
      <c r="E55" s="46">
        <f t="shared" si="14"/>
        <v>22.869845669291347</v>
      </c>
      <c r="F55" s="46">
        <f t="shared" si="14"/>
        <v>25.960365354330715</v>
      </c>
      <c r="G55" s="46">
        <f t="shared" si="14"/>
        <v>0</v>
      </c>
      <c r="H55" s="46">
        <f t="shared" si="14"/>
        <v>0</v>
      </c>
    </row>
    <row r="56" spans="1:8" ht="12.75">
      <c r="A56" s="17" t="s">
        <v>13</v>
      </c>
      <c r="B56" s="22" t="s">
        <v>4</v>
      </c>
      <c r="C56" s="48">
        <v>0.38</v>
      </c>
      <c r="D56" s="48">
        <v>0.38</v>
      </c>
      <c r="E56" s="48">
        <v>0.38</v>
      </c>
      <c r="F56" s="48">
        <v>0.38</v>
      </c>
      <c r="G56" s="48">
        <v>0.38</v>
      </c>
      <c r="H56" s="48">
        <v>0.38</v>
      </c>
    </row>
    <row r="57" spans="1:8" ht="12.75">
      <c r="A57" s="17" t="s">
        <v>5</v>
      </c>
      <c r="B57" s="22" t="s">
        <v>6</v>
      </c>
      <c r="C57" s="48">
        <v>4</v>
      </c>
      <c r="D57" s="48">
        <v>4</v>
      </c>
      <c r="E57" s="48">
        <v>4</v>
      </c>
      <c r="F57" s="48">
        <v>4</v>
      </c>
      <c r="G57" s="48">
        <v>4</v>
      </c>
      <c r="H57" s="48">
        <v>4</v>
      </c>
    </row>
    <row r="58" spans="1:8" ht="12.75">
      <c r="A58" s="17" t="s">
        <v>14</v>
      </c>
      <c r="B58" s="22" t="s">
        <v>4</v>
      </c>
      <c r="C58" s="48">
        <f aca="true" t="shared" si="15" ref="C58:H58">2*C57*C56</f>
        <v>3.04</v>
      </c>
      <c r="D58" s="48">
        <f t="shared" si="15"/>
        <v>3.04</v>
      </c>
      <c r="E58" s="48">
        <f t="shared" si="15"/>
        <v>3.04</v>
      </c>
      <c r="F58" s="48">
        <f t="shared" si="15"/>
        <v>3.04</v>
      </c>
      <c r="G58" s="48">
        <f t="shared" si="15"/>
        <v>3.04</v>
      </c>
      <c r="H58" s="48">
        <f t="shared" si="15"/>
        <v>3.04</v>
      </c>
    </row>
    <row r="59" spans="1:8" ht="12.75">
      <c r="A59" s="17" t="s">
        <v>15</v>
      </c>
      <c r="B59" s="22" t="s">
        <v>16</v>
      </c>
      <c r="C59" s="47">
        <v>6</v>
      </c>
      <c r="D59" s="47">
        <v>6</v>
      </c>
      <c r="E59" s="47">
        <v>6</v>
      </c>
      <c r="F59" s="47">
        <v>6</v>
      </c>
      <c r="G59" s="47">
        <v>6</v>
      </c>
      <c r="H59" s="47">
        <v>6</v>
      </c>
    </row>
    <row r="60" spans="1:8" ht="12.75">
      <c r="A60" s="17" t="s">
        <v>17</v>
      </c>
      <c r="B60" s="22" t="s">
        <v>8</v>
      </c>
      <c r="C60" s="47">
        <f aca="true" t="shared" si="16" ref="C60:H60">(C17*(100*C57/C59))*2*(C14+C13)/1000</f>
        <v>35.6352</v>
      </c>
      <c r="D60" s="47">
        <f t="shared" si="16"/>
        <v>20.275200000000005</v>
      </c>
      <c r="E60" s="47">
        <f t="shared" si="16"/>
        <v>17.0496</v>
      </c>
      <c r="F60" s="47">
        <f t="shared" si="16"/>
        <v>19.353600000000004</v>
      </c>
      <c r="G60" s="47">
        <f t="shared" si="16"/>
        <v>0</v>
      </c>
      <c r="H60" s="47">
        <f t="shared" si="16"/>
        <v>0</v>
      </c>
    </row>
    <row r="61" spans="1:8" ht="12.75">
      <c r="A61" s="17" t="s">
        <v>7</v>
      </c>
      <c r="B61" s="22" t="s">
        <v>8</v>
      </c>
      <c r="C61" s="47">
        <v>10</v>
      </c>
      <c r="D61" s="47">
        <v>10</v>
      </c>
      <c r="E61" s="47">
        <v>10</v>
      </c>
      <c r="F61" s="47">
        <v>10</v>
      </c>
      <c r="G61" s="47">
        <v>10</v>
      </c>
      <c r="H61" s="47">
        <v>10</v>
      </c>
    </row>
    <row r="62" spans="1:8" ht="12.75">
      <c r="A62" s="17" t="s">
        <v>9</v>
      </c>
      <c r="B62" s="22" t="s">
        <v>6</v>
      </c>
      <c r="C62" s="47">
        <f aca="true" t="shared" si="17" ref="C62:H62">C60/C61</f>
        <v>3.5635199999999996</v>
      </c>
      <c r="D62" s="47">
        <f t="shared" si="17"/>
        <v>2.0275200000000004</v>
      </c>
      <c r="E62" s="47">
        <f t="shared" si="17"/>
        <v>1.7049600000000003</v>
      </c>
      <c r="F62" s="47">
        <f t="shared" si="17"/>
        <v>1.9353600000000004</v>
      </c>
      <c r="G62" s="47">
        <f t="shared" si="17"/>
        <v>0</v>
      </c>
      <c r="H62" s="47">
        <f t="shared" si="17"/>
        <v>0</v>
      </c>
    </row>
    <row r="63" spans="1:8" ht="25.5">
      <c r="A63" s="17" t="s">
        <v>10</v>
      </c>
      <c r="B63" s="22" t="s">
        <v>0</v>
      </c>
      <c r="C63" s="48">
        <v>1.3</v>
      </c>
      <c r="D63" s="48">
        <v>1.3</v>
      </c>
      <c r="E63" s="48">
        <v>1.3</v>
      </c>
      <c r="F63" s="48">
        <v>1.3</v>
      </c>
      <c r="G63" s="48">
        <v>1.3</v>
      </c>
      <c r="H63" s="48">
        <v>1.3</v>
      </c>
    </row>
    <row r="64" spans="1:8" ht="12.75">
      <c r="A64" s="17" t="s">
        <v>49</v>
      </c>
      <c r="B64" s="22" t="s">
        <v>6</v>
      </c>
      <c r="C64" s="47">
        <f aca="true" t="shared" si="18" ref="C64:H64">C63*C62*C30</f>
        <v>27.795455999999994</v>
      </c>
      <c r="D64" s="47">
        <f t="shared" si="18"/>
        <v>31.62931200000001</v>
      </c>
      <c r="E64" s="47">
        <f t="shared" si="18"/>
        <v>13.298688000000002</v>
      </c>
      <c r="F64" s="47">
        <f t="shared" si="18"/>
        <v>60.38323200000001</v>
      </c>
      <c r="G64" s="47">
        <f t="shared" si="18"/>
        <v>0</v>
      </c>
      <c r="H64" s="47">
        <f t="shared" si="18"/>
        <v>0</v>
      </c>
    </row>
    <row r="65" spans="1:8" ht="12.75">
      <c r="A65" s="16" t="s">
        <v>18</v>
      </c>
      <c r="B65" s="25" t="s">
        <v>1</v>
      </c>
      <c r="C65" s="47">
        <v>50</v>
      </c>
      <c r="D65" s="47">
        <v>50</v>
      </c>
      <c r="E65" s="47">
        <v>50</v>
      </c>
      <c r="F65" s="47">
        <v>50</v>
      </c>
      <c r="G65" s="47">
        <v>50</v>
      </c>
      <c r="H65" s="47">
        <v>50</v>
      </c>
    </row>
    <row r="66" spans="1:8" ht="12.75">
      <c r="A66" s="16" t="s">
        <v>51</v>
      </c>
      <c r="B66" s="21" t="s">
        <v>1</v>
      </c>
      <c r="C66" s="46">
        <f aca="true" t="shared" si="19" ref="C66:H66">C65*C64/C30</f>
        <v>231.62879999999996</v>
      </c>
      <c r="D66" s="46">
        <f t="shared" si="19"/>
        <v>131.78880000000004</v>
      </c>
      <c r="E66" s="46">
        <f t="shared" si="19"/>
        <v>110.82240000000002</v>
      </c>
      <c r="F66" s="46">
        <f t="shared" si="19"/>
        <v>125.79840000000002</v>
      </c>
      <c r="G66" s="46">
        <f t="shared" si="19"/>
        <v>0</v>
      </c>
      <c r="H66" s="46">
        <f t="shared" si="19"/>
        <v>0</v>
      </c>
    </row>
    <row r="67" spans="1:8" ht="12.75">
      <c r="A67" s="18" t="s">
        <v>19</v>
      </c>
      <c r="B67" s="26" t="s">
        <v>20</v>
      </c>
      <c r="C67" s="48">
        <f aca="true" t="shared" si="20" ref="C67:H67">0.15*C13*C14*(C17)/1000</f>
        <v>0.5772902400000001</v>
      </c>
      <c r="D67" s="48">
        <f t="shared" si="20"/>
        <v>0.32845824000000007</v>
      </c>
      <c r="E67" s="48">
        <f t="shared" si="20"/>
        <v>0.27620352000000004</v>
      </c>
      <c r="F67" s="48">
        <f t="shared" si="20"/>
        <v>0.31352832</v>
      </c>
      <c r="G67" s="48">
        <f t="shared" si="20"/>
        <v>0</v>
      </c>
      <c r="H67" s="48">
        <f t="shared" si="20"/>
        <v>0</v>
      </c>
    </row>
    <row r="68" spans="1:8" ht="12.75">
      <c r="A68" s="16" t="s">
        <v>21</v>
      </c>
      <c r="B68" s="25" t="s">
        <v>22</v>
      </c>
      <c r="C68" s="47">
        <v>150</v>
      </c>
      <c r="D68" s="47">
        <v>150</v>
      </c>
      <c r="E68" s="47">
        <v>150</v>
      </c>
      <c r="F68" s="47">
        <v>150</v>
      </c>
      <c r="G68" s="47">
        <v>150</v>
      </c>
      <c r="H68" s="47">
        <v>150</v>
      </c>
    </row>
    <row r="69" spans="1:8" ht="12.75">
      <c r="A69" s="16" t="s">
        <v>52</v>
      </c>
      <c r="B69" s="21" t="s">
        <v>1</v>
      </c>
      <c r="C69" s="46">
        <f aca="true" t="shared" si="21" ref="C69:H69">C68*C67</f>
        <v>86.59353600000001</v>
      </c>
      <c r="D69" s="46">
        <f t="shared" si="21"/>
        <v>49.26873600000001</v>
      </c>
      <c r="E69" s="46">
        <f t="shared" si="21"/>
        <v>41.430528</v>
      </c>
      <c r="F69" s="46">
        <f t="shared" si="21"/>
        <v>47.029248</v>
      </c>
      <c r="G69" s="46">
        <f t="shared" si="21"/>
        <v>0</v>
      </c>
      <c r="H69" s="46">
        <f t="shared" si="21"/>
        <v>0</v>
      </c>
    </row>
    <row r="70" spans="1:8" ht="12.75">
      <c r="A70" s="16"/>
      <c r="B70" s="25"/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</row>
    <row r="71" spans="1:8" ht="13.5" thickBot="1">
      <c r="A71" s="31"/>
      <c r="B71" s="50"/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</row>
    <row r="72" spans="1:8" ht="19.5" customHeight="1" thickBot="1">
      <c r="A72" s="32" t="s">
        <v>54</v>
      </c>
      <c r="B72" s="33"/>
      <c r="C72" s="52">
        <f>C52+C66+C69+C55</f>
        <v>1156.356861984252</v>
      </c>
      <c r="D72" s="52">
        <f>D52+D66+D69</f>
        <v>630.7306068661419</v>
      </c>
      <c r="E72" s="52">
        <f>E52+E66+E69</f>
        <v>530.3871012283465</v>
      </c>
      <c r="F72" s="52">
        <f>F52+F66+F69</f>
        <v>602.0610338267718</v>
      </c>
      <c r="G72" s="52">
        <v>0</v>
      </c>
      <c r="H72" s="52">
        <v>0</v>
      </c>
    </row>
    <row r="73" spans="1:8" ht="24.75" customHeight="1" thickBot="1">
      <c r="A73" s="19" t="s">
        <v>55</v>
      </c>
      <c r="B73" s="27"/>
      <c r="C73" s="53">
        <f>C72+C32</f>
        <v>1684.4175008581014</v>
      </c>
      <c r="D73" s="53">
        <f>D72+D32</f>
        <v>926.410606866142</v>
      </c>
      <c r="E73" s="53">
        <f>E72+E32</f>
        <v>779.0271012283465</v>
      </c>
      <c r="F73" s="53">
        <f>F72+F32</f>
        <v>884.3010338267718</v>
      </c>
      <c r="G73" s="53">
        <v>0</v>
      </c>
      <c r="H73" s="53">
        <v>0</v>
      </c>
    </row>
    <row r="74" spans="1:8" ht="21.75" customHeight="1" thickBot="1">
      <c r="A74" s="32" t="s">
        <v>56</v>
      </c>
      <c r="B74" s="33"/>
      <c r="C74" s="52">
        <f aca="true" t="shared" si="22" ref="C74:H74">C72*C30</f>
        <v>6938.141171905512</v>
      </c>
      <c r="D74" s="52">
        <f t="shared" si="22"/>
        <v>7568.767282393703</v>
      </c>
      <c r="E74" s="52">
        <f t="shared" si="22"/>
        <v>3182.322607370079</v>
      </c>
      <c r="F74" s="52">
        <f t="shared" si="22"/>
        <v>14449.464811842523</v>
      </c>
      <c r="G74" s="52">
        <f t="shared" si="22"/>
        <v>0</v>
      </c>
      <c r="H74" s="52">
        <f t="shared" si="22"/>
        <v>0</v>
      </c>
    </row>
    <row r="75" spans="1:9" ht="22.5" customHeight="1" thickBot="1">
      <c r="A75" s="19" t="s">
        <v>57</v>
      </c>
      <c r="B75" s="27"/>
      <c r="C75" s="53">
        <f aca="true" t="shared" si="23" ref="C75:H75">C73*C30</f>
        <v>10106.505005148609</v>
      </c>
      <c r="D75" s="53">
        <f t="shared" si="23"/>
        <v>11116.927282393703</v>
      </c>
      <c r="E75" s="53">
        <f t="shared" si="23"/>
        <v>4674.162607370079</v>
      </c>
      <c r="F75" s="53">
        <f t="shared" si="23"/>
        <v>21223.224811842523</v>
      </c>
      <c r="G75" s="53">
        <f t="shared" si="23"/>
        <v>0</v>
      </c>
      <c r="H75" s="53">
        <f t="shared" si="23"/>
        <v>0</v>
      </c>
      <c r="I75" s="49">
        <f>SUM(C75:H75)</f>
        <v>47120.81970675491</v>
      </c>
    </row>
    <row r="76" spans="1:8" ht="22.5" customHeight="1">
      <c r="A76" s="106"/>
      <c r="B76" s="107"/>
      <c r="C76" s="108"/>
      <c r="D76" s="108"/>
      <c r="E76" s="108"/>
      <c r="F76" s="108"/>
      <c r="G76" s="108"/>
      <c r="H76" s="108"/>
    </row>
    <row r="77" spans="1:10" ht="16.5" thickBot="1">
      <c r="A77" s="101" t="s">
        <v>83</v>
      </c>
      <c r="B77" s="102"/>
      <c r="C77" s="103"/>
      <c r="D77" s="103"/>
      <c r="E77" s="103"/>
      <c r="F77" s="103"/>
      <c r="G77" s="103"/>
      <c r="H77" s="103"/>
      <c r="I77" s="104"/>
      <c r="J77" s="157" t="s">
        <v>121</v>
      </c>
    </row>
    <row r="78" spans="1:10" ht="12.75">
      <c r="A78" s="75" t="s">
        <v>59</v>
      </c>
      <c r="B78" s="78"/>
      <c r="C78" s="69"/>
      <c r="D78" s="69"/>
      <c r="E78" s="69"/>
      <c r="F78" s="69"/>
      <c r="G78" s="69"/>
      <c r="H78" s="69"/>
      <c r="I78" s="79">
        <f>SUM(C75:H75)</f>
        <v>47120.81970675491</v>
      </c>
      <c r="J78" s="158"/>
    </row>
    <row r="79" spans="1:10" ht="12.75">
      <c r="A79" s="71" t="s">
        <v>101</v>
      </c>
      <c r="B79" s="63"/>
      <c r="C79" s="85">
        <v>8450</v>
      </c>
      <c r="D79" s="85">
        <v>7575</v>
      </c>
      <c r="E79" s="85">
        <v>7575</v>
      </c>
      <c r="F79" s="85">
        <v>7575</v>
      </c>
      <c r="G79" s="85"/>
      <c r="H79" s="85"/>
      <c r="I79" s="72"/>
      <c r="J79" s="158"/>
    </row>
    <row r="80" spans="1:10" ht="12.75">
      <c r="A80" t="s">
        <v>102</v>
      </c>
      <c r="B80" s="63"/>
      <c r="C80" s="85">
        <v>8450</v>
      </c>
      <c r="D80" s="85">
        <v>7575</v>
      </c>
      <c r="E80" s="85">
        <f>E79*0.85</f>
        <v>6438.75</v>
      </c>
      <c r="F80" s="85">
        <f>F79*0.85</f>
        <v>6438.75</v>
      </c>
      <c r="G80" s="85"/>
      <c r="H80" s="85"/>
      <c r="I80" s="72"/>
      <c r="J80" s="158"/>
    </row>
    <row r="81" spans="1:10" ht="12.75">
      <c r="A81" s="80" t="s">
        <v>69</v>
      </c>
      <c r="B81" s="63"/>
      <c r="C81" s="105">
        <v>40000</v>
      </c>
      <c r="D81" s="85">
        <v>30000</v>
      </c>
      <c r="E81" s="85">
        <v>30000</v>
      </c>
      <c r="F81" s="85">
        <v>30000</v>
      </c>
      <c r="G81" s="105"/>
      <c r="H81" s="105"/>
      <c r="I81" s="81">
        <f>SUM(C81:H81)</f>
        <v>130000</v>
      </c>
      <c r="J81" s="158"/>
    </row>
    <row r="82" spans="1:10" ht="12.75">
      <c r="A82" s="80" t="s">
        <v>97</v>
      </c>
      <c r="B82" s="63"/>
      <c r="C82" s="85">
        <f>C80*C$30</f>
        <v>50700</v>
      </c>
      <c r="D82" s="85">
        <f>D80*D$30</f>
        <v>90900</v>
      </c>
      <c r="E82" s="85">
        <f>E80*E$30</f>
        <v>38632.5</v>
      </c>
      <c r="F82" s="85">
        <f>F80*F$30</f>
        <v>154530</v>
      </c>
      <c r="G82" s="85"/>
      <c r="H82" s="85"/>
      <c r="I82" s="81">
        <f>SUM(C82:H82)</f>
        <v>334762.5</v>
      </c>
      <c r="J82" s="158"/>
    </row>
    <row r="83" spans="1:10" ht="12.75">
      <c r="A83" s="71" t="s">
        <v>98</v>
      </c>
      <c r="B83" s="64"/>
      <c r="C83" s="85">
        <f>SUM(C81:C82)+C75</f>
        <v>100806.5050051486</v>
      </c>
      <c r="D83" s="85">
        <f>SUM(D81:D82)+D75</f>
        <v>132016.9272823937</v>
      </c>
      <c r="E83" s="85">
        <f>SUM(E81:E82)+E75</f>
        <v>73306.66260737008</v>
      </c>
      <c r="F83" s="85">
        <f>SUM(F81:F82)+F75</f>
        <v>205753.22481184252</v>
      </c>
      <c r="G83" s="85"/>
      <c r="H83" s="85"/>
      <c r="I83" s="82"/>
      <c r="J83" s="158"/>
    </row>
    <row r="84" spans="1:10" ht="12.75">
      <c r="A84" s="71"/>
      <c r="B84" s="77"/>
      <c r="C84" s="66"/>
      <c r="D84" s="66"/>
      <c r="E84" s="66"/>
      <c r="F84" s="66"/>
      <c r="G84" s="66"/>
      <c r="H84" s="66"/>
      <c r="I84" s="82"/>
      <c r="J84" s="158"/>
    </row>
    <row r="85" spans="1:10" ht="16.5" thickBot="1">
      <c r="A85" s="92" t="s">
        <v>68</v>
      </c>
      <c r="B85" s="93"/>
      <c r="C85" s="94"/>
      <c r="D85" s="94"/>
      <c r="E85" s="94"/>
      <c r="F85" s="94"/>
      <c r="G85" s="94"/>
      <c r="H85" s="94"/>
      <c r="I85" s="95">
        <f>SUM(I78:I83)</f>
        <v>511883.3197067549</v>
      </c>
      <c r="J85" s="158"/>
    </row>
    <row r="86" spans="1:10" ht="15.75">
      <c r="A86" s="101"/>
      <c r="B86" s="102"/>
      <c r="C86" s="103"/>
      <c r="D86" s="103"/>
      <c r="E86" s="103"/>
      <c r="F86" s="103"/>
      <c r="G86" s="103"/>
      <c r="H86" s="103"/>
      <c r="I86" s="104"/>
      <c r="J86" s="158"/>
    </row>
    <row r="87" spans="1:10" ht="15.75">
      <c r="A87" s="101"/>
      <c r="B87" s="102"/>
      <c r="C87" s="103"/>
      <c r="D87" s="103"/>
      <c r="E87" s="103"/>
      <c r="F87" s="103"/>
      <c r="G87" s="103"/>
      <c r="H87" s="103"/>
      <c r="I87" s="104"/>
      <c r="J87" s="158"/>
    </row>
    <row r="88" spans="1:10" ht="16.5" thickBot="1">
      <c r="A88" s="101" t="s">
        <v>91</v>
      </c>
      <c r="B88" s="102"/>
      <c r="C88" s="109" t="s">
        <v>85</v>
      </c>
      <c r="J88" s="158"/>
    </row>
    <row r="89" spans="1:10" ht="15">
      <c r="A89" s="75" t="s">
        <v>59</v>
      </c>
      <c r="B89" s="78"/>
      <c r="C89" s="69"/>
      <c r="D89" s="69"/>
      <c r="E89" s="69"/>
      <c r="F89" s="69"/>
      <c r="G89" s="69"/>
      <c r="H89" s="69"/>
      <c r="I89" s="79">
        <f>SUM(C75:H75)*(1+J89)</f>
        <v>70681.22956013237</v>
      </c>
      <c r="J89" s="110">
        <v>0.5</v>
      </c>
    </row>
    <row r="90" spans="1:10" ht="15">
      <c r="A90" s="71"/>
      <c r="B90" s="63"/>
      <c r="C90" s="62"/>
      <c r="D90" s="62"/>
      <c r="E90" s="62"/>
      <c r="F90" s="62"/>
      <c r="G90" s="62"/>
      <c r="H90" s="62"/>
      <c r="I90" s="72"/>
      <c r="J90" s="159"/>
    </row>
    <row r="91" spans="1:11" ht="15">
      <c r="A91" s="71" t="s">
        <v>84</v>
      </c>
      <c r="B91" s="63"/>
      <c r="C91" s="85">
        <f aca="true" t="shared" si="24" ref="C91:H92">C80</f>
        <v>8450</v>
      </c>
      <c r="D91" s="85">
        <f t="shared" si="24"/>
        <v>7575</v>
      </c>
      <c r="E91" s="85">
        <f t="shared" si="24"/>
        <v>6438.75</v>
      </c>
      <c r="F91" s="85">
        <f t="shared" si="24"/>
        <v>6438.75</v>
      </c>
      <c r="G91" s="85">
        <f t="shared" si="24"/>
        <v>0</v>
      </c>
      <c r="H91" s="85">
        <f t="shared" si="24"/>
        <v>0</v>
      </c>
      <c r="I91" s="72"/>
      <c r="J91" s="159"/>
      <c r="K91" t="s">
        <v>94</v>
      </c>
    </row>
    <row r="92" spans="1:10" ht="15">
      <c r="A92" s="80" t="s">
        <v>69</v>
      </c>
      <c r="B92" s="63"/>
      <c r="C92" s="105">
        <f t="shared" si="24"/>
        <v>40000</v>
      </c>
      <c r="D92" s="105">
        <f t="shared" si="24"/>
        <v>30000</v>
      </c>
      <c r="E92" s="105">
        <f t="shared" si="24"/>
        <v>30000</v>
      </c>
      <c r="F92" s="105">
        <f t="shared" si="24"/>
        <v>30000</v>
      </c>
      <c r="G92" s="147">
        <v>0</v>
      </c>
      <c r="H92" s="147">
        <v>0</v>
      </c>
      <c r="I92" s="81">
        <f>SUM(C92:H92)*(1+J92)</f>
        <v>195000</v>
      </c>
      <c r="J92" s="110">
        <v>0.5</v>
      </c>
    </row>
    <row r="93" spans="1:10" ht="15">
      <c r="A93" s="80" t="s">
        <v>97</v>
      </c>
      <c r="B93" s="63"/>
      <c r="C93" s="85">
        <f>C91*C$30</f>
        <v>50700</v>
      </c>
      <c r="D93" s="85">
        <f>D91*D$30</f>
        <v>90900</v>
      </c>
      <c r="E93" s="85">
        <f>E91*E$30</f>
        <v>38632.5</v>
      </c>
      <c r="F93" s="85">
        <f>F91*F$30</f>
        <v>154530</v>
      </c>
      <c r="G93" s="85">
        <v>0</v>
      </c>
      <c r="H93" s="85">
        <v>0</v>
      </c>
      <c r="I93" s="81">
        <f>SUM(C93:H93)*(1+J93)</f>
        <v>502143.75</v>
      </c>
      <c r="J93" s="110">
        <v>0.5</v>
      </c>
    </row>
    <row r="94" spans="1:10" ht="15">
      <c r="A94" s="71" t="s">
        <v>98</v>
      </c>
      <c r="B94" s="64"/>
      <c r="C94" s="85">
        <f aca="true" t="shared" si="25" ref="C94:H94">SUM(C92:C93)+C$75</f>
        <v>100806.5050051486</v>
      </c>
      <c r="D94" s="85">
        <f t="shared" si="25"/>
        <v>132016.9272823937</v>
      </c>
      <c r="E94" s="85">
        <f t="shared" si="25"/>
        <v>73306.66260737008</v>
      </c>
      <c r="F94" s="85">
        <f t="shared" si="25"/>
        <v>205753.22481184252</v>
      </c>
      <c r="G94" s="85">
        <f t="shared" si="25"/>
        <v>0</v>
      </c>
      <c r="H94" s="85">
        <f t="shared" si="25"/>
        <v>0</v>
      </c>
      <c r="I94" s="82"/>
      <c r="J94" s="159"/>
    </row>
    <row r="95" spans="1:10" ht="15.75" thickBot="1">
      <c r="A95" s="71"/>
      <c r="B95" s="77"/>
      <c r="C95" s="66"/>
      <c r="D95" s="66"/>
      <c r="E95" s="66"/>
      <c r="F95" s="66"/>
      <c r="G95" s="66"/>
      <c r="H95" s="66"/>
      <c r="I95" s="112"/>
      <c r="J95" s="159"/>
    </row>
    <row r="96" spans="1:10" ht="16.5" thickBot="1">
      <c r="A96" s="92" t="s">
        <v>68</v>
      </c>
      <c r="B96" s="93"/>
      <c r="C96" s="94"/>
      <c r="D96" s="94"/>
      <c r="E96" s="94"/>
      <c r="F96" s="111"/>
      <c r="G96" s="111"/>
      <c r="H96" s="111"/>
      <c r="I96" s="113">
        <f>SUM(I89:I94)</f>
        <v>767824.9795601324</v>
      </c>
      <c r="J96" s="159"/>
    </row>
    <row r="97" spans="1:10" ht="15.75">
      <c r="A97" s="101"/>
      <c r="B97" s="102"/>
      <c r="C97" s="103"/>
      <c r="D97" s="103"/>
      <c r="E97" s="103"/>
      <c r="F97" s="103"/>
      <c r="G97" s="103"/>
      <c r="H97" s="103"/>
      <c r="I97" s="104"/>
      <c r="J97" s="159"/>
    </row>
    <row r="98" spans="2:10" ht="15">
      <c r="B98" s="8"/>
      <c r="C98" s="10"/>
      <c r="D98" s="10"/>
      <c r="E98" s="10"/>
      <c r="F98" s="10"/>
      <c r="G98" s="10"/>
      <c r="H98" s="10"/>
      <c r="I98" s="49"/>
      <c r="J98" s="159"/>
    </row>
    <row r="99" spans="2:10" ht="15.75" thickBot="1">
      <c r="B99" s="8"/>
      <c r="C99" s="10"/>
      <c r="D99" s="10"/>
      <c r="E99" s="10"/>
      <c r="F99" s="10"/>
      <c r="G99" s="10"/>
      <c r="H99" s="10"/>
      <c r="I99" s="49"/>
      <c r="J99" s="159"/>
    </row>
    <row r="100" spans="1:10" ht="15">
      <c r="A100" s="75" t="s">
        <v>73</v>
      </c>
      <c r="B100" s="68"/>
      <c r="C100" s="69"/>
      <c r="D100" s="69"/>
      <c r="E100" s="69"/>
      <c r="F100" s="69"/>
      <c r="G100" s="69"/>
      <c r="H100" s="69"/>
      <c r="I100" s="70"/>
      <c r="J100" s="159"/>
    </row>
    <row r="101" spans="1:10" ht="15">
      <c r="A101" s="71" t="s">
        <v>103</v>
      </c>
      <c r="B101" s="64">
        <v>40</v>
      </c>
      <c r="C101" s="62"/>
      <c r="D101" s="62"/>
      <c r="E101" s="62"/>
      <c r="F101" s="62"/>
      <c r="G101" s="62"/>
      <c r="H101" s="62"/>
      <c r="I101" s="72"/>
      <c r="J101" s="159"/>
    </row>
    <row r="102" spans="1:10" ht="15">
      <c r="A102" s="71" t="s">
        <v>122</v>
      </c>
      <c r="B102" s="64">
        <v>14.8</v>
      </c>
      <c r="C102" s="62"/>
      <c r="D102" s="62"/>
      <c r="E102" s="62"/>
      <c r="F102" s="62"/>
      <c r="G102" s="62"/>
      <c r="H102" s="62"/>
      <c r="I102" s="72"/>
      <c r="J102" s="159"/>
    </row>
    <row r="103" spans="1:10" ht="15">
      <c r="A103" s="71" t="s">
        <v>123</v>
      </c>
      <c r="B103" s="64">
        <v>7.1</v>
      </c>
      <c r="C103" s="62"/>
      <c r="D103" s="62"/>
      <c r="E103" s="62"/>
      <c r="F103" s="62"/>
      <c r="G103" s="62"/>
      <c r="H103" s="62"/>
      <c r="I103" s="72"/>
      <c r="J103" s="159"/>
    </row>
    <row r="104" spans="1:10" ht="15">
      <c r="A104" s="71" t="s">
        <v>113</v>
      </c>
      <c r="B104" s="65"/>
      <c r="C104" s="65">
        <f>($B$102+$B103)*C17*$B$101</f>
        <v>4064.6399999999994</v>
      </c>
      <c r="D104" s="65">
        <f>($B$102+$B103)*D17*$B$101</f>
        <v>2312.6400000000003</v>
      </c>
      <c r="E104" s="65">
        <f>($B$102+$B103)*E17*$B$101</f>
        <v>1944.72</v>
      </c>
      <c r="F104" s="65">
        <f>($B$102+$B103)*F17*$B$101</f>
        <v>2207.52</v>
      </c>
      <c r="G104" s="65"/>
      <c r="H104" s="65"/>
      <c r="I104" s="72"/>
      <c r="J104" s="159"/>
    </row>
    <row r="105" spans="1:10" ht="15">
      <c r="A105" s="71" t="s">
        <v>108</v>
      </c>
      <c r="B105" s="65"/>
      <c r="C105" s="66">
        <f>C104*C30</f>
        <v>24387.839999999997</v>
      </c>
      <c r="D105" s="66">
        <f>D104*D30</f>
        <v>27751.680000000004</v>
      </c>
      <c r="E105" s="66">
        <f>E104*E30</f>
        <v>11668.32</v>
      </c>
      <c r="F105" s="66">
        <f>F104*F30</f>
        <v>52980.479999999996</v>
      </c>
      <c r="G105" s="66"/>
      <c r="H105" s="66"/>
      <c r="I105" s="72"/>
      <c r="J105" s="159"/>
    </row>
    <row r="106" spans="1:10" ht="15">
      <c r="A106" s="71" t="s">
        <v>106</v>
      </c>
      <c r="B106" s="67">
        <f>85*9.2</f>
        <v>781.9999999999999</v>
      </c>
      <c r="C106" s="66"/>
      <c r="D106" s="66"/>
      <c r="E106" s="66"/>
      <c r="F106" s="66"/>
      <c r="G106" s="66"/>
      <c r="H106" s="66"/>
      <c r="I106" s="72"/>
      <c r="J106" s="159"/>
    </row>
    <row r="107" spans="1:10" ht="15">
      <c r="A107" s="71" t="s">
        <v>124</v>
      </c>
      <c r="B107" s="67"/>
      <c r="C107" s="66">
        <f>$B$106*C17</f>
        <v>3628.479999999999</v>
      </c>
      <c r="D107" s="66">
        <f>$B$106*D17</f>
        <v>2064.48</v>
      </c>
      <c r="E107" s="66">
        <f>$B$106*E17</f>
        <v>1736.04</v>
      </c>
      <c r="F107" s="66">
        <f>$B$106*F17</f>
        <v>1970.6399999999996</v>
      </c>
      <c r="G107" s="66"/>
      <c r="H107" s="66"/>
      <c r="I107" s="72"/>
      <c r="J107" s="159"/>
    </row>
    <row r="108" spans="1:10" ht="15">
      <c r="A108" s="71" t="s">
        <v>125</v>
      </c>
      <c r="B108" s="67"/>
      <c r="C108" s="66">
        <f>C107*C30</f>
        <v>21770.879999999994</v>
      </c>
      <c r="D108" s="66">
        <f>D107*D30</f>
        <v>24773.760000000002</v>
      </c>
      <c r="E108" s="66">
        <f>E107*E30</f>
        <v>10416.24</v>
      </c>
      <c r="F108" s="66">
        <f>F107*F30</f>
        <v>47295.35999999999</v>
      </c>
      <c r="G108" s="66"/>
      <c r="H108" s="66"/>
      <c r="I108" s="72"/>
      <c r="J108" s="159"/>
    </row>
    <row r="109" spans="1:10" ht="15">
      <c r="A109" s="71" t="s">
        <v>109</v>
      </c>
      <c r="B109" s="63"/>
      <c r="C109" s="66">
        <f>C108+C105</f>
        <v>46158.71999999999</v>
      </c>
      <c r="D109" s="66">
        <f>D108+D105</f>
        <v>52525.44</v>
      </c>
      <c r="E109" s="66">
        <f>E108+E105</f>
        <v>22084.559999999998</v>
      </c>
      <c r="F109" s="66">
        <f>F108+F105</f>
        <v>100275.84</v>
      </c>
      <c r="G109" s="66"/>
      <c r="H109" s="66"/>
      <c r="I109" s="84">
        <f>SUM(C109:H109)</f>
        <v>221044.56</v>
      </c>
      <c r="J109" s="159">
        <v>0.5</v>
      </c>
    </row>
    <row r="110" spans="1:10" ht="15">
      <c r="A110" s="80" t="s">
        <v>110</v>
      </c>
      <c r="B110" s="76"/>
      <c r="C110" s="85">
        <f>(C107+C104)/4</f>
        <v>1923.2799999999997</v>
      </c>
      <c r="D110" s="85">
        <f>(D107+D104)/4</f>
        <v>1094.2800000000002</v>
      </c>
      <c r="E110" s="85">
        <f>(E107+E104)/4</f>
        <v>920.19</v>
      </c>
      <c r="F110" s="85">
        <f>(F107+F104)/4</f>
        <v>1044.54</v>
      </c>
      <c r="G110" s="85"/>
      <c r="H110" s="85"/>
      <c r="I110" s="81"/>
      <c r="J110" s="159"/>
    </row>
    <row r="111" spans="1:10" ht="15">
      <c r="A111" s="86" t="s">
        <v>74</v>
      </c>
      <c r="B111" s="63"/>
      <c r="C111" s="62">
        <v>18</v>
      </c>
      <c r="D111" s="62">
        <v>18</v>
      </c>
      <c r="E111" s="62">
        <v>18</v>
      </c>
      <c r="F111" s="62">
        <v>18</v>
      </c>
      <c r="G111" s="62"/>
      <c r="H111" s="62"/>
      <c r="I111" s="87"/>
      <c r="J111" s="159"/>
    </row>
    <row r="112" spans="1:10" ht="15.75" thickBot="1">
      <c r="A112" s="136" t="s">
        <v>126</v>
      </c>
      <c r="B112" s="137"/>
      <c r="C112" s="163">
        <f>6*C17</f>
        <v>27.839999999999996</v>
      </c>
      <c r="D112" s="163">
        <f>6*D17</f>
        <v>15.84</v>
      </c>
      <c r="E112" s="163">
        <f>6*E17</f>
        <v>13.32</v>
      </c>
      <c r="F112" s="163">
        <f>6*F17</f>
        <v>15.120000000000001</v>
      </c>
      <c r="G112" s="162"/>
      <c r="H112" s="162"/>
      <c r="I112" s="138"/>
      <c r="J112" s="159"/>
    </row>
    <row r="113" spans="1:10" ht="15.75" thickBot="1">
      <c r="A113" s="136" t="s">
        <v>112</v>
      </c>
      <c r="B113" s="137"/>
      <c r="C113" s="83">
        <f>C111*C112</f>
        <v>501.11999999999995</v>
      </c>
      <c r="D113" s="83">
        <f>D111*D112</f>
        <v>285.12</v>
      </c>
      <c r="E113" s="83">
        <f>E111*E112</f>
        <v>239.76</v>
      </c>
      <c r="F113" s="83">
        <f>F111*F112</f>
        <v>272.16</v>
      </c>
      <c r="G113" s="83"/>
      <c r="H113" s="83"/>
      <c r="I113" s="138"/>
      <c r="J113" s="159"/>
    </row>
    <row r="114" spans="1:10" ht="15.75" thickBot="1">
      <c r="A114" s="88" t="s">
        <v>111</v>
      </c>
      <c r="B114" s="73"/>
      <c r="C114" s="83">
        <f>(C113+C110)*C30</f>
        <v>14546.399999999998</v>
      </c>
      <c r="D114" s="83">
        <f>(D113+D110)*D30</f>
        <v>16552.800000000003</v>
      </c>
      <c r="E114" s="83">
        <f>(E113+E110)*E30</f>
        <v>6959.700000000001</v>
      </c>
      <c r="F114" s="83">
        <f>(F113+F110)*F30</f>
        <v>31600.800000000003</v>
      </c>
      <c r="G114" s="83"/>
      <c r="H114" s="83"/>
      <c r="I114" s="74">
        <f>SUM(C114:H114)</f>
        <v>69659.70000000001</v>
      </c>
      <c r="J114" s="159">
        <v>0.5</v>
      </c>
    </row>
    <row r="115" spans="1:10" ht="15.75" thickBot="1">
      <c r="A115" s="123" t="s">
        <v>93</v>
      </c>
      <c r="B115" s="124"/>
      <c r="C115" s="125">
        <v>3000</v>
      </c>
      <c r="D115" s="125">
        <f>C115</f>
        <v>3000</v>
      </c>
      <c r="E115" s="125">
        <f>D115</f>
        <v>3000</v>
      </c>
      <c r="F115" s="125">
        <f>E115</f>
        <v>3000</v>
      </c>
      <c r="G115" s="148"/>
      <c r="H115" s="148"/>
      <c r="I115" s="126">
        <f>SUM(C115:H115)</f>
        <v>12000</v>
      </c>
      <c r="J115" s="159">
        <v>0.5</v>
      </c>
    </row>
    <row r="116" spans="1:10" ht="15.75" thickBot="1">
      <c r="A116" s="114" t="s">
        <v>75</v>
      </c>
      <c r="B116" s="90"/>
      <c r="C116" s="91"/>
      <c r="D116" s="91"/>
      <c r="E116" s="91"/>
      <c r="F116" s="91"/>
      <c r="G116" s="91"/>
      <c r="H116" s="91"/>
      <c r="I116" s="117">
        <f>SUM(I109:I115)</f>
        <v>302704.26</v>
      </c>
      <c r="J116" s="160"/>
    </row>
    <row r="117" spans="1:10" ht="16.5" thickBot="1">
      <c r="A117" s="114" t="s">
        <v>107</v>
      </c>
      <c r="B117" s="116"/>
      <c r="C117" s="115"/>
      <c r="D117" s="115"/>
      <c r="E117" s="115"/>
      <c r="F117" s="115"/>
      <c r="G117" s="115"/>
      <c r="H117" s="115"/>
      <c r="I117" s="113">
        <f>I109*(1+J109)+I114*(1+J114)+I115*(1+J115)</f>
        <v>454056.39</v>
      </c>
      <c r="J117" s="158"/>
    </row>
    <row r="118" ht="12.75" customHeight="1">
      <c r="J118" s="158"/>
    </row>
    <row r="119" ht="15.75" customHeight="1" thickBot="1">
      <c r="J119" s="158"/>
    </row>
    <row r="120" spans="1:10" ht="21" customHeight="1">
      <c r="A120" s="75" t="s">
        <v>76</v>
      </c>
      <c r="B120" s="78"/>
      <c r="C120" s="69"/>
      <c r="D120" s="69"/>
      <c r="E120" s="69"/>
      <c r="F120" s="69"/>
      <c r="G120" s="129"/>
      <c r="H120" s="129"/>
      <c r="I120" s="70"/>
      <c r="J120" s="158"/>
    </row>
    <row r="121" spans="1:10" ht="15.75" thickBot="1">
      <c r="A121" s="118" t="s">
        <v>90</v>
      </c>
      <c r="B121" s="119"/>
      <c r="C121" s="97">
        <v>20</v>
      </c>
      <c r="D121" s="97">
        <v>20</v>
      </c>
      <c r="E121" s="97">
        <v>20</v>
      </c>
      <c r="F121" s="97">
        <v>20</v>
      </c>
      <c r="G121" s="149"/>
      <c r="H121" s="149"/>
      <c r="I121" s="120"/>
      <c r="J121" s="158"/>
    </row>
    <row r="122" spans="1:10" ht="15.75" thickBot="1">
      <c r="A122" s="127" t="s">
        <v>92</v>
      </c>
      <c r="B122" s="119"/>
      <c r="C122" s="97">
        <v>6</v>
      </c>
      <c r="D122" s="97">
        <v>6</v>
      </c>
      <c r="E122" s="97">
        <v>6</v>
      </c>
      <c r="F122" s="97">
        <v>6</v>
      </c>
      <c r="G122" s="97"/>
      <c r="H122" s="97"/>
      <c r="I122" s="120"/>
      <c r="J122" s="158"/>
    </row>
    <row r="123" spans="1:10" ht="15.75" thickBot="1">
      <c r="A123" s="71" t="s">
        <v>77</v>
      </c>
      <c r="B123" s="63"/>
      <c r="C123" s="97">
        <v>1</v>
      </c>
      <c r="D123" s="97">
        <v>1</v>
      </c>
      <c r="E123" s="97">
        <v>1</v>
      </c>
      <c r="F123" s="97">
        <v>1</v>
      </c>
      <c r="G123" s="97"/>
      <c r="H123" s="97"/>
      <c r="I123" s="72"/>
      <c r="J123" s="158"/>
    </row>
    <row r="124" spans="1:10" ht="15.75" thickBot="1">
      <c r="A124" s="71" t="s">
        <v>78</v>
      </c>
      <c r="B124" s="63"/>
      <c r="C124" s="97">
        <f>C123*C17*2</f>
        <v>9.28</v>
      </c>
      <c r="D124" s="97">
        <f>D123*D17*2</f>
        <v>5.28</v>
      </c>
      <c r="E124" s="97">
        <f>E123*E17*2</f>
        <v>4.44</v>
      </c>
      <c r="F124" s="97">
        <f>F123*F17*2</f>
        <v>5.04</v>
      </c>
      <c r="G124" s="97"/>
      <c r="H124" s="97"/>
      <c r="I124" s="72"/>
      <c r="J124" s="158"/>
    </row>
    <row r="125" spans="1:10" ht="15.75" thickBot="1">
      <c r="A125" s="71" t="s">
        <v>79</v>
      </c>
      <c r="B125" s="63"/>
      <c r="C125" s="97">
        <v>6</v>
      </c>
      <c r="D125" s="97">
        <v>4</v>
      </c>
      <c r="E125" s="97">
        <v>4</v>
      </c>
      <c r="F125" s="97">
        <v>4</v>
      </c>
      <c r="G125" s="97"/>
      <c r="H125" s="97"/>
      <c r="I125" s="72"/>
      <c r="J125" s="158"/>
    </row>
    <row r="126" spans="1:10" ht="15.75" thickBot="1">
      <c r="A126" s="71" t="s">
        <v>89</v>
      </c>
      <c r="B126" s="63"/>
      <c r="C126" s="97">
        <f>C127*0.1/2</f>
        <v>14.768</v>
      </c>
      <c r="D126" s="97">
        <f>D127*0.1/2</f>
        <v>20.336000000000002</v>
      </c>
      <c r="E126" s="97">
        <f>E127*0.1/2</f>
        <v>10.664000000000001</v>
      </c>
      <c r="F126" s="97">
        <f>F127*0.1/2</f>
        <v>38.096</v>
      </c>
      <c r="G126" s="97"/>
      <c r="H126" s="97"/>
      <c r="I126" s="121"/>
      <c r="J126" s="158"/>
    </row>
    <row r="127" spans="1:10" ht="16.5" thickBot="1">
      <c r="A127" s="98" t="s">
        <v>80</v>
      </c>
      <c r="B127" s="99"/>
      <c r="C127" s="97">
        <f>(C121+(C125+C124+C122)*C$30)*2</f>
        <v>295.36</v>
      </c>
      <c r="D127" s="97">
        <f>(D121+(D125+D124+D122)*D$30)*2</f>
        <v>406.72</v>
      </c>
      <c r="E127" s="97">
        <f>(E121+(E125+E124+E122)*E$30)*2</f>
        <v>213.28000000000003</v>
      </c>
      <c r="F127" s="97">
        <f>(F121+(F125+F124+F122)*F$30)*2</f>
        <v>761.92</v>
      </c>
      <c r="G127" s="97"/>
      <c r="H127" s="97"/>
      <c r="I127" s="146">
        <f>SUM(C127:H127)</f>
        <v>1677.2800000000002</v>
      </c>
      <c r="J127" s="158"/>
    </row>
    <row r="128" spans="1:10" ht="16.5" thickBot="1">
      <c r="A128" s="71" t="s">
        <v>86</v>
      </c>
      <c r="B128" s="99"/>
      <c r="C128" s="97">
        <v>20</v>
      </c>
      <c r="D128" s="97">
        <v>20</v>
      </c>
      <c r="E128" s="97">
        <v>20</v>
      </c>
      <c r="F128" s="97">
        <v>20</v>
      </c>
      <c r="G128" s="149"/>
      <c r="H128" s="149"/>
      <c r="I128" s="122"/>
      <c r="J128" s="158"/>
    </row>
    <row r="129" spans="1:10" ht="16.5" thickBot="1">
      <c r="A129" s="71" t="s">
        <v>87</v>
      </c>
      <c r="B129" s="99"/>
      <c r="C129" s="97">
        <v>20</v>
      </c>
      <c r="D129" s="97">
        <v>20</v>
      </c>
      <c r="E129" s="97">
        <v>20</v>
      </c>
      <c r="F129" s="97">
        <v>20</v>
      </c>
      <c r="G129" s="149"/>
      <c r="H129" s="149"/>
      <c r="I129" s="100"/>
      <c r="J129" s="158"/>
    </row>
    <row r="130" spans="1:10" ht="16.5" thickBot="1">
      <c r="A130" s="71" t="s">
        <v>88</v>
      </c>
      <c r="B130" s="99"/>
      <c r="C130" s="97">
        <v>2</v>
      </c>
      <c r="D130" s="97">
        <v>2</v>
      </c>
      <c r="E130" s="97">
        <v>2</v>
      </c>
      <c r="F130" s="97">
        <v>2</v>
      </c>
      <c r="G130" s="97"/>
      <c r="H130" s="97"/>
      <c r="I130" s="100"/>
      <c r="J130" s="158"/>
    </row>
    <row r="131" spans="1:9" ht="15.75" thickBot="1">
      <c r="A131" s="71" t="s">
        <v>81</v>
      </c>
      <c r="B131" s="63"/>
      <c r="C131" s="97">
        <v>4</v>
      </c>
      <c r="D131" s="97">
        <v>4</v>
      </c>
      <c r="E131" s="97">
        <v>4</v>
      </c>
      <c r="F131" s="97">
        <v>4</v>
      </c>
      <c r="G131" s="97"/>
      <c r="H131" s="97"/>
      <c r="I131" s="121"/>
    </row>
    <row r="132" spans="1:9" ht="16.5" thickBot="1">
      <c r="A132" s="92" t="s">
        <v>82</v>
      </c>
      <c r="B132" s="96"/>
      <c r="C132" s="97">
        <f>C131*C$30*2+C129+C128+C126</f>
        <v>102.768</v>
      </c>
      <c r="D132" s="97">
        <f>D131*D$30*2+D129+D128+D126</f>
        <v>156.336</v>
      </c>
      <c r="E132" s="97">
        <f>E131*E$30*2+E129+E128+E126</f>
        <v>98.664</v>
      </c>
      <c r="F132" s="97">
        <f>F131*F$30*2+F129+F128+F126</f>
        <v>270.096</v>
      </c>
      <c r="G132" s="97"/>
      <c r="H132" s="97"/>
      <c r="I132" s="146">
        <f>SUM(C132:H132)</f>
        <v>627.864</v>
      </c>
    </row>
    <row r="135" spans="2:11" ht="12.75" hidden="1">
      <c r="B135">
        <v>1849</v>
      </c>
      <c r="C135" s="3">
        <v>144</v>
      </c>
      <c r="E135" s="3">
        <f>SUM(A135:D135)</f>
        <v>1993</v>
      </c>
      <c r="I135">
        <f>E135*K135</f>
        <v>161433</v>
      </c>
      <c r="K135">
        <v>81</v>
      </c>
    </row>
    <row r="136" spans="1:11" ht="12.75" hidden="1">
      <c r="A136">
        <v>632</v>
      </c>
      <c r="B136">
        <v>1934</v>
      </c>
      <c r="C136" s="3">
        <v>192</v>
      </c>
      <c r="D136" s="3">
        <v>940</v>
      </c>
      <c r="E136" s="3">
        <f>SUM(A136:D136)</f>
        <v>3698</v>
      </c>
      <c r="I136">
        <f>E136*K136</f>
        <v>628660</v>
      </c>
      <c r="K136">
        <v>170</v>
      </c>
    </row>
    <row r="137" ht="12.75" hidden="1">
      <c r="I137" s="49">
        <f>I136+I117+I96+I135</f>
        <v>2011974.3695601325</v>
      </c>
    </row>
    <row r="138" ht="13.5" thickBot="1"/>
    <row r="139" spans="1:9" ht="16.5" thickBot="1">
      <c r="A139" s="139" t="s">
        <v>118</v>
      </c>
      <c r="B139" s="139"/>
      <c r="C139" s="140">
        <f>I127/80/3</f>
        <v>6.988666666666667</v>
      </c>
      <c r="D139" s="141"/>
      <c r="E139" s="141"/>
      <c r="F139" s="141"/>
      <c r="G139" s="142" t="s">
        <v>115</v>
      </c>
      <c r="H139" s="142"/>
      <c r="I139" s="145">
        <f>I117+I96</f>
        <v>1221881.3695601323</v>
      </c>
    </row>
    <row r="140" spans="1:9" ht="15">
      <c r="A140" s="139" t="s">
        <v>119</v>
      </c>
      <c r="B140" s="139"/>
      <c r="C140" s="140">
        <f>C139/2</f>
        <v>3.4943333333333335</v>
      </c>
      <c r="D140" s="141"/>
      <c r="E140" s="141"/>
      <c r="F140" s="141"/>
      <c r="G140" s="141"/>
      <c r="H140" s="141"/>
      <c r="I140" s="139"/>
    </row>
    <row r="141" spans="1:9" ht="15">
      <c r="A141" s="139"/>
      <c r="B141" s="139"/>
      <c r="C141" s="140"/>
      <c r="D141" s="141"/>
      <c r="E141" s="141"/>
      <c r="F141" s="141"/>
      <c r="G141" s="141" t="s">
        <v>104</v>
      </c>
      <c r="H141" s="141"/>
      <c r="I141" s="143">
        <f>I132+I127</f>
        <v>2305.1440000000002</v>
      </c>
    </row>
    <row r="142" spans="1:9" ht="15">
      <c r="A142" s="139"/>
      <c r="B142" s="139"/>
      <c r="C142" s="141"/>
      <c r="D142" s="141"/>
      <c r="E142" s="141"/>
      <c r="F142" s="141"/>
      <c r="G142" s="141" t="s">
        <v>116</v>
      </c>
      <c r="H142" s="141"/>
      <c r="I142" s="144">
        <v>85</v>
      </c>
    </row>
    <row r="143" spans="1:9" ht="15.75" thickBot="1">
      <c r="A143" s="139"/>
      <c r="B143" s="139"/>
      <c r="C143" s="141"/>
      <c r="D143" s="141"/>
      <c r="E143" s="141"/>
      <c r="F143" s="141"/>
      <c r="G143" s="141" t="s">
        <v>117</v>
      </c>
      <c r="H143" s="141"/>
      <c r="I143" s="144">
        <v>160</v>
      </c>
    </row>
    <row r="144" spans="1:9" ht="16.5" thickBot="1">
      <c r="A144" s="139"/>
      <c r="B144" s="139"/>
      <c r="C144" s="141"/>
      <c r="D144" s="141"/>
      <c r="E144" s="141"/>
      <c r="F144" s="141"/>
      <c r="G144" s="142" t="s">
        <v>114</v>
      </c>
      <c r="H144" s="142"/>
      <c r="I144" s="145">
        <f>I127*I142+I132*I143</f>
        <v>243027.04000000004</v>
      </c>
    </row>
    <row r="145" spans="1:9" ht="15.75" thickBot="1">
      <c r="A145" s="139"/>
      <c r="B145" s="139"/>
      <c r="C145" s="141"/>
      <c r="D145" s="141"/>
      <c r="E145" s="141"/>
      <c r="F145" s="141"/>
      <c r="G145" s="141"/>
      <c r="H145" s="141"/>
      <c r="I145" s="139"/>
    </row>
    <row r="146" spans="1:9" ht="16.5" thickBot="1">
      <c r="A146" s="139"/>
      <c r="B146" s="139"/>
      <c r="C146" s="141"/>
      <c r="D146" s="141"/>
      <c r="E146" s="141"/>
      <c r="F146" s="141"/>
      <c r="G146" s="142" t="s">
        <v>105</v>
      </c>
      <c r="H146" s="142"/>
      <c r="I146" s="145">
        <f>I144+I139</f>
        <v>1464908.4095601323</v>
      </c>
    </row>
    <row r="147" spans="1:9" ht="15">
      <c r="A147" s="139"/>
      <c r="B147" s="139"/>
      <c r="C147" s="141"/>
      <c r="D147" s="141"/>
      <c r="E147" s="141"/>
      <c r="F147" s="141"/>
      <c r="G147" s="141"/>
      <c r="H147" s="141"/>
      <c r="I147" s="139"/>
    </row>
  </sheetData>
  <printOptions/>
  <pageMargins left="0.75" right="0.75" top="1" bottom="1" header="0.5" footer="0.5"/>
  <pageSetup horizontalDpi="600" verticalDpi="600" orientation="portrait" paperSize="3" r:id="rId1"/>
  <headerFooter alignWithMargins="0">
    <oddHeader>&amp;C&amp;"Arial,Bold"&amp;14NCSX PF Fabrication Material Cost Estimate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2008-01-07T20:20:12Z</cp:lastPrinted>
  <dcterms:created xsi:type="dcterms:W3CDTF">2001-10-24T18:11:20Z</dcterms:created>
  <dcterms:modified xsi:type="dcterms:W3CDTF">2008-02-13T22:06:55Z</dcterms:modified>
  <cp:category/>
  <cp:version/>
  <cp:contentType/>
  <cp:contentStatus/>
</cp:coreProperties>
</file>