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670" windowHeight="7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'Sheet1'!$A$1:$AC$96</definedName>
  </definedNames>
  <calcPr fullCalcOnLoad="1"/>
</workbook>
</file>

<file path=xl/sharedStrings.xml><?xml version="1.0" encoding="utf-8"?>
<sst xmlns="http://schemas.openxmlformats.org/spreadsheetml/2006/main" count="248" uniqueCount="189">
  <si>
    <t>Unit</t>
  </si>
  <si>
    <t>Sl# of Trmr</t>
  </si>
  <si>
    <t>KVA</t>
  </si>
  <si>
    <t>%Z</t>
  </si>
  <si>
    <t>Vsec no load L-L</t>
  </si>
  <si>
    <t>T1</t>
  </si>
  <si>
    <t>T2</t>
  </si>
  <si>
    <t>T3</t>
  </si>
  <si>
    <t>T4</t>
  </si>
  <si>
    <t>DF</t>
  </si>
  <si>
    <t>IF</t>
  </si>
  <si>
    <t>86-1258</t>
  </si>
  <si>
    <t>86-1264</t>
  </si>
  <si>
    <t>86-1260</t>
  </si>
  <si>
    <t>86-1262</t>
  </si>
  <si>
    <t>86-1259</t>
  </si>
  <si>
    <t>86-1263</t>
  </si>
  <si>
    <t>86-1261</t>
  </si>
  <si>
    <t>86-1265</t>
  </si>
  <si>
    <t>86-1256</t>
  </si>
  <si>
    <t>86-1257</t>
  </si>
  <si>
    <t>86-1175</t>
  </si>
  <si>
    <t>86-1176</t>
  </si>
  <si>
    <t>Vpri - 3ph.L to L</t>
  </si>
  <si>
    <t>Pri Res. (mOhm)</t>
  </si>
  <si>
    <t>Sec. Res. (mOhm)</t>
  </si>
  <si>
    <t>Ideal DC no load Volts</t>
  </si>
  <si>
    <t>Ip in Cont</t>
  </si>
  <si>
    <t>Ip in pulsed</t>
  </si>
  <si>
    <t>Rated DC Volts</t>
  </si>
  <si>
    <t>Rated pulsed DC Current-kA</t>
  </si>
  <si>
    <t>L</t>
  </si>
  <si>
    <t>Z base (Ohms)</t>
  </si>
  <si>
    <t>Z sec side</t>
  </si>
  <si>
    <t>L/2</t>
  </si>
  <si>
    <t>Volt Drop</t>
  </si>
  <si>
    <t>Is  RMS Cont</t>
  </si>
  <si>
    <t xml:space="preserve">Is RMS pulsed </t>
  </si>
  <si>
    <t>X Sec side</t>
  </si>
  <si>
    <t>Percent drop</t>
  </si>
  <si>
    <t>Re*</t>
  </si>
  <si>
    <t>Summary of the equivalent resistance to compute voltage drop</t>
  </si>
  <si>
    <t>Volt drop on full load</t>
  </si>
  <si>
    <t>Kimbark 6fL</t>
  </si>
  <si>
    <t>Average Drop</t>
  </si>
  <si>
    <t>Volts</t>
  </si>
  <si>
    <t>Ohms</t>
  </si>
  <si>
    <t>Vdo = 3*(6^0.50)*Eln/PI</t>
  </si>
  <si>
    <t>1.35*E Line to Line</t>
  </si>
  <si>
    <t>2.34* E Line to Neutral</t>
  </si>
  <si>
    <t>OR</t>
  </si>
  <si>
    <t>Z/Zbase</t>
  </si>
  <si>
    <t>Z= %Z*((V/I)/100)</t>
  </si>
  <si>
    <t>Is = Idc/(m^0.5)</t>
  </si>
  <si>
    <t>Kimbark = 6fLc</t>
  </si>
  <si>
    <t>Drop = I*(Kimbark+Res.)</t>
  </si>
  <si>
    <t>* Equivalent Resistance Re per tmfr.</t>
  </si>
  <si>
    <t>5kA</t>
  </si>
  <si>
    <t>50mV=  2.5 kA</t>
  </si>
  <si>
    <t>50mV=    5 kA</t>
  </si>
  <si>
    <t>50mV=  1.5 kA</t>
  </si>
  <si>
    <t>Pri Res. (mOhm) referred to secondary</t>
  </si>
  <si>
    <t>Total Eq. Resis - ohms</t>
  </si>
  <si>
    <t>Rec per CKT; Rec=Re/2</t>
  </si>
  <si>
    <t>Load Coil</t>
  </si>
  <si>
    <t>Supply</t>
  </si>
  <si>
    <t xml:space="preserve">DF  </t>
  </si>
  <si>
    <t xml:space="preserve">IF </t>
  </si>
  <si>
    <t>Amp max</t>
  </si>
  <si>
    <t>Cable#</t>
  </si>
  <si>
    <t>Shunt in Supply</t>
  </si>
  <si>
    <t>Total Resis. mohms</t>
  </si>
  <si>
    <t>Ideal Volts</t>
  </si>
  <si>
    <t>1.5kA</t>
  </si>
  <si>
    <t>2.5kA</t>
  </si>
  <si>
    <t>Forcing Volt for coil</t>
  </si>
  <si>
    <t>Adjusted Resis*. mohms</t>
  </si>
  <si>
    <t>* Adjusted (12%) to compensate for temp. - arbitrary</t>
  </si>
  <si>
    <t>Cabling Loop resis.</t>
  </si>
  <si>
    <t>Load assignment</t>
  </si>
  <si>
    <t>PF4</t>
  </si>
  <si>
    <t>PF6</t>
  </si>
  <si>
    <t>M1</t>
  </si>
  <si>
    <t>M2+M3</t>
  </si>
  <si>
    <t>PF1a</t>
  </si>
  <si>
    <t>PEI</t>
  </si>
  <si>
    <t>kVA</t>
  </si>
  <si>
    <t>Impedance</t>
  </si>
  <si>
    <t>WYE</t>
  </si>
  <si>
    <t>DELTA</t>
  </si>
  <si>
    <t xml:space="preserve">PEI TRANSFORMER DATA FROM EARNIE SCHOOP </t>
  </si>
  <si>
    <t>JANUARY 04 2006</t>
  </si>
  <si>
    <t>2500MW (pulsed) power supply at 500V dc- PEI part# 11345; PEI Job# 90-027 S/N 01</t>
  </si>
  <si>
    <t>Three winding transformer with Delta primary comprising of two parallel windings and WYE &amp; DELTA secondaries</t>
  </si>
  <si>
    <t>kW</t>
  </si>
  <si>
    <t>DC Voltage (open circuit)</t>
  </si>
  <si>
    <t>V</t>
  </si>
  <si>
    <t>(Calculated from data furnished)</t>
  </si>
  <si>
    <t>(Based on nameplate?)</t>
  </si>
  <si>
    <t>kVA -RMS</t>
  </si>
  <si>
    <t>kVA -Pulsed</t>
  </si>
  <si>
    <t>Primary Voltage</t>
  </si>
  <si>
    <t>(+/- 5%)</t>
  </si>
  <si>
    <t>Voltage Ratio</t>
  </si>
  <si>
    <t>%</t>
  </si>
  <si>
    <t>Note: The primary voltage required to inject full RMS current in both secondaries is 49.76V with the secondaries shorted.</t>
  </si>
  <si>
    <t>Primary Current</t>
  </si>
  <si>
    <t>A</t>
  </si>
  <si>
    <t>in each of the two parallel primary windiings</t>
  </si>
  <si>
    <t>Primary Line current</t>
  </si>
  <si>
    <t>mOhms</t>
  </si>
  <si>
    <t>per phase</t>
  </si>
  <si>
    <t>Insulation tests: primary to ground at 10kV; Primary to Secondary at 10kV; Secondary (Wye) to ground at 2.5kV</t>
  </si>
  <si>
    <t>% Impedance =( IZ/V)*100=(V^2*Z/VA)*100</t>
  </si>
  <si>
    <t>Delta</t>
  </si>
  <si>
    <t>Wye</t>
  </si>
  <si>
    <t>T1 ╢T4</t>
  </si>
  <si>
    <t xml:space="preserve">T2 </t>
  </si>
  <si>
    <t>50mV=     1.5 kA</t>
  </si>
  <si>
    <t>41856CA</t>
  </si>
  <si>
    <t>41875CA</t>
  </si>
  <si>
    <t>41805CA</t>
  </si>
  <si>
    <t>41816CA</t>
  </si>
  <si>
    <t>41826CA</t>
  </si>
  <si>
    <t>PEI**</t>
  </si>
  <si>
    <t>Primary Resis.- Parallel 1</t>
  </si>
  <si>
    <t>Primary Resis.- Parallel 2</t>
  </si>
  <si>
    <t>Pri. Resis.(both parallels)</t>
  </si>
  <si>
    <t xml:space="preserve">                        Secondary (Delta) to Ground at 2.5kV; Also passed induced voltage tests</t>
  </si>
  <si>
    <t>Eff.Loop resis.to coil term.</t>
  </si>
  <si>
    <t>Total Res*.(ref. Sec)(mOhm)</t>
  </si>
  <si>
    <t>kVA (Idc=Is*(m^0.5)) - Amps</t>
  </si>
  <si>
    <t>DC Volt (Pulse Loaded)</t>
  </si>
  <si>
    <t>Secondary Volt - Delta</t>
  </si>
  <si>
    <t>Secondary Volt - Wye</t>
  </si>
  <si>
    <t>Sec. Line Current-Delta</t>
  </si>
  <si>
    <t>Sec. Line Current-Wye</t>
  </si>
  <si>
    <t>Secondary Delta Resis.</t>
  </si>
  <si>
    <t>Secondary Wye Resis.</t>
  </si>
  <si>
    <t>Power delivered (Pulsed)</t>
  </si>
  <si>
    <t>Av. Re per tmfr or wdg(PEI)</t>
  </si>
  <si>
    <t>** Assumed cable loop resistance of 4.87mOhms;   Design should be such that the T3 supply can be connected to feed &amp; test TF</t>
  </si>
  <si>
    <t>GENERAL</t>
  </si>
  <si>
    <t>150MVA</t>
  </si>
  <si>
    <t>Total pulsed current in the feeder to Q1B5A through E</t>
  </si>
  <si>
    <t>Volt drop</t>
  </si>
  <si>
    <t xml:space="preserve">C-Site Rectifiers - Voltage drop calculations 01/12/2006 R1 with corrected X, assuming a 60% diversity factor. Note that IF has dedicated feeder reactor. </t>
  </si>
  <si>
    <t>The drop in the Interphase transformer is not included in the above.</t>
  </si>
  <si>
    <t>Coil Resis</t>
  </si>
  <si>
    <t>Coil Inductance</t>
  </si>
  <si>
    <t>Total ckt. Inductance</t>
  </si>
  <si>
    <t>L/R</t>
  </si>
  <si>
    <t>MVA S/S</t>
  </si>
  <si>
    <t>%Imp</t>
  </si>
  <si>
    <t>Ifull load</t>
  </si>
  <si>
    <t>I at 2/3 load</t>
  </si>
  <si>
    <t>Z of trmr.</t>
  </si>
  <si>
    <t>IZ</t>
  </si>
  <si>
    <t>Sev.Volt</t>
  </si>
  <si>
    <t>XQT2</t>
  </si>
  <si>
    <t>XQT2 CLR</t>
  </si>
  <si>
    <t>Total%</t>
  </si>
  <si>
    <t>t(s)</t>
  </si>
  <si>
    <t>M2/3</t>
  </si>
  <si>
    <t>PF1A</t>
  </si>
  <si>
    <t>TF</t>
  </si>
  <si>
    <t>Plasma</t>
  </si>
  <si>
    <t>Start charging coils</t>
  </si>
  <si>
    <t>Dwell</t>
  </si>
  <si>
    <t>Start Ip ramp</t>
  </si>
  <si>
    <t>Heat to high beta</t>
  </si>
  <si>
    <t>Hold at high beta</t>
  </si>
  <si>
    <t>Start discharging coils</t>
  </si>
  <si>
    <t>Coils discharged</t>
  </si>
  <si>
    <t>($G$18/E3)*100</t>
  </si>
  <si>
    <t>based on 20MVA</t>
  </si>
  <si>
    <t>Q bus CLR</t>
  </si>
  <si>
    <t>%X of CLR1&amp;2 &amp; XQT2 referred to the ckt.</t>
  </si>
  <si>
    <t>Total voltage drop in XQT2,CLRs1&amp;2 if all pulsed simulteneously at peak with 66% diversity factor</t>
  </si>
  <si>
    <t>MVA</t>
  </si>
  <si>
    <t>MVA Total</t>
  </si>
  <si>
    <t>MW (Total)</t>
  </si>
  <si>
    <t xml:space="preserve">MW </t>
  </si>
  <si>
    <t>PF</t>
  </si>
  <si>
    <t>From Wayne on 05/16/06</t>
  </si>
  <si>
    <t>Total ckt. Resis-no kimbark</t>
  </si>
  <si>
    <t>Volt drop with 50A</t>
  </si>
  <si>
    <t>C site robicon transformer test data with impedance with 30MVA trfr 053106.xls</t>
  </si>
  <si>
    <t>Others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</si>
</sst>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"/>
    <numFmt numFmtId="167" formatCode="0.0000"/>
    <numFmt numFmtId="168" formatCode="0.0%"/>
    <numFmt numFmtId="169" formatCode="0.00000"/>
    <numFmt numFmtId="170" formatCode="0.0000000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sz val="12"/>
      <name val="Times"/>
      <family val="1"/>
    </font>
    <font>
      <sz val="10"/>
      <name val="Times"/>
      <family val="1"/>
    </font>
    <font>
      <b/>
      <u val="single"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Fill="1" applyBorder="1" applyAlignment="1">
      <alignment/>
    </xf>
    <xf numFmtId="1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 wrapText="1"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Border="1" applyAlignment="1">
      <alignment wrapText="1"/>
    </xf>
    <xf numFmtId="167" fontId="0" fillId="0" borderId="5" xfId="0" applyNumberFormat="1" applyBorder="1" applyAlignment="1">
      <alignment/>
    </xf>
    <xf numFmtId="2" fontId="0" fillId="0" borderId="2" xfId="0" applyNumberFormat="1" applyBorder="1" applyAlignment="1">
      <alignment wrapText="1"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5" fillId="0" borderId="0" xfId="0" applyFont="1" applyAlignment="1">
      <alignment/>
    </xf>
    <xf numFmtId="165" fontId="0" fillId="0" borderId="5" xfId="0" applyNumberFormat="1" applyBorder="1" applyAlignment="1">
      <alignment/>
    </xf>
    <xf numFmtId="2" fontId="0" fillId="0" borderId="3" xfId="0" applyNumberFormat="1" applyBorder="1" applyAlignment="1">
      <alignment wrapText="1"/>
    </xf>
    <xf numFmtId="2" fontId="0" fillId="0" borderId="6" xfId="0" applyNumberFormat="1" applyBorder="1" applyAlignment="1">
      <alignment/>
    </xf>
    <xf numFmtId="2" fontId="0" fillId="0" borderId="9" xfId="0" applyNumberFormat="1" applyBorder="1" applyAlignment="1">
      <alignment wrapText="1"/>
    </xf>
    <xf numFmtId="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 horizontal="center" vertical="center"/>
    </xf>
    <xf numFmtId="1" fontId="0" fillId="0" borderId="8" xfId="0" applyNumberFormat="1" applyBorder="1" applyAlignment="1">
      <alignment/>
    </xf>
    <xf numFmtId="167" fontId="0" fillId="0" borderId="8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0" xfId="0" applyFill="1" applyBorder="1" applyAlignment="1">
      <alignment/>
    </xf>
    <xf numFmtId="2" fontId="8" fillId="0" borderId="0" xfId="0" applyNumberFormat="1" applyFont="1" applyAlignment="1">
      <alignment/>
    </xf>
    <xf numFmtId="0" fontId="0" fillId="0" borderId="21" xfId="0" applyBorder="1" applyAlignment="1">
      <alignment/>
    </xf>
    <xf numFmtId="14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6" xfId="0" applyNumberFormat="1" applyFill="1" applyBorder="1" applyAlignment="1">
      <alignment/>
    </xf>
    <xf numFmtId="166" fontId="0" fillId="0" borderId="8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21" xfId="0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Alignment="1">
      <alignment/>
    </xf>
    <xf numFmtId="0" fontId="2" fillId="0" borderId="27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9" fillId="0" borderId="0" xfId="0" applyFont="1" applyAlignment="1">
      <alignment/>
    </xf>
    <xf numFmtId="165" fontId="0" fillId="0" borderId="3" xfId="0" applyNumberFormat="1" applyBorder="1" applyAlignment="1">
      <alignment wrapText="1"/>
    </xf>
    <xf numFmtId="165" fontId="0" fillId="0" borderId="6" xfId="0" applyNumberFormat="1" applyBorder="1" applyAlignment="1">
      <alignment/>
    </xf>
    <xf numFmtId="169" fontId="0" fillId="0" borderId="19" xfId="0" applyNumberFormat="1" applyBorder="1" applyAlignment="1">
      <alignment horizontal="center" vertical="center" wrapText="1"/>
    </xf>
    <xf numFmtId="169" fontId="0" fillId="0" borderId="18" xfId="0" applyNumberFormat="1" applyBorder="1" applyAlignment="1">
      <alignment horizontal="center" vertical="center" wrapText="1"/>
    </xf>
    <xf numFmtId="169" fontId="0" fillId="0" borderId="17" xfId="0" applyNumberFormat="1" applyBorder="1" applyAlignment="1">
      <alignment horizontal="center" vertical="center" wrapText="1"/>
    </xf>
    <xf numFmtId="169" fontId="0" fillId="0" borderId="30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0" fontId="0" fillId="0" borderId="31" xfId="0" applyBorder="1" applyAlignment="1">
      <alignment/>
    </xf>
    <xf numFmtId="2" fontId="0" fillId="0" borderId="31" xfId="0" applyNumberFormat="1" applyBorder="1" applyAlignment="1">
      <alignment/>
    </xf>
    <xf numFmtId="2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1" fontId="0" fillId="2" borderId="5" xfId="0" applyNumberFormat="1" applyFill="1" applyBorder="1" applyAlignment="1">
      <alignment/>
    </xf>
    <xf numFmtId="167" fontId="0" fillId="2" borderId="5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5" fontId="0" fillId="0" borderId="32" xfId="0" applyNumberForma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6" fontId="0" fillId="0" borderId="5" xfId="0" applyNumberFormat="1" applyBorder="1" applyAlignment="1">
      <alignment/>
    </xf>
    <xf numFmtId="0" fontId="0" fillId="0" borderId="35" xfId="0" applyBorder="1" applyAlignment="1">
      <alignment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5" fontId="0" fillId="0" borderId="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31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4"/>
  <sheetViews>
    <sheetView tabSelected="1" view="pageBreakPreview" zoomScale="60" zoomScaleNormal="50" workbookViewId="0" topLeftCell="A1">
      <selection activeCell="A39" sqref="A39:IV39"/>
    </sheetView>
  </sheetViews>
  <sheetFormatPr defaultColWidth="9.140625" defaultRowHeight="12.75"/>
  <cols>
    <col min="1" max="1" width="20.8515625" style="0" customWidth="1"/>
    <col min="2" max="2" width="9.28125" style="0" customWidth="1"/>
    <col min="3" max="3" width="8.28125" style="15" customWidth="1"/>
    <col min="4" max="4" width="8.28125" style="0" customWidth="1"/>
    <col min="5" max="5" width="10.421875" style="0" customWidth="1"/>
    <col min="6" max="6" width="8.28125" style="17" customWidth="1"/>
    <col min="7" max="7" width="10.00390625" style="19" customWidth="1"/>
    <col min="8" max="8" width="11.8515625" style="0" customWidth="1"/>
    <col min="9" max="9" width="11.8515625" style="19" customWidth="1"/>
    <col min="10" max="10" width="9.140625" style="19" customWidth="1"/>
    <col min="11" max="11" width="8.28125" style="15" customWidth="1"/>
    <col min="12" max="12" width="11.57421875" style="0" customWidth="1"/>
    <col min="13" max="13" width="9.7109375" style="20" customWidth="1"/>
    <col min="14" max="14" width="8.28125" style="0" customWidth="1"/>
    <col min="15" max="15" width="8.28125" style="20" customWidth="1"/>
    <col min="16" max="16" width="8.28125" style="19" customWidth="1"/>
    <col min="17" max="18" width="8.28125" style="0" customWidth="1"/>
    <col min="19" max="19" width="9.28125" style="0" customWidth="1"/>
    <col min="20" max="20" width="8.28125" style="0" customWidth="1"/>
    <col min="21" max="21" width="9.57421875" style="0" customWidth="1"/>
    <col min="22" max="22" width="9.421875" style="0" customWidth="1"/>
    <col min="23" max="23" width="11.7109375" style="0" customWidth="1"/>
    <col min="24" max="24" width="10.00390625" style="0" customWidth="1"/>
    <col min="25" max="25" width="10.7109375" style="0" customWidth="1"/>
    <col min="26" max="26" width="12.421875" style="0" customWidth="1"/>
    <col min="27" max="27" width="11.28125" style="19" customWidth="1"/>
    <col min="28" max="28" width="13.28125" style="19" customWidth="1"/>
    <col min="29" max="16384" width="8.28125" style="0" customWidth="1"/>
  </cols>
  <sheetData>
    <row r="1" spans="1:16" ht="18.75" customHeight="1" thickBot="1">
      <c r="A1" t="s">
        <v>146</v>
      </c>
      <c r="N1" s="127">
        <v>38868</v>
      </c>
      <c r="O1" s="128"/>
      <c r="P1" s="19" t="s">
        <v>187</v>
      </c>
    </row>
    <row r="2" spans="1:28" s="1" customFormat="1" ht="63" customHeight="1" thickTop="1">
      <c r="A2" s="2" t="s">
        <v>0</v>
      </c>
      <c r="B2" s="3" t="s">
        <v>1</v>
      </c>
      <c r="C2" s="16" t="s">
        <v>2</v>
      </c>
      <c r="D2" s="3" t="s">
        <v>3</v>
      </c>
      <c r="E2" s="3" t="s">
        <v>23</v>
      </c>
      <c r="F2" s="18" t="s">
        <v>27</v>
      </c>
      <c r="G2" s="23" t="s">
        <v>28</v>
      </c>
      <c r="H2" s="3" t="s">
        <v>4</v>
      </c>
      <c r="I2" s="23" t="s">
        <v>177</v>
      </c>
      <c r="J2" s="23" t="s">
        <v>36</v>
      </c>
      <c r="K2" s="16" t="s">
        <v>37</v>
      </c>
      <c r="L2" s="3" t="s">
        <v>24</v>
      </c>
      <c r="M2" s="21" t="s">
        <v>61</v>
      </c>
      <c r="N2" s="3" t="s">
        <v>25</v>
      </c>
      <c r="O2" s="21" t="s">
        <v>130</v>
      </c>
      <c r="P2" s="23" t="s">
        <v>26</v>
      </c>
      <c r="Q2" s="3" t="s">
        <v>29</v>
      </c>
      <c r="R2" s="3" t="s">
        <v>131</v>
      </c>
      <c r="S2" s="3" t="s">
        <v>30</v>
      </c>
      <c r="T2" s="3" t="s">
        <v>32</v>
      </c>
      <c r="U2" s="3" t="s">
        <v>33</v>
      </c>
      <c r="V2" s="3" t="s">
        <v>38</v>
      </c>
      <c r="W2" s="3" t="s">
        <v>31</v>
      </c>
      <c r="X2" s="11" t="s">
        <v>34</v>
      </c>
      <c r="Y2" s="11" t="s">
        <v>43</v>
      </c>
      <c r="Z2" s="11" t="s">
        <v>62</v>
      </c>
      <c r="AA2" s="32" t="s">
        <v>35</v>
      </c>
      <c r="AB2" s="30" t="s">
        <v>39</v>
      </c>
    </row>
    <row r="3" spans="1:28" ht="12.75">
      <c r="A3" s="38" t="s">
        <v>5</v>
      </c>
      <c r="B3" s="6" t="s">
        <v>11</v>
      </c>
      <c r="C3" s="13">
        <v>225</v>
      </c>
      <c r="D3" s="6">
        <v>6.07</v>
      </c>
      <c r="E3" s="6">
        <v>4160</v>
      </c>
      <c r="F3" s="14">
        <f>C3*1000/3^0.5/E3</f>
        <v>31.22687754030428</v>
      </c>
      <c r="G3" s="24">
        <f>4*F3</f>
        <v>124.90751016121712</v>
      </c>
      <c r="H3" s="6">
        <v>255</v>
      </c>
      <c r="I3" s="24">
        <f aca="true" t="shared" si="0" ref="I3:I16">$Q$50</f>
        <v>7.534002612955177</v>
      </c>
      <c r="J3" s="24">
        <f>F3*E3/H3</f>
        <v>509.42670810849336</v>
      </c>
      <c r="K3" s="13">
        <f>J3*4</f>
        <v>2037.7068324339734</v>
      </c>
      <c r="L3" s="6">
        <v>838</v>
      </c>
      <c r="M3" s="22">
        <f>L3*(H3/E3)^2</f>
        <v>3.1487466484837277</v>
      </c>
      <c r="N3" s="6">
        <v>1.64</v>
      </c>
      <c r="O3" s="22">
        <f>1.12*(M3+N3)</f>
        <v>5.363396246301775</v>
      </c>
      <c r="P3" s="24">
        <f>(3/PI())*H3*2^0.5</f>
        <v>344.3709909300931</v>
      </c>
      <c r="Q3" s="6">
        <v>300</v>
      </c>
      <c r="R3" s="6">
        <f>K3*6^0.5</f>
        <v>4991.341984846218</v>
      </c>
      <c r="S3" s="6">
        <v>5</v>
      </c>
      <c r="T3" s="6">
        <f>H3/3^0.5/J3</f>
        <v>0.289</v>
      </c>
      <c r="U3" s="6">
        <f>((D3)/100)*T3</f>
        <v>0.0175423</v>
      </c>
      <c r="V3" s="6">
        <f>((U3^2-(O3/1000)^2)^0.5)+(I3/100)*T3</f>
        <v>0.038475550928127496</v>
      </c>
      <c r="W3" s="10">
        <f>V3/(2*PI()*60)</f>
        <v>0.00010205956863992422</v>
      </c>
      <c r="X3" s="12">
        <f>W3/2</f>
        <v>5.102978431996211E-05</v>
      </c>
      <c r="Y3" s="12">
        <f>6*60*W3</f>
        <v>0.03674144471037272</v>
      </c>
      <c r="Z3" s="26">
        <f aca="true" t="shared" si="1" ref="Z3:Z14">(Y3+O3/1000)</f>
        <v>0.042104840956674494</v>
      </c>
      <c r="AA3" s="33">
        <f aca="true" t="shared" si="2" ref="AA3:AA14">(Y3+O3/1000)*S3*1000/2</f>
        <v>105.26210239168624</v>
      </c>
      <c r="AB3" s="70">
        <f aca="true" t="shared" si="3" ref="AB3:AB14">AA3*100/P3</f>
        <v>30.566483578477236</v>
      </c>
    </row>
    <row r="4" spans="1:28" ht="12.75">
      <c r="A4" s="38" t="s">
        <v>5</v>
      </c>
      <c r="B4" s="6" t="s">
        <v>12</v>
      </c>
      <c r="C4" s="13">
        <v>225</v>
      </c>
      <c r="D4" s="6">
        <v>6.23</v>
      </c>
      <c r="E4" s="6">
        <v>4160</v>
      </c>
      <c r="F4" s="14">
        <f aca="true" t="shared" si="4" ref="F4:F14">C4*1000/3^0.5/E4</f>
        <v>31.22687754030428</v>
      </c>
      <c r="G4" s="24">
        <f aca="true" t="shared" si="5" ref="G4:G14">4*F4</f>
        <v>124.90751016121712</v>
      </c>
      <c r="H4" s="6">
        <v>255</v>
      </c>
      <c r="I4" s="24">
        <f t="shared" si="0"/>
        <v>7.534002612955177</v>
      </c>
      <c r="J4" s="24">
        <f aca="true" t="shared" si="6" ref="J4:J10">F4*E4/H4</f>
        <v>509.42670810849336</v>
      </c>
      <c r="K4" s="13">
        <f aca="true" t="shared" si="7" ref="K4:K14">J4*4</f>
        <v>2037.7068324339734</v>
      </c>
      <c r="L4" s="6">
        <v>832</v>
      </c>
      <c r="M4" s="22">
        <f aca="true" t="shared" si="8" ref="M4:M14">L4*(H4/E4)^2</f>
        <v>3.126201923076923</v>
      </c>
      <c r="N4" s="6">
        <v>1.68</v>
      </c>
      <c r="O4" s="22">
        <f aca="true" t="shared" si="9" ref="O4:O14">1.12*(M4+N4)</f>
        <v>5.382946153846154</v>
      </c>
      <c r="P4" s="24">
        <f aca="true" t="shared" si="10" ref="P4:P14">(3/PI())*H4*2^0.5</f>
        <v>344.3709909300931</v>
      </c>
      <c r="Q4" s="6">
        <v>300</v>
      </c>
      <c r="R4" s="6">
        <f aca="true" t="shared" si="11" ref="R4:R14">K4*6^0.5</f>
        <v>4991.341984846218</v>
      </c>
      <c r="S4" s="6">
        <v>5</v>
      </c>
      <c r="T4" s="6">
        <f aca="true" t="shared" si="12" ref="T4:T14">H4/3^0.5/J4</f>
        <v>0.289</v>
      </c>
      <c r="U4" s="6">
        <f aca="true" t="shared" si="13" ref="U4:U16">((D4)/100)*T4</f>
        <v>0.0180047</v>
      </c>
      <c r="V4" s="6">
        <f aca="true" t="shared" si="14" ref="V4:V16">((U4^2-(O4/1000)^2)^0.5)+(I4/100)*T4</f>
        <v>0.03895445239983764</v>
      </c>
      <c r="W4" s="10">
        <f aca="true" t="shared" si="15" ref="W4:W14">V4/(2*PI()*60)</f>
        <v>0.00010332989424786844</v>
      </c>
      <c r="X4" s="12">
        <f aca="true" t="shared" si="16" ref="X4:X16">W4/2</f>
        <v>5.166494712393422E-05</v>
      </c>
      <c r="Y4" s="12">
        <f aca="true" t="shared" si="17" ref="Y4:Y14">6*60*W4</f>
        <v>0.03719876192923264</v>
      </c>
      <c r="Z4" s="26">
        <f t="shared" si="1"/>
        <v>0.04258170808307879</v>
      </c>
      <c r="AA4" s="33">
        <f t="shared" si="2"/>
        <v>106.45427020769698</v>
      </c>
      <c r="AB4" s="70">
        <f t="shared" si="3"/>
        <v>30.912670640514857</v>
      </c>
    </row>
    <row r="5" spans="1:28" ht="12.75">
      <c r="A5" s="38" t="s">
        <v>6</v>
      </c>
      <c r="B5" s="6" t="s">
        <v>13</v>
      </c>
      <c r="C5" s="13">
        <v>225</v>
      </c>
      <c r="D5" s="6">
        <v>5.91</v>
      </c>
      <c r="E5" s="6">
        <v>4160</v>
      </c>
      <c r="F5" s="14">
        <f t="shared" si="4"/>
        <v>31.22687754030428</v>
      </c>
      <c r="G5" s="24">
        <f t="shared" si="5"/>
        <v>124.90751016121712</v>
      </c>
      <c r="H5" s="6">
        <v>255</v>
      </c>
      <c r="I5" s="24">
        <f t="shared" si="0"/>
        <v>7.534002612955177</v>
      </c>
      <c r="J5" s="24">
        <f t="shared" si="6"/>
        <v>509.42670810849336</v>
      </c>
      <c r="K5" s="13">
        <f t="shared" si="7"/>
        <v>2037.7068324339734</v>
      </c>
      <c r="L5" s="6">
        <v>841</v>
      </c>
      <c r="M5" s="22">
        <f t="shared" si="8"/>
        <v>3.16001901118713</v>
      </c>
      <c r="N5" s="6">
        <v>1.66</v>
      </c>
      <c r="O5" s="22">
        <f t="shared" si="9"/>
        <v>5.398421292529585</v>
      </c>
      <c r="P5" s="24">
        <f t="shared" si="10"/>
        <v>344.3709909300931</v>
      </c>
      <c r="Q5" s="6">
        <v>300</v>
      </c>
      <c r="R5" s="6">
        <f t="shared" si="11"/>
        <v>4991.341984846218</v>
      </c>
      <c r="S5" s="6">
        <v>5</v>
      </c>
      <c r="T5" s="6">
        <f t="shared" si="12"/>
        <v>0.289</v>
      </c>
      <c r="U5" s="6">
        <f t="shared" si="13"/>
        <v>0.0170799</v>
      </c>
      <c r="V5" s="6">
        <f t="shared" si="14"/>
        <v>0.037977588936748866</v>
      </c>
      <c r="W5" s="10">
        <f t="shared" si="15"/>
        <v>0.000100738683433261</v>
      </c>
      <c r="X5" s="12">
        <f t="shared" si="16"/>
        <v>5.03693417166305E-05</v>
      </c>
      <c r="Y5" s="12">
        <f t="shared" si="17"/>
        <v>0.036265926035973964</v>
      </c>
      <c r="Z5" s="26">
        <f t="shared" si="1"/>
        <v>0.04166434732850355</v>
      </c>
      <c r="AA5" s="33">
        <f t="shared" si="2"/>
        <v>104.16086832125887</v>
      </c>
      <c r="AB5" s="70">
        <f t="shared" si="3"/>
        <v>30.246702267207926</v>
      </c>
    </row>
    <row r="6" spans="1:28" ht="12.75">
      <c r="A6" s="38" t="s">
        <v>6</v>
      </c>
      <c r="B6" s="6" t="s">
        <v>14</v>
      </c>
      <c r="C6" s="13">
        <v>225</v>
      </c>
      <c r="D6" s="6">
        <v>6.12</v>
      </c>
      <c r="E6" s="6">
        <v>4160</v>
      </c>
      <c r="F6" s="14">
        <f t="shared" si="4"/>
        <v>31.22687754030428</v>
      </c>
      <c r="G6" s="24">
        <f t="shared" si="5"/>
        <v>124.90751016121712</v>
      </c>
      <c r="H6" s="6">
        <v>255</v>
      </c>
      <c r="I6" s="24">
        <f t="shared" si="0"/>
        <v>7.534002612955177</v>
      </c>
      <c r="J6" s="24">
        <f t="shared" si="6"/>
        <v>509.42670810849336</v>
      </c>
      <c r="K6" s="13">
        <f t="shared" si="7"/>
        <v>2037.7068324339734</v>
      </c>
      <c r="L6" s="6">
        <v>831</v>
      </c>
      <c r="M6" s="22">
        <f t="shared" si="8"/>
        <v>3.1224444688424553</v>
      </c>
      <c r="N6" s="6">
        <v>1.76</v>
      </c>
      <c r="O6" s="22">
        <f t="shared" si="9"/>
        <v>5.46833780510355</v>
      </c>
      <c r="P6" s="24">
        <f t="shared" si="10"/>
        <v>344.3709909300931</v>
      </c>
      <c r="Q6" s="6">
        <v>300</v>
      </c>
      <c r="R6" s="6">
        <f t="shared" si="11"/>
        <v>4991.341984846218</v>
      </c>
      <c r="S6" s="6">
        <v>5</v>
      </c>
      <c r="T6" s="6">
        <f t="shared" si="12"/>
        <v>0.289</v>
      </c>
      <c r="U6" s="6">
        <f t="shared" si="13"/>
        <v>0.0176868</v>
      </c>
      <c r="V6" s="6">
        <f t="shared" si="14"/>
        <v>0.03859349869994955</v>
      </c>
      <c r="W6" s="10">
        <f t="shared" si="15"/>
        <v>0.00010237243482179345</v>
      </c>
      <c r="X6" s="12">
        <f t="shared" si="16"/>
        <v>5.118621741089673E-05</v>
      </c>
      <c r="Y6" s="12">
        <f t="shared" si="17"/>
        <v>0.036854076535845645</v>
      </c>
      <c r="Z6" s="26">
        <f t="shared" si="1"/>
        <v>0.042322414340949195</v>
      </c>
      <c r="AA6" s="33">
        <f t="shared" si="2"/>
        <v>105.80603585237299</v>
      </c>
      <c r="AB6" s="70">
        <f t="shared" si="3"/>
        <v>30.724433427626163</v>
      </c>
    </row>
    <row r="7" spans="1:28" ht="12.75">
      <c r="A7" s="38" t="s">
        <v>7</v>
      </c>
      <c r="B7" s="6" t="s">
        <v>15</v>
      </c>
      <c r="C7" s="13">
        <v>225</v>
      </c>
      <c r="D7" s="6">
        <v>5.99</v>
      </c>
      <c r="E7" s="6">
        <v>4160</v>
      </c>
      <c r="F7" s="14">
        <f t="shared" si="4"/>
        <v>31.22687754030428</v>
      </c>
      <c r="G7" s="24">
        <f t="shared" si="5"/>
        <v>124.90751016121712</v>
      </c>
      <c r="H7" s="6">
        <v>255</v>
      </c>
      <c r="I7" s="24">
        <f t="shared" si="0"/>
        <v>7.534002612955177</v>
      </c>
      <c r="J7" s="24">
        <f t="shared" si="6"/>
        <v>509.42670810849336</v>
      </c>
      <c r="K7" s="13">
        <f t="shared" si="7"/>
        <v>2037.7068324339734</v>
      </c>
      <c r="L7" s="6">
        <v>837</v>
      </c>
      <c r="M7" s="22">
        <f t="shared" si="8"/>
        <v>3.14498919424926</v>
      </c>
      <c r="N7" s="6">
        <v>1.66</v>
      </c>
      <c r="O7" s="22">
        <f t="shared" si="9"/>
        <v>5.3815878975591716</v>
      </c>
      <c r="P7" s="24">
        <f t="shared" si="10"/>
        <v>344.3709909300931</v>
      </c>
      <c r="Q7" s="6">
        <v>300</v>
      </c>
      <c r="R7" s="6">
        <f t="shared" si="11"/>
        <v>4991.341984846218</v>
      </c>
      <c r="S7" s="6">
        <v>5</v>
      </c>
      <c r="T7" s="6">
        <f t="shared" si="12"/>
        <v>0.289</v>
      </c>
      <c r="U7" s="6">
        <f t="shared" si="13"/>
        <v>0.0173111</v>
      </c>
      <c r="V7" s="6">
        <f t="shared" si="14"/>
        <v>0.03822661659991217</v>
      </c>
      <c r="W7" s="10">
        <f t="shared" si="15"/>
        <v>0.00010139924982591206</v>
      </c>
      <c r="X7" s="12">
        <f t="shared" si="16"/>
        <v>5.069962491295603E-05</v>
      </c>
      <c r="Y7" s="12">
        <f t="shared" si="17"/>
        <v>0.03650372993732834</v>
      </c>
      <c r="Z7" s="26">
        <f t="shared" si="1"/>
        <v>0.04188531783488751</v>
      </c>
      <c r="AA7" s="33">
        <f t="shared" si="2"/>
        <v>104.71329458721878</v>
      </c>
      <c r="AB7" s="70">
        <f t="shared" si="3"/>
        <v>30.407118295418634</v>
      </c>
    </row>
    <row r="8" spans="1:28" ht="12.75">
      <c r="A8" s="38" t="s">
        <v>7</v>
      </c>
      <c r="B8" s="6" t="s">
        <v>16</v>
      </c>
      <c r="C8" s="13">
        <v>225</v>
      </c>
      <c r="D8" s="6">
        <v>5.95</v>
      </c>
      <c r="E8" s="6">
        <v>4160</v>
      </c>
      <c r="F8" s="14">
        <f t="shared" si="4"/>
        <v>31.22687754030428</v>
      </c>
      <c r="G8" s="24">
        <f t="shared" si="5"/>
        <v>124.90751016121712</v>
      </c>
      <c r="H8" s="6">
        <v>255</v>
      </c>
      <c r="I8" s="24">
        <f t="shared" si="0"/>
        <v>7.534002612955177</v>
      </c>
      <c r="J8" s="24">
        <f t="shared" si="6"/>
        <v>509.42670810849336</v>
      </c>
      <c r="K8" s="13">
        <f t="shared" si="7"/>
        <v>2037.7068324339734</v>
      </c>
      <c r="L8" s="6">
        <v>830</v>
      </c>
      <c r="M8" s="22">
        <f t="shared" si="8"/>
        <v>3.118687014607988</v>
      </c>
      <c r="N8" s="6">
        <v>1.67</v>
      </c>
      <c r="O8" s="22">
        <f t="shared" si="9"/>
        <v>5.3633294563609475</v>
      </c>
      <c r="P8" s="24">
        <f t="shared" si="10"/>
        <v>344.3709909300931</v>
      </c>
      <c r="Q8" s="6">
        <v>300</v>
      </c>
      <c r="R8" s="6">
        <f t="shared" si="11"/>
        <v>4991.341984846218</v>
      </c>
      <c r="S8" s="6">
        <v>5</v>
      </c>
      <c r="T8" s="6">
        <f t="shared" si="12"/>
        <v>0.289</v>
      </c>
      <c r="U8" s="6">
        <f t="shared" si="13"/>
        <v>0.0171955</v>
      </c>
      <c r="V8" s="6">
        <f t="shared" si="14"/>
        <v>0.03811095151804145</v>
      </c>
      <c r="W8" s="10">
        <f t="shared" si="15"/>
        <v>0.00010109243866719782</v>
      </c>
      <c r="X8" s="12">
        <f t="shared" si="16"/>
        <v>5.054621933359891E-05</v>
      </c>
      <c r="Y8" s="12">
        <f t="shared" si="17"/>
        <v>0.03639327792019122</v>
      </c>
      <c r="Z8" s="26">
        <f t="shared" si="1"/>
        <v>0.041756607376552166</v>
      </c>
      <c r="AA8" s="33">
        <f t="shared" si="2"/>
        <v>104.39151844138043</v>
      </c>
      <c r="AB8" s="70">
        <f t="shared" si="3"/>
        <v>30.313679488343368</v>
      </c>
    </row>
    <row r="9" spans="1:28" ht="12.75">
      <c r="A9" s="38" t="s">
        <v>8</v>
      </c>
      <c r="B9" s="6" t="s">
        <v>17</v>
      </c>
      <c r="C9" s="13">
        <v>225</v>
      </c>
      <c r="D9" s="6">
        <v>6.25</v>
      </c>
      <c r="E9" s="6">
        <v>4160</v>
      </c>
      <c r="F9" s="14">
        <f t="shared" si="4"/>
        <v>31.22687754030428</v>
      </c>
      <c r="G9" s="24">
        <f t="shared" si="5"/>
        <v>124.90751016121712</v>
      </c>
      <c r="H9" s="6">
        <v>255</v>
      </c>
      <c r="I9" s="24">
        <f t="shared" si="0"/>
        <v>7.534002612955177</v>
      </c>
      <c r="J9" s="24">
        <f t="shared" si="6"/>
        <v>509.42670810849336</v>
      </c>
      <c r="K9" s="13">
        <f t="shared" si="7"/>
        <v>2037.7068324339734</v>
      </c>
      <c r="L9" s="6">
        <v>836</v>
      </c>
      <c r="M9" s="22">
        <f t="shared" si="8"/>
        <v>3.141231740014793</v>
      </c>
      <c r="N9" s="6">
        <v>1.65</v>
      </c>
      <c r="O9" s="22">
        <f t="shared" si="9"/>
        <v>5.366179548816568</v>
      </c>
      <c r="P9" s="24">
        <f t="shared" si="10"/>
        <v>344.3709909300931</v>
      </c>
      <c r="Q9" s="6">
        <v>300</v>
      </c>
      <c r="R9" s="6">
        <f t="shared" si="11"/>
        <v>4991.341984846218</v>
      </c>
      <c r="S9" s="6">
        <v>5</v>
      </c>
      <c r="T9" s="6">
        <f t="shared" si="12"/>
        <v>0.289</v>
      </c>
      <c r="U9" s="6">
        <f t="shared" si="13"/>
        <v>0.0180625</v>
      </c>
      <c r="V9" s="6">
        <f t="shared" si="14"/>
        <v>0.039020238975428584</v>
      </c>
      <c r="W9" s="10">
        <f t="shared" si="15"/>
        <v>0.00010350439855944156</v>
      </c>
      <c r="X9" s="12">
        <f t="shared" si="16"/>
        <v>5.175219927972078E-05</v>
      </c>
      <c r="Y9" s="12">
        <f t="shared" si="17"/>
        <v>0.03726158348139896</v>
      </c>
      <c r="Z9" s="26">
        <f t="shared" si="1"/>
        <v>0.04262776303021553</v>
      </c>
      <c r="AA9" s="33">
        <f t="shared" si="2"/>
        <v>106.56940757553883</v>
      </c>
      <c r="AB9" s="70">
        <f t="shared" si="3"/>
        <v>30.94610474817035</v>
      </c>
    </row>
    <row r="10" spans="1:28" ht="12.75">
      <c r="A10" s="38" t="s">
        <v>8</v>
      </c>
      <c r="B10" s="6" t="s">
        <v>18</v>
      </c>
      <c r="C10" s="13">
        <v>225</v>
      </c>
      <c r="D10" s="6">
        <v>6.15</v>
      </c>
      <c r="E10" s="6">
        <v>4160</v>
      </c>
      <c r="F10" s="14">
        <f t="shared" si="4"/>
        <v>31.22687754030428</v>
      </c>
      <c r="G10" s="24">
        <f t="shared" si="5"/>
        <v>124.90751016121712</v>
      </c>
      <c r="H10" s="6">
        <v>255</v>
      </c>
      <c r="I10" s="24">
        <f t="shared" si="0"/>
        <v>7.534002612955177</v>
      </c>
      <c r="J10" s="24">
        <f t="shared" si="6"/>
        <v>509.42670810849336</v>
      </c>
      <c r="K10" s="13">
        <f t="shared" si="7"/>
        <v>2037.7068324339734</v>
      </c>
      <c r="L10" s="6">
        <v>834</v>
      </c>
      <c r="M10" s="22">
        <f t="shared" si="8"/>
        <v>3.1337168315458577</v>
      </c>
      <c r="N10" s="6">
        <v>1.74</v>
      </c>
      <c r="O10" s="22">
        <f t="shared" si="9"/>
        <v>5.4585628513313615</v>
      </c>
      <c r="P10" s="24">
        <f t="shared" si="10"/>
        <v>344.3709909300931</v>
      </c>
      <c r="Q10" s="6">
        <v>300</v>
      </c>
      <c r="R10" s="6">
        <f t="shared" si="11"/>
        <v>4991.341984846218</v>
      </c>
      <c r="S10" s="6">
        <v>5</v>
      </c>
      <c r="T10" s="6">
        <f t="shared" si="12"/>
        <v>0.289</v>
      </c>
      <c r="U10" s="6">
        <f t="shared" si="13"/>
        <v>0.0177735</v>
      </c>
      <c r="V10" s="6">
        <f t="shared" si="14"/>
        <v>0.03868779958304173</v>
      </c>
      <c r="W10" s="10">
        <f t="shared" si="15"/>
        <v>0.00010262257568316098</v>
      </c>
      <c r="X10" s="12">
        <f t="shared" si="16"/>
        <v>5.131128784158049E-05</v>
      </c>
      <c r="Y10" s="12">
        <f t="shared" si="17"/>
        <v>0.03694412724593795</v>
      </c>
      <c r="Z10" s="26">
        <f t="shared" si="1"/>
        <v>0.04240269009726931</v>
      </c>
      <c r="AA10" s="33">
        <f t="shared" si="2"/>
        <v>106.00672524317328</v>
      </c>
      <c r="AB10" s="70">
        <f t="shared" si="3"/>
        <v>30.78271051718538</v>
      </c>
    </row>
    <row r="11" spans="1:28" ht="12.75">
      <c r="A11" s="38" t="s">
        <v>9</v>
      </c>
      <c r="B11" s="6" t="s">
        <v>19</v>
      </c>
      <c r="C11" s="13">
        <v>300</v>
      </c>
      <c r="D11" s="6">
        <v>6.85</v>
      </c>
      <c r="E11" s="6">
        <v>4160</v>
      </c>
      <c r="F11" s="14">
        <f t="shared" si="4"/>
        <v>41.635836720405706</v>
      </c>
      <c r="G11" s="24">
        <f t="shared" si="5"/>
        <v>166.54334688162282</v>
      </c>
      <c r="H11" s="6">
        <v>170</v>
      </c>
      <c r="I11" s="24">
        <f t="shared" si="0"/>
        <v>7.534002612955177</v>
      </c>
      <c r="J11" s="24">
        <f>F11*E11/H11</f>
        <v>1018.8534162169867</v>
      </c>
      <c r="K11" s="13">
        <f t="shared" si="7"/>
        <v>4075.413664867947</v>
      </c>
      <c r="L11" s="6">
        <v>625</v>
      </c>
      <c r="M11" s="22">
        <f t="shared" si="8"/>
        <v>1.043737287352071</v>
      </c>
      <c r="N11" s="6">
        <v>0.594</v>
      </c>
      <c r="O11" s="22">
        <f t="shared" si="9"/>
        <v>1.8342657618343197</v>
      </c>
      <c r="P11" s="24">
        <f t="shared" si="10"/>
        <v>229.58066062006205</v>
      </c>
      <c r="Q11" s="6">
        <v>200</v>
      </c>
      <c r="R11" s="6">
        <f t="shared" si="11"/>
        <v>9982.683969692436</v>
      </c>
      <c r="S11" s="6">
        <v>10</v>
      </c>
      <c r="T11" s="6">
        <f t="shared" si="12"/>
        <v>0.09633333333333333</v>
      </c>
      <c r="U11" s="6">
        <f t="shared" si="13"/>
        <v>0.006598833333333332</v>
      </c>
      <c r="V11" s="6">
        <f t="shared" si="14"/>
        <v>0.013596531006302724</v>
      </c>
      <c r="W11" s="10">
        <f t="shared" si="15"/>
        <v>3.6065918642588344E-05</v>
      </c>
      <c r="X11" s="12">
        <f t="shared" si="16"/>
        <v>1.8032959321294172E-05</v>
      </c>
      <c r="Y11" s="12">
        <f t="shared" si="17"/>
        <v>0.012983730711331803</v>
      </c>
      <c r="Z11" s="26">
        <f t="shared" si="1"/>
        <v>0.014817996473166123</v>
      </c>
      <c r="AA11" s="33">
        <f t="shared" si="2"/>
        <v>74.08998236583061</v>
      </c>
      <c r="AB11" s="70">
        <f t="shared" si="3"/>
        <v>32.27187436682383</v>
      </c>
    </row>
    <row r="12" spans="1:28" ht="12.75">
      <c r="A12" s="38" t="s">
        <v>9</v>
      </c>
      <c r="B12" s="6" t="s">
        <v>20</v>
      </c>
      <c r="C12" s="13">
        <v>300</v>
      </c>
      <c r="D12" s="6">
        <v>6.92</v>
      </c>
      <c r="E12" s="6">
        <v>4160</v>
      </c>
      <c r="F12" s="14">
        <f t="shared" si="4"/>
        <v>41.635836720405706</v>
      </c>
      <c r="G12" s="24">
        <f t="shared" si="5"/>
        <v>166.54334688162282</v>
      </c>
      <c r="H12" s="6">
        <v>170</v>
      </c>
      <c r="I12" s="24">
        <f t="shared" si="0"/>
        <v>7.534002612955177</v>
      </c>
      <c r="J12" s="24">
        <f>F12*E12/H12</f>
        <v>1018.8534162169867</v>
      </c>
      <c r="K12" s="13">
        <f t="shared" si="7"/>
        <v>4075.413664867947</v>
      </c>
      <c r="L12" s="6">
        <v>632</v>
      </c>
      <c r="M12" s="22">
        <f t="shared" si="8"/>
        <v>1.0554271449704142</v>
      </c>
      <c r="N12" s="6">
        <v>0.578</v>
      </c>
      <c r="O12" s="22">
        <f t="shared" si="9"/>
        <v>1.829438402366864</v>
      </c>
      <c r="P12" s="24">
        <f t="shared" si="10"/>
        <v>229.58066062006205</v>
      </c>
      <c r="Q12" s="6">
        <v>200</v>
      </c>
      <c r="R12" s="6">
        <f t="shared" si="11"/>
        <v>9982.683969692436</v>
      </c>
      <c r="S12" s="6">
        <v>10</v>
      </c>
      <c r="T12" s="6">
        <f t="shared" si="12"/>
        <v>0.09633333333333333</v>
      </c>
      <c r="U12" s="6">
        <f t="shared" si="13"/>
        <v>0.006666266666666666</v>
      </c>
      <c r="V12" s="6">
        <f t="shared" si="14"/>
        <v>0.013668080834679977</v>
      </c>
      <c r="W12" s="10">
        <f t="shared" si="15"/>
        <v>3.625571045698195E-05</v>
      </c>
      <c r="X12" s="12">
        <f t="shared" si="16"/>
        <v>1.8127855228490976E-05</v>
      </c>
      <c r="Y12" s="12">
        <f t="shared" si="17"/>
        <v>0.013052055764513503</v>
      </c>
      <c r="Z12" s="26">
        <f t="shared" si="1"/>
        <v>0.014881494166880366</v>
      </c>
      <c r="AA12" s="33">
        <f t="shared" si="2"/>
        <v>74.40747083440183</v>
      </c>
      <c r="AB12" s="70">
        <f t="shared" si="3"/>
        <v>32.4101649648706</v>
      </c>
    </row>
    <row r="13" spans="1:28" ht="12.75">
      <c r="A13" s="38" t="s">
        <v>10</v>
      </c>
      <c r="B13" s="6" t="s">
        <v>21</v>
      </c>
      <c r="C13" s="13">
        <v>1505</v>
      </c>
      <c r="D13" s="6">
        <v>5.96</v>
      </c>
      <c r="E13" s="6">
        <v>4160</v>
      </c>
      <c r="F13" s="14">
        <f t="shared" si="4"/>
        <v>208.8731142140353</v>
      </c>
      <c r="G13" s="24">
        <f t="shared" si="5"/>
        <v>835.4924568561412</v>
      </c>
      <c r="H13" s="6">
        <v>426</v>
      </c>
      <c r="I13" s="24">
        <f t="shared" si="0"/>
        <v>7.534002612955177</v>
      </c>
      <c r="J13" s="24">
        <f>F13*E13/H13</f>
        <v>2039.6998946722695</v>
      </c>
      <c r="K13" s="13">
        <f t="shared" si="7"/>
        <v>8158.799578689078</v>
      </c>
      <c r="L13" s="6">
        <v>50.3</v>
      </c>
      <c r="M13" s="22">
        <f t="shared" si="8"/>
        <v>0.5274733496671596</v>
      </c>
      <c r="N13" s="6">
        <v>0.714</v>
      </c>
      <c r="O13" s="22">
        <f t="shared" si="9"/>
        <v>1.390450151627219</v>
      </c>
      <c r="P13" s="24">
        <f t="shared" si="10"/>
        <v>575.3021260243908</v>
      </c>
      <c r="Q13" s="6">
        <v>500</v>
      </c>
      <c r="R13" s="6">
        <f t="shared" si="11"/>
        <v>19984.89588142261</v>
      </c>
      <c r="S13" s="6">
        <v>20</v>
      </c>
      <c r="T13" s="6">
        <f t="shared" si="12"/>
        <v>0.12058205980066446</v>
      </c>
      <c r="U13" s="6">
        <f t="shared" si="13"/>
        <v>0.007186690764119602</v>
      </c>
      <c r="V13" s="6">
        <f t="shared" si="14"/>
        <v>0.01613555423877946</v>
      </c>
      <c r="W13" s="10">
        <f t="shared" si="15"/>
        <v>4.280088694381894E-05</v>
      </c>
      <c r="X13" s="12">
        <f t="shared" si="16"/>
        <v>2.140044347190947E-05</v>
      </c>
      <c r="Y13" s="12">
        <f t="shared" si="17"/>
        <v>0.015408319299774818</v>
      </c>
      <c r="Z13" s="26">
        <f t="shared" si="1"/>
        <v>0.016798769451402035</v>
      </c>
      <c r="AA13" s="33">
        <f t="shared" si="2"/>
        <v>167.98769451402035</v>
      </c>
      <c r="AB13" s="70">
        <f t="shared" si="3"/>
        <v>29.199908520223033</v>
      </c>
    </row>
    <row r="14" spans="1:28" ht="12.75">
      <c r="A14" s="38" t="s">
        <v>10</v>
      </c>
      <c r="B14" s="6" t="s">
        <v>22</v>
      </c>
      <c r="C14" s="13">
        <v>1505</v>
      </c>
      <c r="D14" s="6">
        <v>5.72</v>
      </c>
      <c r="E14" s="6">
        <v>4160</v>
      </c>
      <c r="F14" s="14">
        <f t="shared" si="4"/>
        <v>208.8731142140353</v>
      </c>
      <c r="G14" s="24">
        <f t="shared" si="5"/>
        <v>835.4924568561412</v>
      </c>
      <c r="H14" s="6">
        <v>426</v>
      </c>
      <c r="I14" s="24">
        <f t="shared" si="0"/>
        <v>7.534002612955177</v>
      </c>
      <c r="J14" s="24">
        <f>F14*E14/H14</f>
        <v>2039.6998946722695</v>
      </c>
      <c r="K14" s="13">
        <f t="shared" si="7"/>
        <v>8158.799578689078</v>
      </c>
      <c r="L14" s="6">
        <v>50.6</v>
      </c>
      <c r="M14" s="22">
        <f t="shared" si="8"/>
        <v>0.5306193139792899</v>
      </c>
      <c r="N14" s="6">
        <v>0.706</v>
      </c>
      <c r="O14" s="22">
        <f t="shared" si="9"/>
        <v>1.3850136316568047</v>
      </c>
      <c r="P14" s="24">
        <f t="shared" si="10"/>
        <v>575.3021260243908</v>
      </c>
      <c r="Q14" s="6">
        <v>500</v>
      </c>
      <c r="R14" s="6">
        <f t="shared" si="11"/>
        <v>19984.89588142261</v>
      </c>
      <c r="S14" s="6">
        <v>20</v>
      </c>
      <c r="T14" s="6">
        <f t="shared" si="12"/>
        <v>0.12058205980066446</v>
      </c>
      <c r="U14" s="6">
        <f t="shared" si="13"/>
        <v>0.006897293820598007</v>
      </c>
      <c r="V14" s="6">
        <f t="shared" si="14"/>
        <v>0.015841459461647008</v>
      </c>
      <c r="W14" s="10">
        <f t="shared" si="15"/>
        <v>4.202077631851661E-05</v>
      </c>
      <c r="X14" s="12">
        <f t="shared" si="16"/>
        <v>2.1010388159258306E-05</v>
      </c>
      <c r="Y14" s="12">
        <f t="shared" si="17"/>
        <v>0.015127479474665981</v>
      </c>
      <c r="Z14" s="26">
        <f t="shared" si="1"/>
        <v>0.016512493106322787</v>
      </c>
      <c r="AA14" s="33">
        <f t="shared" si="2"/>
        <v>165.12493106322788</v>
      </c>
      <c r="AB14" s="70">
        <f t="shared" si="3"/>
        <v>28.702298078458202</v>
      </c>
    </row>
    <row r="15" spans="1:28" ht="12.75">
      <c r="A15" s="137" t="s">
        <v>85</v>
      </c>
      <c r="B15" s="6" t="s">
        <v>89</v>
      </c>
      <c r="C15" s="13">
        <v>342</v>
      </c>
      <c r="D15" s="6">
        <v>1.2</v>
      </c>
      <c r="E15" s="6">
        <v>4160</v>
      </c>
      <c r="F15" s="14">
        <f>(C15/3^0.5/E15)*1000/0.95</f>
        <v>49.963004064486846</v>
      </c>
      <c r="G15" s="24">
        <f>(1185/296.2)*F15</f>
        <v>199.8857522498883</v>
      </c>
      <c r="H15" s="24">
        <v>407.4</v>
      </c>
      <c r="I15" s="24">
        <f t="shared" si="0"/>
        <v>7.534002612955177</v>
      </c>
      <c r="J15" s="24">
        <v>513</v>
      </c>
      <c r="K15" s="13">
        <f>4*J15</f>
        <v>2052</v>
      </c>
      <c r="L15" s="24">
        <v>174.74</v>
      </c>
      <c r="M15" s="22">
        <f>L15*(H15/E15)^2</f>
        <v>1.6758985277829141</v>
      </c>
      <c r="N15" s="6">
        <v>2.74</v>
      </c>
      <c r="O15" s="22">
        <f>1.12*(M15/2+N15)</f>
        <v>4.007303175558433</v>
      </c>
      <c r="P15" s="24">
        <f>(3/PI())*H15*2^0.5</f>
        <v>550.1833008036075</v>
      </c>
      <c r="Q15" s="6">
        <v>500</v>
      </c>
      <c r="R15" s="6">
        <f>K15*6^0.5/2</f>
        <v>2513.1764760955407</v>
      </c>
      <c r="S15" s="6">
        <v>2.5</v>
      </c>
      <c r="T15" s="6">
        <f>H15^2/(C15*1000)</f>
        <v>0.48530631578947364</v>
      </c>
      <c r="U15" s="6">
        <f t="shared" si="13"/>
        <v>0.005823675789473684</v>
      </c>
      <c r="V15" s="6">
        <f t="shared" si="14"/>
        <v>0.04078871186622727</v>
      </c>
      <c r="W15" s="10">
        <f>V15/(2*PI()*60)</f>
        <v>0.0001081954185976853</v>
      </c>
      <c r="X15" s="12">
        <f t="shared" si="16"/>
        <v>5.409770929884265E-05</v>
      </c>
      <c r="Y15" s="12">
        <f>6*60*W15</f>
        <v>0.03895035069516671</v>
      </c>
      <c r="Z15" s="26">
        <f>(Y15+O15/1000)</f>
        <v>0.04295765387072514</v>
      </c>
      <c r="AA15" s="33">
        <f>(Y15+O15/1000)*R15</f>
        <v>107.96016517616098</v>
      </c>
      <c r="AB15" s="70">
        <f>AA15*100/P15</f>
        <v>19.622581241283125</v>
      </c>
    </row>
    <row r="16" spans="1:28" ht="13.5" thickBot="1">
      <c r="A16" s="155"/>
      <c r="B16" s="9" t="s">
        <v>88</v>
      </c>
      <c r="C16" s="54">
        <v>342</v>
      </c>
      <c r="D16" s="9">
        <v>1.2</v>
      </c>
      <c r="E16" s="9">
        <v>4160</v>
      </c>
      <c r="F16" s="71">
        <f>(C16/3^0.5/E16)*1000/0.95</f>
        <v>49.963004064486846</v>
      </c>
      <c r="G16" s="25">
        <f>(1185/296.2)*F16</f>
        <v>199.8857522498883</v>
      </c>
      <c r="H16" s="25">
        <v>407.4</v>
      </c>
      <c r="I16" s="25">
        <f t="shared" si="0"/>
        <v>7.534002612955177</v>
      </c>
      <c r="J16" s="25">
        <v>513</v>
      </c>
      <c r="K16" s="54">
        <f>4*J16</f>
        <v>2052</v>
      </c>
      <c r="L16" s="25">
        <v>174.74</v>
      </c>
      <c r="M16" s="55">
        <f>L16*(H16/E16)^2</f>
        <v>1.6758985277829141</v>
      </c>
      <c r="N16" s="9">
        <v>0.95</v>
      </c>
      <c r="O16" s="55">
        <f>1.12*(M16/2+N16)</f>
        <v>2.002503175558432</v>
      </c>
      <c r="P16" s="25">
        <f>(3/PI())*H16*2^0.5</f>
        <v>550.1833008036075</v>
      </c>
      <c r="Q16" s="9">
        <v>500</v>
      </c>
      <c r="R16" s="9">
        <f>K16*6^0.5/2</f>
        <v>2513.1764760955407</v>
      </c>
      <c r="S16" s="9">
        <v>2.5</v>
      </c>
      <c r="T16" s="9">
        <f>H16^2/(C16*1000)</f>
        <v>0.48530631578947364</v>
      </c>
      <c r="U16" s="9">
        <f t="shared" si="13"/>
        <v>0.005823675789473684</v>
      </c>
      <c r="V16" s="9">
        <f t="shared" si="14"/>
        <v>0.0420315534619279</v>
      </c>
      <c r="W16" s="72">
        <f>V16/(2*PI()*60)</f>
        <v>0.0001114921583216182</v>
      </c>
      <c r="X16" s="72">
        <f t="shared" si="16"/>
        <v>5.57460791608091E-05</v>
      </c>
      <c r="Y16" s="73">
        <f>6*60*W16</f>
        <v>0.04013717699578255</v>
      </c>
      <c r="Z16" s="74">
        <f>(Y16+O16/1000)</f>
        <v>0.04213968017134098</v>
      </c>
      <c r="AA16" s="75">
        <f>(Y16+O16/1000)*R16</f>
        <v>105.90445291680386</v>
      </c>
      <c r="AB16" s="76">
        <f>AA16*100/P16</f>
        <v>19.248939900959904</v>
      </c>
    </row>
    <row r="17" spans="1:28" ht="13.5" thickTop="1">
      <c r="A17" s="132" t="s">
        <v>144</v>
      </c>
      <c r="B17" s="133"/>
      <c r="C17" s="133"/>
      <c r="D17" s="133"/>
      <c r="E17" s="133"/>
      <c r="F17" s="133"/>
      <c r="G17" s="86">
        <f>SUM(G3:G16)</f>
        <v>3403.103193265041</v>
      </c>
      <c r="H17" s="86" t="s">
        <v>107</v>
      </c>
      <c r="I17" s="86"/>
      <c r="J17" s="86"/>
      <c r="K17" s="45"/>
      <c r="L17" s="86"/>
      <c r="M17" s="88"/>
      <c r="N17" s="63"/>
      <c r="O17" s="88"/>
      <c r="P17" s="86"/>
      <c r="Q17" s="63"/>
      <c r="R17" s="63"/>
      <c r="S17" s="63"/>
      <c r="T17" s="63"/>
      <c r="U17" s="63"/>
      <c r="V17" s="63"/>
      <c r="W17" s="89"/>
      <c r="X17" s="89"/>
      <c r="Y17" s="89"/>
      <c r="Z17" s="90"/>
      <c r="AA17" s="91"/>
      <c r="AB17" s="91"/>
    </row>
    <row r="18" spans="1:28" ht="12.75">
      <c r="A18" s="122"/>
      <c r="B18" s="123"/>
      <c r="C18" s="123"/>
      <c r="D18" s="123"/>
      <c r="E18" s="123"/>
      <c r="F18" s="86">
        <f>SUM(F4:F17)-F14-F13</f>
        <v>401.7858243519151</v>
      </c>
      <c r="G18" s="86"/>
      <c r="H18" s="86"/>
      <c r="I18" s="86"/>
      <c r="J18" s="86"/>
      <c r="K18" s="45"/>
      <c r="L18" s="86"/>
      <c r="M18" s="88"/>
      <c r="N18" s="63"/>
      <c r="O18" s="88"/>
      <c r="P18" s="86"/>
      <c r="Q18" s="63"/>
      <c r="R18" s="63"/>
      <c r="S18" s="63"/>
      <c r="T18" s="63"/>
      <c r="U18" s="63"/>
      <c r="V18" s="63"/>
      <c r="W18" s="89"/>
      <c r="X18" s="89"/>
      <c r="Y18" s="89"/>
      <c r="Z18" s="90"/>
      <c r="AA18" s="91"/>
      <c r="AB18" s="91"/>
    </row>
    <row r="19" spans="1:28" ht="27.75" customHeight="1">
      <c r="A19" s="134" t="s">
        <v>178</v>
      </c>
      <c r="B19" s="135"/>
      <c r="C19" s="135"/>
      <c r="D19" s="135"/>
      <c r="E19" s="135"/>
      <c r="F19" s="135"/>
      <c r="G19" s="86">
        <f>G17*($Q$50/100)*0.66</f>
        <v>169.21732311141855</v>
      </c>
      <c r="H19" s="86" t="s">
        <v>96</v>
      </c>
      <c r="I19" s="86"/>
      <c r="J19" s="86" t="s">
        <v>174</v>
      </c>
      <c r="K19" s="45"/>
      <c r="L19" s="86"/>
      <c r="M19" s="88"/>
      <c r="N19" s="63"/>
      <c r="O19" s="88"/>
      <c r="P19" s="86"/>
      <c r="Q19" s="63"/>
      <c r="R19" s="63"/>
      <c r="S19" s="63"/>
      <c r="T19" s="63"/>
      <c r="U19" s="63"/>
      <c r="V19" s="63"/>
      <c r="W19" s="89"/>
      <c r="X19" s="89"/>
      <c r="Y19" s="89"/>
      <c r="Z19" s="90"/>
      <c r="AA19" s="91"/>
      <c r="AB19" s="91"/>
    </row>
    <row r="20" spans="1:12" ht="13.5" thickBot="1">
      <c r="A20" s="28" t="s">
        <v>41</v>
      </c>
      <c r="J20" s="65" t="s">
        <v>79</v>
      </c>
      <c r="L20" s="67">
        <v>38720</v>
      </c>
    </row>
    <row r="21" spans="1:28" ht="51" customHeight="1" thickTop="1">
      <c r="A21" s="2" t="s">
        <v>0</v>
      </c>
      <c r="B21" s="3" t="s">
        <v>1</v>
      </c>
      <c r="C21" s="16" t="s">
        <v>2</v>
      </c>
      <c r="D21" s="27" t="s">
        <v>42</v>
      </c>
      <c r="E21" s="27" t="s">
        <v>40</v>
      </c>
      <c r="F21" s="18" t="s">
        <v>44</v>
      </c>
      <c r="G21" s="30" t="s">
        <v>140</v>
      </c>
      <c r="H21" s="30" t="s">
        <v>63</v>
      </c>
      <c r="I21" s="159"/>
      <c r="J21" s="49" t="s">
        <v>64</v>
      </c>
      <c r="K21" s="50" t="s">
        <v>65</v>
      </c>
      <c r="L21" s="43" t="s">
        <v>68</v>
      </c>
      <c r="M21" s="51" t="s">
        <v>72</v>
      </c>
      <c r="N21" s="43" t="s">
        <v>69</v>
      </c>
      <c r="O21" s="23" t="s">
        <v>78</v>
      </c>
      <c r="P21" s="23" t="s">
        <v>129</v>
      </c>
      <c r="Q21" s="3" t="s">
        <v>76</v>
      </c>
      <c r="R21" s="3" t="s">
        <v>71</v>
      </c>
      <c r="S21" s="3" t="s">
        <v>145</v>
      </c>
      <c r="T21" s="4" t="s">
        <v>75</v>
      </c>
      <c r="U21" s="4" t="s">
        <v>70</v>
      </c>
      <c r="V21" s="102" t="s">
        <v>148</v>
      </c>
      <c r="W21" s="102" t="s">
        <v>185</v>
      </c>
      <c r="X21" s="102" t="s">
        <v>149</v>
      </c>
      <c r="Y21" s="102" t="s">
        <v>150</v>
      </c>
      <c r="Z21" s="102" t="s">
        <v>151</v>
      </c>
      <c r="AA21"/>
      <c r="AB21" s="121" t="s">
        <v>186</v>
      </c>
    </row>
    <row r="22" spans="1:28" ht="12.75">
      <c r="A22" s="5"/>
      <c r="B22" s="6"/>
      <c r="C22" s="13"/>
      <c r="D22" s="6"/>
      <c r="E22" s="6"/>
      <c r="F22" s="14" t="s">
        <v>45</v>
      </c>
      <c r="G22" s="31" t="s">
        <v>46</v>
      </c>
      <c r="H22" s="31" t="s">
        <v>46</v>
      </c>
      <c r="I22" s="159"/>
      <c r="J22" s="52"/>
      <c r="K22" s="13"/>
      <c r="L22" s="6"/>
      <c r="M22" s="22"/>
      <c r="N22" s="6"/>
      <c r="O22" s="24"/>
      <c r="P22" s="6"/>
      <c r="Q22" s="6"/>
      <c r="R22" s="6"/>
      <c r="S22" s="6"/>
      <c r="T22" s="7"/>
      <c r="U22" s="7"/>
      <c r="V22" s="103"/>
      <c r="W22" s="103"/>
      <c r="X22" s="103"/>
      <c r="Y22" s="103"/>
      <c r="Z22" s="103"/>
      <c r="AA22"/>
      <c r="AB22"/>
    </row>
    <row r="23" spans="1:28" ht="12.75" customHeight="1">
      <c r="A23" s="137" t="s">
        <v>5</v>
      </c>
      <c r="B23" s="6" t="s">
        <v>11</v>
      </c>
      <c r="C23" s="13">
        <v>225</v>
      </c>
      <c r="D23" s="6">
        <f>2500*E23</f>
        <v>105.26210239168624</v>
      </c>
      <c r="E23" s="29">
        <f>$Z$3</f>
        <v>0.042104840956674494</v>
      </c>
      <c r="F23" s="139">
        <f>(D23+D24)/2</f>
        <v>105.85818629969161</v>
      </c>
      <c r="G23" s="158">
        <f>(E23+E24)/2</f>
        <v>0.04234327451987664</v>
      </c>
      <c r="H23" s="158">
        <f>G23/2</f>
        <v>0.02117163725993832</v>
      </c>
      <c r="I23" s="159"/>
      <c r="J23" s="156" t="s">
        <v>83</v>
      </c>
      <c r="K23" s="125" t="s">
        <v>116</v>
      </c>
      <c r="L23" s="125">
        <v>10000</v>
      </c>
      <c r="M23" s="125">
        <v>344.37</v>
      </c>
      <c r="N23" s="150" t="s">
        <v>120</v>
      </c>
      <c r="O23" s="125">
        <v>4.87</v>
      </c>
      <c r="P23" s="125">
        <f>O23*O26/(O23+O26)+0.7</f>
        <v>3.147436159346272</v>
      </c>
      <c r="Q23" s="129">
        <f>P23*1.12</f>
        <v>3.5251284984678253</v>
      </c>
      <c r="R23" s="129">
        <f>Q23+(H23*H25/(H23+H25))*1000</f>
        <v>14.067028964084857</v>
      </c>
      <c r="S23" s="129">
        <f>R23*L23/1000</f>
        <v>140.67028964084858</v>
      </c>
      <c r="T23" s="97">
        <f>M23-S23</f>
        <v>203.69971035915142</v>
      </c>
      <c r="U23" s="57" t="s">
        <v>60</v>
      </c>
      <c r="V23" s="104">
        <v>0.013987</v>
      </c>
      <c r="W23" s="104">
        <f>V23+Q23/1000</f>
        <v>0.017512128498467824</v>
      </c>
      <c r="X23" s="104">
        <v>0.02096</v>
      </c>
      <c r="Y23" s="104">
        <f>X23+0.000075</f>
        <v>0.021034999999999998</v>
      </c>
      <c r="Z23" s="104">
        <f>Y23/W23</f>
        <v>1.2011675223740164</v>
      </c>
      <c r="AA23">
        <f>M23/(R23/1000+V23)</f>
        <v>12275.242192159532</v>
      </c>
      <c r="AB23">
        <f>50*W23</f>
        <v>0.8756064249233912</v>
      </c>
    </row>
    <row r="24" spans="1:28" ht="12.75">
      <c r="A24" s="138"/>
      <c r="B24" s="6" t="s">
        <v>12</v>
      </c>
      <c r="C24" s="13">
        <v>225</v>
      </c>
      <c r="D24" s="6">
        <f aca="true" t="shared" si="18" ref="D24:D30">2500*E24</f>
        <v>106.45427020769698</v>
      </c>
      <c r="E24" s="29">
        <f>$Z$4</f>
        <v>0.04258170808307879</v>
      </c>
      <c r="F24" s="139"/>
      <c r="G24" s="158"/>
      <c r="H24" s="158"/>
      <c r="I24" s="159"/>
      <c r="J24" s="157"/>
      <c r="K24" s="136"/>
      <c r="L24" s="136"/>
      <c r="M24" s="136"/>
      <c r="N24" s="161"/>
      <c r="O24" s="136"/>
      <c r="P24" s="136"/>
      <c r="Q24" s="130"/>
      <c r="R24" s="130"/>
      <c r="S24" s="130"/>
      <c r="T24" s="100"/>
      <c r="U24" s="59" t="s">
        <v>73</v>
      </c>
      <c r="V24" s="104"/>
      <c r="W24" s="104"/>
      <c r="X24" s="104"/>
      <c r="Y24" s="104"/>
      <c r="Z24" s="104"/>
      <c r="AA24"/>
      <c r="AB24"/>
    </row>
    <row r="25" spans="1:28" ht="12.75">
      <c r="A25" s="137" t="s">
        <v>6</v>
      </c>
      <c r="B25" s="6" t="s">
        <v>13</v>
      </c>
      <c r="C25" s="13">
        <v>225</v>
      </c>
      <c r="D25" s="6">
        <f t="shared" si="18"/>
        <v>104.16086832125887</v>
      </c>
      <c r="E25" s="29">
        <f>$Z$5</f>
        <v>0.04166434732850355</v>
      </c>
      <c r="F25" s="139">
        <f>(D25+D26)/2</f>
        <v>104.98345208681593</v>
      </c>
      <c r="G25" s="158">
        <f>(E25+E26)/2</f>
        <v>0.04199338083472637</v>
      </c>
      <c r="H25" s="158">
        <f>G25/2</f>
        <v>0.020996690417363184</v>
      </c>
      <c r="I25" s="159"/>
      <c r="J25" s="157"/>
      <c r="K25" s="136"/>
      <c r="L25" s="136"/>
      <c r="M25" s="136"/>
      <c r="N25" s="161"/>
      <c r="O25" s="126"/>
      <c r="P25" s="136"/>
      <c r="Q25" s="130"/>
      <c r="R25" s="130"/>
      <c r="S25" s="130"/>
      <c r="T25" s="100"/>
      <c r="U25" s="59"/>
      <c r="V25" s="104"/>
      <c r="W25" s="104"/>
      <c r="X25" s="104"/>
      <c r="Y25" s="104"/>
      <c r="Z25" s="104"/>
      <c r="AA25"/>
      <c r="AB25"/>
    </row>
    <row r="26" spans="1:28" ht="12.75">
      <c r="A26" s="138"/>
      <c r="B26" s="6" t="s">
        <v>14</v>
      </c>
      <c r="C26" s="13">
        <v>225</v>
      </c>
      <c r="D26" s="6">
        <f t="shared" si="18"/>
        <v>105.80603585237299</v>
      </c>
      <c r="E26" s="29">
        <f>$Z$6</f>
        <v>0.042322414340949195</v>
      </c>
      <c r="F26" s="139"/>
      <c r="G26" s="158"/>
      <c r="H26" s="158"/>
      <c r="I26" s="159"/>
      <c r="J26" s="157"/>
      <c r="K26" s="126"/>
      <c r="L26" s="126"/>
      <c r="M26" s="126"/>
      <c r="N26" s="151"/>
      <c r="O26" s="53">
        <v>4.92</v>
      </c>
      <c r="P26" s="126"/>
      <c r="Q26" s="131"/>
      <c r="R26" s="131"/>
      <c r="S26" s="131"/>
      <c r="T26" s="98"/>
      <c r="U26" s="58"/>
      <c r="V26" s="105"/>
      <c r="W26" s="105"/>
      <c r="X26" s="105"/>
      <c r="Y26" s="105"/>
      <c r="Z26" s="105"/>
      <c r="AA26"/>
      <c r="AB26"/>
    </row>
    <row r="27" spans="1:28" ht="12.75" customHeight="1">
      <c r="A27" s="137" t="s">
        <v>7</v>
      </c>
      <c r="B27" s="6" t="s">
        <v>15</v>
      </c>
      <c r="C27" s="13">
        <v>225</v>
      </c>
      <c r="D27" s="6">
        <f t="shared" si="18"/>
        <v>104.71329458721878</v>
      </c>
      <c r="E27" s="29">
        <f>$Z$7</f>
        <v>0.04188531783488751</v>
      </c>
      <c r="F27" s="139">
        <f>(D27+D28)/2</f>
        <v>104.5524065142996</v>
      </c>
      <c r="G27" s="158">
        <f>(E27+E28)/2</f>
        <v>0.04182096260571984</v>
      </c>
      <c r="H27" s="158">
        <f>G27/2</f>
        <v>0.02091048130285992</v>
      </c>
      <c r="I27" s="159"/>
      <c r="J27" s="156" t="s">
        <v>80</v>
      </c>
      <c r="K27" s="125" t="s">
        <v>117</v>
      </c>
      <c r="L27" s="125">
        <v>5000</v>
      </c>
      <c r="M27" s="125">
        <v>344.37</v>
      </c>
      <c r="N27" s="150" t="s">
        <v>119</v>
      </c>
      <c r="O27" s="125">
        <v>4.87</v>
      </c>
      <c r="P27" s="125">
        <f>O27+O29+0.7</f>
        <v>10.44</v>
      </c>
      <c r="Q27" s="129">
        <f>P27*1.12</f>
        <v>11.6928</v>
      </c>
      <c r="R27" s="129">
        <f>Q27+(H27+H35)*1000</f>
        <v>53.87761481337645</v>
      </c>
      <c r="S27" s="129">
        <f>R27*L27/1000</f>
        <v>269.38807406688227</v>
      </c>
      <c r="T27" s="97">
        <f>M29+M27-S27</f>
        <v>625.1652267367252</v>
      </c>
      <c r="U27" s="57" t="s">
        <v>60</v>
      </c>
      <c r="V27" s="106">
        <v>0.003112</v>
      </c>
      <c r="W27" s="106">
        <f>V27+Q27/1000</f>
        <v>0.0148048</v>
      </c>
      <c r="X27" s="106">
        <v>0.0152</v>
      </c>
      <c r="Y27" s="104">
        <f>X27+0.000075</f>
        <v>0.015275</v>
      </c>
      <c r="Z27" s="104">
        <f>Y27/W27</f>
        <v>1.0317599697395439</v>
      </c>
      <c r="AA27">
        <f>M27/(R27/1000+V27)</f>
        <v>6042.67990102594</v>
      </c>
      <c r="AB27">
        <f>50*W27</f>
        <v>0.74024</v>
      </c>
    </row>
    <row r="28" spans="1:28" ht="15" customHeight="1">
      <c r="A28" s="138"/>
      <c r="B28" s="6" t="s">
        <v>16</v>
      </c>
      <c r="C28" s="13">
        <v>225</v>
      </c>
      <c r="D28" s="6">
        <f t="shared" si="18"/>
        <v>104.39151844138041</v>
      </c>
      <c r="E28" s="29">
        <f>$Z$8</f>
        <v>0.041756607376552166</v>
      </c>
      <c r="F28" s="139"/>
      <c r="G28" s="158"/>
      <c r="H28" s="158"/>
      <c r="I28" s="159"/>
      <c r="J28" s="157"/>
      <c r="K28" s="126"/>
      <c r="L28" s="126"/>
      <c r="M28" s="126"/>
      <c r="N28" s="161"/>
      <c r="O28" s="126"/>
      <c r="P28" s="136"/>
      <c r="Q28" s="130"/>
      <c r="R28" s="130"/>
      <c r="S28" s="130"/>
      <c r="T28" s="100"/>
      <c r="U28" s="58" t="s">
        <v>73</v>
      </c>
      <c r="V28" s="104"/>
      <c r="W28" s="104"/>
      <c r="X28" s="104"/>
      <c r="Y28" s="104"/>
      <c r="Z28" s="104"/>
      <c r="AA28"/>
      <c r="AB28"/>
    </row>
    <row r="29" spans="1:28" ht="12.75" customHeight="1">
      <c r="A29" s="137" t="s">
        <v>8</v>
      </c>
      <c r="B29" s="6" t="s">
        <v>17</v>
      </c>
      <c r="C29" s="13">
        <v>225</v>
      </c>
      <c r="D29" s="6">
        <f t="shared" si="18"/>
        <v>106.56940757553883</v>
      </c>
      <c r="E29" s="29">
        <f>$Z$9</f>
        <v>0.04262776303021553</v>
      </c>
      <c r="F29" s="139">
        <f>(D29+D30)/2</f>
        <v>106.28806640935605</v>
      </c>
      <c r="G29" s="158">
        <f>(E29+E30)/2</f>
        <v>0.04251522656374242</v>
      </c>
      <c r="H29" s="158">
        <f>G29/2</f>
        <v>0.02125761328187121</v>
      </c>
      <c r="I29" s="159"/>
      <c r="J29" s="157"/>
      <c r="K29" s="125" t="s">
        <v>124</v>
      </c>
      <c r="L29" s="146">
        <v>5000</v>
      </c>
      <c r="M29" s="162">
        <f>P15</f>
        <v>550.1833008036075</v>
      </c>
      <c r="N29" s="161"/>
      <c r="O29" s="125">
        <v>4.87</v>
      </c>
      <c r="P29" s="136"/>
      <c r="Q29" s="130"/>
      <c r="R29" s="130"/>
      <c r="S29" s="130"/>
      <c r="T29" s="100"/>
      <c r="U29" s="57" t="s">
        <v>60</v>
      </c>
      <c r="V29" s="104"/>
      <c r="W29" s="104"/>
      <c r="X29" s="104"/>
      <c r="Y29" s="104"/>
      <c r="Z29" s="104"/>
      <c r="AA29"/>
      <c r="AB29"/>
    </row>
    <row r="30" spans="1:28" ht="12.75">
      <c r="A30" s="138"/>
      <c r="B30" s="6" t="s">
        <v>18</v>
      </c>
      <c r="C30" s="13">
        <v>225</v>
      </c>
      <c r="D30" s="6">
        <f t="shared" si="18"/>
        <v>106.00672524317328</v>
      </c>
      <c r="E30" s="29">
        <f>$Z$10</f>
        <v>0.04240269009726931</v>
      </c>
      <c r="F30" s="139"/>
      <c r="G30" s="158"/>
      <c r="H30" s="158"/>
      <c r="I30" s="159"/>
      <c r="J30" s="157"/>
      <c r="K30" s="126"/>
      <c r="L30" s="160"/>
      <c r="M30" s="163"/>
      <c r="N30" s="151"/>
      <c r="O30" s="126"/>
      <c r="P30" s="126"/>
      <c r="Q30" s="131"/>
      <c r="R30" s="131"/>
      <c r="S30" s="131"/>
      <c r="T30" s="98"/>
      <c r="U30" s="58" t="s">
        <v>73</v>
      </c>
      <c r="V30" s="105"/>
      <c r="W30" s="105"/>
      <c r="X30" s="105"/>
      <c r="Y30" s="105"/>
      <c r="Z30" s="105"/>
      <c r="AA30"/>
      <c r="AB30"/>
    </row>
    <row r="31" spans="1:28" ht="12.75" customHeight="1">
      <c r="A31" s="137" t="s">
        <v>9</v>
      </c>
      <c r="B31" s="6" t="s">
        <v>19</v>
      </c>
      <c r="C31" s="13">
        <v>300</v>
      </c>
      <c r="D31" s="6">
        <f>5000*E31</f>
        <v>74.08998236583061</v>
      </c>
      <c r="E31" s="29">
        <f>$Z$11</f>
        <v>0.014817996473166123</v>
      </c>
      <c r="F31" s="139">
        <f>(D31+D32)/2</f>
        <v>74.24872660011621</v>
      </c>
      <c r="G31" s="158">
        <f>(E31+E32)/2</f>
        <v>0.014849745320023245</v>
      </c>
      <c r="H31" s="158">
        <f>G31/2</f>
        <v>0.0074248726600116225</v>
      </c>
      <c r="I31" s="159"/>
      <c r="J31" s="156" t="s">
        <v>82</v>
      </c>
      <c r="K31" s="125" t="s">
        <v>66</v>
      </c>
      <c r="L31" s="125">
        <v>10000</v>
      </c>
      <c r="M31" s="125">
        <v>229.58</v>
      </c>
      <c r="N31" s="150" t="s">
        <v>121</v>
      </c>
      <c r="O31" s="125">
        <v>3.34</v>
      </c>
      <c r="P31" s="125">
        <f>O31+0.7</f>
        <v>4.04</v>
      </c>
      <c r="Q31" s="129">
        <f>P31*1.12</f>
        <v>4.524800000000001</v>
      </c>
      <c r="R31" s="129">
        <f>Q31+H31*1000</f>
        <v>11.949672660011624</v>
      </c>
      <c r="S31" s="129">
        <f>R31*L31/1000</f>
        <v>119.49672660011623</v>
      </c>
      <c r="T31" s="97">
        <f>M31-S31</f>
        <v>110.08327339988378</v>
      </c>
      <c r="U31" s="57" t="s">
        <v>58</v>
      </c>
      <c r="V31" s="106">
        <v>0.007777</v>
      </c>
      <c r="W31" s="106">
        <f>V31+Q31/1000</f>
        <v>0.012301800000000002</v>
      </c>
      <c r="X31" s="106">
        <v>0.015</v>
      </c>
      <c r="Y31" s="104">
        <f>X31+0.000075</f>
        <v>0.015075</v>
      </c>
      <c r="Z31" s="104">
        <f>Y31/W31</f>
        <v>1.2254304248158805</v>
      </c>
      <c r="AA31">
        <f>M31/(R31/1000+V31)</f>
        <v>11638.049860551837</v>
      </c>
      <c r="AB31">
        <f>50*W31</f>
        <v>0.6150900000000001</v>
      </c>
    </row>
    <row r="32" spans="1:28" ht="16.5" customHeight="1">
      <c r="A32" s="138"/>
      <c r="B32" s="6" t="s">
        <v>20</v>
      </c>
      <c r="C32" s="13">
        <v>300</v>
      </c>
      <c r="D32" s="6">
        <f>5000*E32</f>
        <v>74.40747083440183</v>
      </c>
      <c r="E32" s="29">
        <f>$Z$12</f>
        <v>0.014881494166880366</v>
      </c>
      <c r="F32" s="139"/>
      <c r="G32" s="158"/>
      <c r="H32" s="158"/>
      <c r="I32" s="159"/>
      <c r="J32" s="157"/>
      <c r="K32" s="126"/>
      <c r="L32" s="126"/>
      <c r="M32" s="126"/>
      <c r="N32" s="151"/>
      <c r="O32" s="126"/>
      <c r="P32" s="126"/>
      <c r="Q32" s="131"/>
      <c r="R32" s="131"/>
      <c r="S32" s="131"/>
      <c r="T32" s="98"/>
      <c r="U32" s="58" t="s">
        <v>74</v>
      </c>
      <c r="V32" s="105"/>
      <c r="W32" s="105"/>
      <c r="X32" s="105"/>
      <c r="Y32" s="105"/>
      <c r="Z32" s="105"/>
      <c r="AA32"/>
      <c r="AB32"/>
    </row>
    <row r="33" spans="1:28" ht="12.75" customHeight="1">
      <c r="A33" s="137" t="s">
        <v>10</v>
      </c>
      <c r="B33" s="6" t="s">
        <v>21</v>
      </c>
      <c r="C33" s="13">
        <v>1505</v>
      </c>
      <c r="D33" s="6">
        <f>10000*E33</f>
        <v>167.98769451402035</v>
      </c>
      <c r="E33" s="29">
        <f>$Z$13</f>
        <v>0.016798769451402035</v>
      </c>
      <c r="F33" s="139">
        <f>(D33+D34)/2</f>
        <v>166.5563127886241</v>
      </c>
      <c r="G33" s="158">
        <f>(E33+E34)/2</f>
        <v>0.01665563127886241</v>
      </c>
      <c r="H33" s="158">
        <f>G33/2</f>
        <v>0.008327815639431205</v>
      </c>
      <c r="I33" s="159"/>
      <c r="J33" s="156" t="s">
        <v>84</v>
      </c>
      <c r="K33" s="125" t="s">
        <v>67</v>
      </c>
      <c r="L33" s="125">
        <v>20000</v>
      </c>
      <c r="M33" s="125">
        <v>575.3</v>
      </c>
      <c r="N33" s="150" t="s">
        <v>122</v>
      </c>
      <c r="O33" s="125">
        <v>1.67</v>
      </c>
      <c r="P33" s="125">
        <f>O33+0.7</f>
        <v>2.37</v>
      </c>
      <c r="Q33" s="129">
        <f>P33*1.12</f>
        <v>2.6544000000000003</v>
      </c>
      <c r="R33" s="129">
        <f>Q33+H33*1000</f>
        <v>10.982215639431205</v>
      </c>
      <c r="S33" s="129">
        <f>R33*L33/1000</f>
        <v>219.64431278862412</v>
      </c>
      <c r="T33" s="97">
        <f>M33-S33</f>
        <v>355.65568721137583</v>
      </c>
      <c r="U33" s="57" t="s">
        <v>59</v>
      </c>
      <c r="V33" s="106">
        <v>0.000666</v>
      </c>
      <c r="W33" s="106">
        <f>V33+Q33/1000</f>
        <v>0.0033204000000000003</v>
      </c>
      <c r="X33" s="106">
        <v>0.000796</v>
      </c>
      <c r="Y33" s="104">
        <f>X33+0.000075</f>
        <v>0.000871</v>
      </c>
      <c r="Z33" s="104">
        <f>Y33/W33</f>
        <v>0.2623177930369835</v>
      </c>
      <c r="AA33">
        <f>M33/(R33/1000+V33)</f>
        <v>49389.5389481382</v>
      </c>
      <c r="AB33">
        <f>50*W33</f>
        <v>0.16602</v>
      </c>
    </row>
    <row r="34" spans="1:28" ht="29.25" customHeight="1">
      <c r="A34" s="138"/>
      <c r="B34" s="6" t="s">
        <v>22</v>
      </c>
      <c r="C34" s="13">
        <v>1505</v>
      </c>
      <c r="D34" s="6">
        <f>10000*E34</f>
        <v>165.12493106322788</v>
      </c>
      <c r="E34" s="29">
        <f>$Z$14</f>
        <v>0.016512493106322787</v>
      </c>
      <c r="F34" s="139"/>
      <c r="G34" s="158"/>
      <c r="H34" s="158"/>
      <c r="I34" s="159"/>
      <c r="J34" s="157"/>
      <c r="K34" s="126"/>
      <c r="L34" s="126"/>
      <c r="M34" s="126"/>
      <c r="N34" s="151"/>
      <c r="O34" s="126"/>
      <c r="P34" s="126"/>
      <c r="Q34" s="131"/>
      <c r="R34" s="131"/>
      <c r="S34" s="131"/>
      <c r="T34" s="98"/>
      <c r="U34" s="58" t="s">
        <v>57</v>
      </c>
      <c r="V34" s="105"/>
      <c r="W34" s="105"/>
      <c r="X34" s="105"/>
      <c r="Y34" s="105"/>
      <c r="Z34" s="105"/>
      <c r="AA34"/>
      <c r="AB34"/>
    </row>
    <row r="35" spans="1:28" ht="12.75" customHeight="1">
      <c r="A35" s="137" t="s">
        <v>85</v>
      </c>
      <c r="B35" s="39" t="s">
        <v>114</v>
      </c>
      <c r="C35" s="60">
        <f>C15</f>
        <v>342</v>
      </c>
      <c r="D35" s="6">
        <f>K16*E35</f>
        <v>88.149105742728</v>
      </c>
      <c r="E35" s="29">
        <f>$Z$15</f>
        <v>0.04295765387072514</v>
      </c>
      <c r="F35" s="139">
        <f>(D35+D36)/2</f>
        <v>87.30986472715985</v>
      </c>
      <c r="G35" s="158">
        <f>(E35+E36)/2</f>
        <v>0.04254866702103306</v>
      </c>
      <c r="H35" s="158">
        <f>G35/2</f>
        <v>0.02127433351051653</v>
      </c>
      <c r="I35" s="159"/>
      <c r="J35" s="153" t="s">
        <v>81</v>
      </c>
      <c r="K35" s="146" t="s">
        <v>7</v>
      </c>
      <c r="L35" s="146">
        <v>5000</v>
      </c>
      <c r="M35" s="146">
        <v>344.37</v>
      </c>
      <c r="N35" s="146" t="s">
        <v>123</v>
      </c>
      <c r="O35" s="146">
        <v>4.87</v>
      </c>
      <c r="P35" s="146">
        <f>O35+0.7</f>
        <v>5.57</v>
      </c>
      <c r="Q35" s="146">
        <f>1.12*P35</f>
        <v>6.238400000000001</v>
      </c>
      <c r="R35" s="129">
        <f>Q35+H27*1000</f>
        <v>27.148881302859923</v>
      </c>
      <c r="S35" s="129">
        <f>R35*L35/1000</f>
        <v>135.7444065142996</v>
      </c>
      <c r="T35" s="97">
        <f>M35-S35</f>
        <v>208.6255934857004</v>
      </c>
      <c r="U35" s="148" t="s">
        <v>118</v>
      </c>
      <c r="V35" s="106">
        <v>0.00284</v>
      </c>
      <c r="W35" s="106">
        <f>V35+Q35/1000</f>
        <v>0.009078400000000002</v>
      </c>
      <c r="X35" s="106">
        <v>0.00624</v>
      </c>
      <c r="Y35" s="104">
        <f>X35+0.000075</f>
        <v>0.006315</v>
      </c>
      <c r="Z35" s="104">
        <f>Y35/W35</f>
        <v>0.6956071554458935</v>
      </c>
      <c r="AA35">
        <f>M35/(R35/1000+V35)</f>
        <v>11483.255961507266</v>
      </c>
      <c r="AB35">
        <f>50*W35</f>
        <v>0.4539200000000001</v>
      </c>
    </row>
    <row r="36" spans="1:28" ht="13.5" thickBot="1">
      <c r="A36" s="155"/>
      <c r="B36" s="64" t="s">
        <v>115</v>
      </c>
      <c r="C36" s="45">
        <f>C16</f>
        <v>342</v>
      </c>
      <c r="D36" s="6">
        <f>K16*E36</f>
        <v>86.4706237115917</v>
      </c>
      <c r="E36" s="29">
        <f>$Z$16</f>
        <v>0.04213968017134098</v>
      </c>
      <c r="F36" s="139"/>
      <c r="G36" s="158"/>
      <c r="H36" s="158"/>
      <c r="I36" s="159"/>
      <c r="J36" s="154"/>
      <c r="K36" s="147"/>
      <c r="L36" s="147"/>
      <c r="M36" s="147"/>
      <c r="N36" s="147"/>
      <c r="O36" s="147"/>
      <c r="P36" s="147"/>
      <c r="Q36" s="147"/>
      <c r="R36" s="152"/>
      <c r="S36" s="152"/>
      <c r="T36" s="99"/>
      <c r="U36" s="149"/>
      <c r="V36" s="107"/>
      <c r="W36" s="107"/>
      <c r="X36" s="107"/>
      <c r="Y36" s="107"/>
      <c r="Z36" s="107"/>
      <c r="AA36"/>
      <c r="AB36"/>
    </row>
    <row r="37" spans="1:11" ht="13.5" thickTop="1">
      <c r="A37" s="47" t="s">
        <v>56</v>
      </c>
      <c r="B37" s="34"/>
      <c r="C37" s="61"/>
      <c r="D37" s="34"/>
      <c r="E37" s="34"/>
      <c r="F37" s="40"/>
      <c r="G37" s="35"/>
      <c r="H37" s="68"/>
      <c r="I37" s="159"/>
      <c r="J37" t="s">
        <v>77</v>
      </c>
      <c r="K37" s="45"/>
    </row>
    <row r="38" spans="1:11" ht="13.5" thickBot="1">
      <c r="A38" s="48" t="s">
        <v>147</v>
      </c>
      <c r="B38" s="63"/>
      <c r="C38" s="45"/>
      <c r="D38" s="63"/>
      <c r="E38" s="63"/>
      <c r="F38" s="85"/>
      <c r="G38" s="86"/>
      <c r="H38" s="87"/>
      <c r="I38" s="159"/>
      <c r="J38" t="s">
        <v>141</v>
      </c>
      <c r="K38" s="45"/>
    </row>
    <row r="39" spans="1:11" ht="14.25" thickBot="1" thickTop="1">
      <c r="A39" s="48"/>
      <c r="B39" s="36"/>
      <c r="C39" s="62"/>
      <c r="D39" s="36"/>
      <c r="E39" s="36"/>
      <c r="F39" s="41"/>
      <c r="G39" s="37"/>
      <c r="H39" s="69"/>
      <c r="I39" s="159"/>
      <c r="K39" s="45"/>
    </row>
    <row r="40" spans="1:25" ht="14.25" thickBot="1" thickTop="1">
      <c r="A40" s="84"/>
      <c r="B40" s="63"/>
      <c r="C40" s="45"/>
      <c r="D40" s="63"/>
      <c r="E40" s="63"/>
      <c r="F40" s="85"/>
      <c r="G40" s="86"/>
      <c r="H40" s="63"/>
      <c r="I40" s="92"/>
      <c r="J40"/>
      <c r="K40" s="45"/>
      <c r="W40" s="101"/>
      <c r="X40" s="101"/>
      <c r="Y40" s="101"/>
    </row>
    <row r="41" spans="1:25" ht="14.25" thickBot="1" thickTop="1">
      <c r="A41" s="79" t="s">
        <v>90</v>
      </c>
      <c r="B41" s="80"/>
      <c r="C41" s="81"/>
      <c r="D41" s="81"/>
      <c r="E41" s="81"/>
      <c r="F41" s="81"/>
      <c r="G41" s="81" t="s">
        <v>91</v>
      </c>
      <c r="H41" s="81"/>
      <c r="I41" s="93"/>
      <c r="J41" s="82"/>
      <c r="U41">
        <f>H3/3^0.5/J3</f>
        <v>0.289</v>
      </c>
      <c r="W41" s="101">
        <f>0.05*F13*100/E13</f>
        <v>0.25104941612263865</v>
      </c>
      <c r="X41" s="101"/>
      <c r="Y41" s="101"/>
    </row>
    <row r="42" spans="1:21" ht="14.25" thickBot="1" thickTop="1">
      <c r="A42" s="42" t="s">
        <v>92</v>
      </c>
      <c r="B42" s="44"/>
      <c r="C42" s="43"/>
      <c r="D42" s="43"/>
      <c r="E42" s="43"/>
      <c r="F42" s="43"/>
      <c r="G42" s="43"/>
      <c r="H42" s="43"/>
      <c r="I42" s="94"/>
      <c r="J42" s="46"/>
      <c r="L42" s="83" t="s">
        <v>142</v>
      </c>
      <c r="U42">
        <f>((D3)/100)*T3</f>
        <v>0.0175423</v>
      </c>
    </row>
    <row r="43" spans="1:26" ht="13.5" thickTop="1">
      <c r="A43" s="5" t="s">
        <v>93</v>
      </c>
      <c r="B43" s="24"/>
      <c r="C43" s="6"/>
      <c r="D43" s="6"/>
      <c r="E43" s="6"/>
      <c r="F43" s="6"/>
      <c r="G43" s="6"/>
      <c r="H43" s="6"/>
      <c r="I43" s="95"/>
      <c r="J43" s="7"/>
      <c r="L43" s="42" t="s">
        <v>47</v>
      </c>
      <c r="M43" s="43"/>
      <c r="N43" s="43" t="s">
        <v>48</v>
      </c>
      <c r="O43" s="34"/>
      <c r="P43" s="43"/>
      <c r="Q43" s="44" t="s">
        <v>49</v>
      </c>
      <c r="R43" s="43"/>
      <c r="S43" s="46"/>
      <c r="W43" s="101"/>
      <c r="X43" s="101"/>
      <c r="Y43" s="101"/>
      <c r="Z43">
        <f>Y43+X43</f>
        <v>0</v>
      </c>
    </row>
    <row r="44" spans="1:19" ht="13.5" customHeight="1">
      <c r="A44" s="77" t="s">
        <v>139</v>
      </c>
      <c r="B44" s="24">
        <v>2500</v>
      </c>
      <c r="C44" s="6" t="s">
        <v>94</v>
      </c>
      <c r="D44" s="6"/>
      <c r="E44" s="6"/>
      <c r="F44" s="6"/>
      <c r="G44" s="6"/>
      <c r="H44" s="6"/>
      <c r="I44" s="95"/>
      <c r="J44" s="7"/>
      <c r="L44" s="5"/>
      <c r="M44" s="6"/>
      <c r="N44" s="6" t="s">
        <v>113</v>
      </c>
      <c r="O44" s="63"/>
      <c r="P44" s="6"/>
      <c r="Q44" s="14"/>
      <c r="R44" s="24" t="s">
        <v>50</v>
      </c>
      <c r="S44" s="7" t="s">
        <v>51</v>
      </c>
    </row>
    <row r="45" spans="1:19" ht="14.25" customHeight="1">
      <c r="A45" s="77" t="s">
        <v>95</v>
      </c>
      <c r="B45" s="24">
        <v>549.64</v>
      </c>
      <c r="C45" s="6" t="s">
        <v>96</v>
      </c>
      <c r="D45" s="6" t="s">
        <v>97</v>
      </c>
      <c r="E45" s="6"/>
      <c r="F45" s="6"/>
      <c r="G45" s="6"/>
      <c r="H45" s="6"/>
      <c r="I45" s="95"/>
      <c r="J45" s="7"/>
      <c r="L45" s="5"/>
      <c r="M45" s="6"/>
      <c r="N45" s="6" t="s">
        <v>52</v>
      </c>
      <c r="O45" s="63"/>
      <c r="P45" s="6"/>
      <c r="Q45" s="14"/>
      <c r="R45" s="24"/>
      <c r="S45" s="7"/>
    </row>
    <row r="46" spans="1:19" ht="13.5" thickBot="1">
      <c r="A46" s="77" t="s">
        <v>132</v>
      </c>
      <c r="B46" s="24">
        <v>500</v>
      </c>
      <c r="C46" s="6" t="s">
        <v>96</v>
      </c>
      <c r="D46" s="6" t="s">
        <v>98</v>
      </c>
      <c r="E46" s="6"/>
      <c r="F46" s="6"/>
      <c r="G46" s="6"/>
      <c r="H46" s="6"/>
      <c r="I46" s="95"/>
      <c r="J46" s="7"/>
      <c r="L46" s="8" t="s">
        <v>53</v>
      </c>
      <c r="M46" s="9"/>
      <c r="N46" s="54" t="s">
        <v>54</v>
      </c>
      <c r="O46" s="9"/>
      <c r="P46" s="66"/>
      <c r="Q46" s="78" t="s">
        <v>55</v>
      </c>
      <c r="R46" s="25"/>
      <c r="S46" s="56"/>
    </row>
    <row r="47" spans="1:10" ht="13.5" thickTop="1">
      <c r="A47" s="77" t="s">
        <v>99</v>
      </c>
      <c r="B47" s="24">
        <v>684</v>
      </c>
      <c r="C47" s="6" t="s">
        <v>86</v>
      </c>
      <c r="D47" s="6"/>
      <c r="E47" s="6"/>
      <c r="F47" s="6"/>
      <c r="G47" s="6"/>
      <c r="H47" s="6"/>
      <c r="I47" s="95"/>
      <c r="J47" s="7"/>
    </row>
    <row r="48" spans="1:28" ht="12.75">
      <c r="A48" s="77" t="s">
        <v>100</v>
      </c>
      <c r="B48" s="24">
        <v>2736</v>
      </c>
      <c r="C48" s="6" t="s">
        <v>86</v>
      </c>
      <c r="D48" s="6"/>
      <c r="E48" s="6"/>
      <c r="F48" s="6"/>
      <c r="G48" s="6"/>
      <c r="H48" s="6"/>
      <c r="I48" s="95"/>
      <c r="J48" s="7"/>
      <c r="L48" t="s">
        <v>159</v>
      </c>
      <c r="M48" s="15"/>
      <c r="N48" s="109" t="s">
        <v>176</v>
      </c>
      <c r="O48" s="109" t="s">
        <v>160</v>
      </c>
      <c r="P48" t="s">
        <v>161</v>
      </c>
      <c r="Q48" s="124" t="s">
        <v>175</v>
      </c>
      <c r="R48" s="124"/>
      <c r="Z48" s="19"/>
      <c r="AB48"/>
    </row>
    <row r="49" spans="1:28" ht="12.75">
      <c r="A49" s="77" t="s">
        <v>101</v>
      </c>
      <c r="B49" s="24">
        <v>4160</v>
      </c>
      <c r="C49" s="6" t="s">
        <v>96</v>
      </c>
      <c r="D49" s="6" t="s">
        <v>102</v>
      </c>
      <c r="E49" s="6"/>
      <c r="F49" s="6"/>
      <c r="G49" s="6"/>
      <c r="H49" s="6"/>
      <c r="I49" s="95"/>
      <c r="J49" s="7"/>
      <c r="L49" s="19" t="s">
        <v>152</v>
      </c>
      <c r="M49" s="15">
        <v>30</v>
      </c>
      <c r="N49" s="20">
        <v>0.05</v>
      </c>
      <c r="O49" s="20">
        <v>0.03</v>
      </c>
      <c r="P49"/>
      <c r="Z49" s="19"/>
      <c r="AB49"/>
    </row>
    <row r="50" spans="1:28" ht="12.75">
      <c r="A50" s="77" t="s">
        <v>133</v>
      </c>
      <c r="B50" s="24">
        <v>407.4</v>
      </c>
      <c r="C50" s="6" t="s">
        <v>96</v>
      </c>
      <c r="D50" s="6" t="s">
        <v>102</v>
      </c>
      <c r="E50" s="6"/>
      <c r="F50" s="6"/>
      <c r="G50" s="6"/>
      <c r="H50" s="6"/>
      <c r="I50" s="95"/>
      <c r="J50" s="7"/>
      <c r="L50" t="s">
        <v>153</v>
      </c>
      <c r="M50" s="17">
        <v>7.54</v>
      </c>
      <c r="N50" s="20">
        <f>N49*$F$13*100*2/M53</f>
        <v>0.5020988322452773</v>
      </c>
      <c r="O50" s="20">
        <f>O49*M51*100/M53</f>
        <v>3.0025843788754116</v>
      </c>
      <c r="P50" s="108">
        <f>M50+O50+N50</f>
        <v>11.044683211120688</v>
      </c>
      <c r="Q50">
        <f>M50*0.667+N50+O50*0.667</f>
        <v>7.534002612955177</v>
      </c>
      <c r="V50" t="s">
        <v>188</v>
      </c>
      <c r="W50">
        <f>N49*$F$13*100*2/M53</f>
        <v>0.5020988322452773</v>
      </c>
      <c r="Z50" s="19"/>
      <c r="AB50"/>
    </row>
    <row r="51" spans="1:23" ht="12.75">
      <c r="A51" s="77" t="s">
        <v>134</v>
      </c>
      <c r="B51" s="24">
        <v>407.4</v>
      </c>
      <c r="C51" s="6" t="s">
        <v>96</v>
      </c>
      <c r="D51" s="6" t="s">
        <v>102</v>
      </c>
      <c r="E51" s="6"/>
      <c r="F51" s="6"/>
      <c r="G51" s="6"/>
      <c r="H51" s="6"/>
      <c r="I51" s="95"/>
      <c r="J51" s="7"/>
      <c r="L51" t="s">
        <v>154</v>
      </c>
      <c r="M51" s="15">
        <f>M49*10^6/3^0.5/E3</f>
        <v>4163.583672040571</v>
      </c>
      <c r="V51" t="s">
        <v>10</v>
      </c>
      <c r="W51">
        <f>N49*$F$18*100/M53</f>
        <v>0.4829156542691288</v>
      </c>
    </row>
    <row r="52" spans="1:17" ht="12.75">
      <c r="A52" s="77" t="s">
        <v>103</v>
      </c>
      <c r="B52" s="24">
        <v>10.21</v>
      </c>
      <c r="C52" s="6"/>
      <c r="D52" s="6"/>
      <c r="E52" s="6"/>
      <c r="F52" s="6"/>
      <c r="G52" s="6"/>
      <c r="H52" s="6"/>
      <c r="I52" s="95"/>
      <c r="J52" s="7"/>
      <c r="L52" t="s">
        <v>155</v>
      </c>
      <c r="M52" s="15">
        <f>M51*2/3</f>
        <v>2775.7224480270474</v>
      </c>
      <c r="Q52" s="20"/>
    </row>
    <row r="53" spans="1:13" ht="12.75">
      <c r="A53" s="77" t="s">
        <v>87</v>
      </c>
      <c r="B53" s="24">
        <v>1.2</v>
      </c>
      <c r="C53" s="6" t="s">
        <v>104</v>
      </c>
      <c r="D53" s="6"/>
      <c r="E53" s="6"/>
      <c r="F53" s="6"/>
      <c r="G53" s="6"/>
      <c r="H53" s="6"/>
      <c r="I53" s="95"/>
      <c r="J53" s="7"/>
      <c r="L53" t="s">
        <v>158</v>
      </c>
      <c r="M53" s="15">
        <v>4160</v>
      </c>
    </row>
    <row r="54" spans="1:14" ht="12.75" customHeight="1">
      <c r="A54" s="140" t="s">
        <v>105</v>
      </c>
      <c r="B54" s="141"/>
      <c r="C54" s="141"/>
      <c r="D54" s="141"/>
      <c r="E54" s="141"/>
      <c r="F54" s="141"/>
      <c r="G54" s="141"/>
      <c r="H54" s="141"/>
      <c r="I54" s="141"/>
      <c r="J54" s="142"/>
      <c r="L54" t="s">
        <v>156</v>
      </c>
      <c r="M54" s="20">
        <f>M53*M50/100/M51</f>
        <v>0.07533510185139941</v>
      </c>
      <c r="N54" t="s">
        <v>46</v>
      </c>
    </row>
    <row r="55" spans="1:13" ht="12.75" customHeight="1" hidden="1">
      <c r="A55" s="143"/>
      <c r="B55" s="144"/>
      <c r="C55" s="144"/>
      <c r="D55" s="144"/>
      <c r="E55" s="144"/>
      <c r="F55" s="144"/>
      <c r="G55" s="144"/>
      <c r="H55" s="144"/>
      <c r="I55" s="144"/>
      <c r="J55" s="145"/>
      <c r="M55" s="15"/>
    </row>
    <row r="56" spans="1:13" ht="12.75">
      <c r="A56" s="77" t="s">
        <v>106</v>
      </c>
      <c r="B56" s="24">
        <v>29.2</v>
      </c>
      <c r="C56" s="6" t="s">
        <v>107</v>
      </c>
      <c r="D56" s="6" t="s">
        <v>108</v>
      </c>
      <c r="E56" s="6"/>
      <c r="F56" s="6"/>
      <c r="G56" s="6"/>
      <c r="H56" s="6"/>
      <c r="I56" s="95"/>
      <c r="J56" s="7"/>
      <c r="L56" t="s">
        <v>157</v>
      </c>
      <c r="M56" s="15">
        <f>M52*M54</f>
        <v>209.10933333333332</v>
      </c>
    </row>
    <row r="57" spans="1:13" ht="12.75">
      <c r="A57" s="77" t="s">
        <v>109</v>
      </c>
      <c r="B57" s="24">
        <f>B56*2*3^0.5</f>
        <v>101.15176716202242</v>
      </c>
      <c r="C57" s="6" t="s">
        <v>107</v>
      </c>
      <c r="D57" s="6"/>
      <c r="E57" s="6"/>
      <c r="F57" s="6"/>
      <c r="G57" s="6"/>
      <c r="H57" s="6"/>
      <c r="I57" s="95"/>
      <c r="J57" s="7"/>
      <c r="M57" s="15"/>
    </row>
    <row r="58" spans="1:13" ht="12.75">
      <c r="A58" s="77" t="s">
        <v>135</v>
      </c>
      <c r="B58" s="24">
        <v>513</v>
      </c>
      <c r="C58" s="6" t="s">
        <v>107</v>
      </c>
      <c r="D58" s="6"/>
      <c r="E58" s="6"/>
      <c r="F58" s="6"/>
      <c r="G58" s="6"/>
      <c r="H58" s="6"/>
      <c r="I58" s="95"/>
      <c r="J58" s="7"/>
      <c r="M58" s="15"/>
    </row>
    <row r="59" spans="1:13" ht="12.75">
      <c r="A59" s="77" t="s">
        <v>136</v>
      </c>
      <c r="B59" s="24">
        <v>513</v>
      </c>
      <c r="C59" s="6" t="s">
        <v>107</v>
      </c>
      <c r="D59" s="6"/>
      <c r="E59" s="6"/>
      <c r="F59" s="6"/>
      <c r="G59" s="6"/>
      <c r="H59" s="6"/>
      <c r="I59" s="95"/>
      <c r="J59" s="7"/>
      <c r="M59" s="15"/>
    </row>
    <row r="60" spans="1:13" ht="12.75" customHeight="1">
      <c r="A60" s="77" t="s">
        <v>125</v>
      </c>
      <c r="B60" s="24">
        <v>331.53</v>
      </c>
      <c r="C60" s="6" t="s">
        <v>110</v>
      </c>
      <c r="D60" s="6" t="s">
        <v>111</v>
      </c>
      <c r="E60" s="6"/>
      <c r="F60" s="6"/>
      <c r="G60" s="6"/>
      <c r="H60" s="6"/>
      <c r="I60" s="95"/>
      <c r="J60" s="7"/>
      <c r="M60" s="15"/>
    </row>
    <row r="61" spans="1:13" ht="13.5" customHeight="1">
      <c r="A61" s="77" t="s">
        <v>126</v>
      </c>
      <c r="B61" s="24">
        <v>369.5</v>
      </c>
      <c r="C61" s="6" t="s">
        <v>110</v>
      </c>
      <c r="D61" s="6" t="s">
        <v>111</v>
      </c>
      <c r="E61" s="6"/>
      <c r="F61" s="6"/>
      <c r="G61" s="6"/>
      <c r="H61" s="6"/>
      <c r="I61" s="95"/>
      <c r="J61" s="7"/>
      <c r="M61" s="15"/>
    </row>
    <row r="62" spans="1:13" ht="14.25" customHeight="1">
      <c r="A62" s="77" t="s">
        <v>127</v>
      </c>
      <c r="B62" s="24">
        <f>B60*B61/(B60+B61)</f>
        <v>174.74335620444202</v>
      </c>
      <c r="C62" s="6" t="s">
        <v>110</v>
      </c>
      <c r="D62" s="6" t="s">
        <v>111</v>
      </c>
      <c r="E62" s="6"/>
      <c r="F62" s="6"/>
      <c r="G62" s="6"/>
      <c r="H62" s="6"/>
      <c r="I62" s="95"/>
      <c r="J62" s="7"/>
      <c r="M62" s="15"/>
    </row>
    <row r="63" spans="1:13" ht="12.75">
      <c r="A63" s="77" t="s">
        <v>137</v>
      </c>
      <c r="B63" s="24">
        <v>2.74</v>
      </c>
      <c r="C63" s="6" t="s">
        <v>110</v>
      </c>
      <c r="D63" s="6" t="s">
        <v>111</v>
      </c>
      <c r="E63" s="6"/>
      <c r="F63" s="6"/>
      <c r="G63" s="6"/>
      <c r="H63" s="6"/>
      <c r="I63" s="95"/>
      <c r="J63" s="7"/>
      <c r="M63" s="15"/>
    </row>
    <row r="64" spans="1:13" ht="12.75">
      <c r="A64" s="77" t="s">
        <v>138</v>
      </c>
      <c r="B64" s="24">
        <v>0.95</v>
      </c>
      <c r="C64" s="6" t="s">
        <v>110</v>
      </c>
      <c r="D64" s="6" t="s">
        <v>111</v>
      </c>
      <c r="E64" s="6"/>
      <c r="F64" s="6"/>
      <c r="G64" s="6"/>
      <c r="H64" s="6"/>
      <c r="I64" s="95"/>
      <c r="J64" s="7"/>
      <c r="M64" s="15"/>
    </row>
    <row r="65" spans="1:13" ht="12.75">
      <c r="A65" s="5" t="s">
        <v>112</v>
      </c>
      <c r="B65" s="24"/>
      <c r="C65" s="6"/>
      <c r="D65" s="6"/>
      <c r="E65" s="6"/>
      <c r="F65" s="6"/>
      <c r="G65" s="6"/>
      <c r="H65" s="6"/>
      <c r="I65" s="95"/>
      <c r="J65" s="7"/>
      <c r="M65" s="15"/>
    </row>
    <row r="66" spans="1:10" ht="13.5" thickBot="1">
      <c r="A66" s="8" t="s">
        <v>128</v>
      </c>
      <c r="B66" s="25"/>
      <c r="C66" s="9"/>
      <c r="D66" s="9"/>
      <c r="E66" s="9"/>
      <c r="F66" s="9"/>
      <c r="G66" s="9"/>
      <c r="H66" s="9"/>
      <c r="I66" s="96"/>
      <c r="J66" s="56"/>
    </row>
    <row r="67" spans="1:28" s="6" customFormat="1" ht="13.5" thickTop="1">
      <c r="A67" s="110"/>
      <c r="B67" s="111"/>
      <c r="C67" s="110"/>
      <c r="D67" s="110"/>
      <c r="E67" s="110"/>
      <c r="F67" s="110"/>
      <c r="G67" s="110"/>
      <c r="H67" s="110"/>
      <c r="I67" s="111"/>
      <c r="J67" s="110"/>
      <c r="K67" s="13"/>
      <c r="M67" s="22"/>
      <c r="O67" s="22"/>
      <c r="P67" s="24"/>
      <c r="AA67" s="24"/>
      <c r="AB67" s="24"/>
    </row>
    <row r="68" spans="2:28" s="6" customFormat="1" ht="12.75">
      <c r="B68" s="24"/>
      <c r="I68" s="24"/>
      <c r="K68" s="13"/>
      <c r="M68" s="22"/>
      <c r="O68" s="22"/>
      <c r="P68" s="24"/>
      <c r="AA68" s="24"/>
      <c r="AB68" s="24"/>
    </row>
    <row r="69" spans="2:28" s="6" customFormat="1" ht="12.75">
      <c r="B69" s="24"/>
      <c r="I69" s="24"/>
      <c r="K69" s="13"/>
      <c r="M69" s="22"/>
      <c r="O69" s="22"/>
      <c r="P69" s="24"/>
      <c r="AA69" s="24"/>
      <c r="AB69" s="24"/>
    </row>
    <row r="70" spans="2:28" s="6" customFormat="1" ht="12.75">
      <c r="B70" s="24"/>
      <c r="I70" s="24"/>
      <c r="K70" s="13"/>
      <c r="M70" s="22"/>
      <c r="O70" s="22"/>
      <c r="P70" s="24"/>
      <c r="AA70" s="24"/>
      <c r="AB70" s="24"/>
    </row>
    <row r="71" spans="2:28" s="6" customFormat="1" ht="12.75">
      <c r="B71" s="24"/>
      <c r="I71" s="24"/>
      <c r="K71" s="13"/>
      <c r="M71" s="22"/>
      <c r="O71" s="22"/>
      <c r="P71" s="24"/>
      <c r="AA71" s="24"/>
      <c r="AB71" s="24"/>
    </row>
    <row r="72" spans="1:28" s="6" customFormat="1" ht="12.75">
      <c r="A72"/>
      <c r="B72" t="s">
        <v>162</v>
      </c>
      <c r="C72" t="s">
        <v>82</v>
      </c>
      <c r="D72" t="s">
        <v>163</v>
      </c>
      <c r="E72" t="s">
        <v>164</v>
      </c>
      <c r="F72" t="s">
        <v>80</v>
      </c>
      <c r="G72" t="s">
        <v>81</v>
      </c>
      <c r="H72" t="s">
        <v>165</v>
      </c>
      <c r="I72" s="19" t="s">
        <v>166</v>
      </c>
      <c r="K72" s="13"/>
      <c r="M72" s="22"/>
      <c r="O72" s="22"/>
      <c r="P72" s="24"/>
      <c r="AA72" s="24"/>
      <c r="AB72" s="24"/>
    </row>
    <row r="73" spans="1:28" s="6" customFormat="1" ht="12.75">
      <c r="A73" t="s">
        <v>167</v>
      </c>
      <c r="B73">
        <v>-4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 s="19">
        <v>0</v>
      </c>
      <c r="K73" s="13"/>
      <c r="M73" s="22"/>
      <c r="O73" s="22"/>
      <c r="P73" s="24"/>
      <c r="AA73" s="24"/>
      <c r="AB73" s="24"/>
    </row>
    <row r="74" spans="1:28" s="6" customFormat="1" ht="12.75">
      <c r="A74" t="s">
        <v>168</v>
      </c>
      <c r="B74">
        <v>0</v>
      </c>
      <c r="C74">
        <v>9115</v>
      </c>
      <c r="D74">
        <v>9115</v>
      </c>
      <c r="E74">
        <v>0</v>
      </c>
      <c r="F74">
        <v>0</v>
      </c>
      <c r="G74">
        <v>0</v>
      </c>
      <c r="H74">
        <v>0</v>
      </c>
      <c r="I74" s="19">
        <v>0</v>
      </c>
      <c r="K74" s="13"/>
      <c r="M74" s="22"/>
      <c r="O74" s="22"/>
      <c r="P74" s="24"/>
      <c r="AA74" s="24"/>
      <c r="AB74" s="24"/>
    </row>
    <row r="75" spans="1:28" s="6" customFormat="1" ht="12.75">
      <c r="A75" t="s">
        <v>169</v>
      </c>
      <c r="B75">
        <v>0.05</v>
      </c>
      <c r="C75">
        <v>9115</v>
      </c>
      <c r="D75">
        <v>9115</v>
      </c>
      <c r="E75">
        <v>0</v>
      </c>
      <c r="F75">
        <v>0</v>
      </c>
      <c r="G75">
        <v>0</v>
      </c>
      <c r="H75">
        <v>0</v>
      </c>
      <c r="I75" s="19">
        <v>0</v>
      </c>
      <c r="K75" s="13"/>
      <c r="M75" s="22"/>
      <c r="O75" s="22"/>
      <c r="P75" s="24"/>
      <c r="AA75" s="24"/>
      <c r="AB75" s="24"/>
    </row>
    <row r="76" spans="1:28" s="6" customFormat="1" ht="12.75">
      <c r="A76" t="s">
        <v>170</v>
      </c>
      <c r="B76">
        <v>0.12</v>
      </c>
      <c r="C76">
        <v>9115</v>
      </c>
      <c r="D76">
        <v>9115</v>
      </c>
      <c r="E76">
        <v>18109</v>
      </c>
      <c r="F76">
        <v>2947</v>
      </c>
      <c r="G76">
        <v>227</v>
      </c>
      <c r="H76">
        <v>0</v>
      </c>
      <c r="I76" s="19">
        <v>-26068</v>
      </c>
      <c r="K76" s="13"/>
      <c r="M76" s="22"/>
      <c r="O76" s="22"/>
      <c r="P76" s="24"/>
      <c r="AA76" s="24"/>
      <c r="AB76" s="24"/>
    </row>
    <row r="77" spans="1:28" s="6" customFormat="1" ht="12.75">
      <c r="A77" t="s">
        <v>171</v>
      </c>
      <c r="B77">
        <v>0.123</v>
      </c>
      <c r="C77">
        <v>9115</v>
      </c>
      <c r="D77">
        <v>9115</v>
      </c>
      <c r="E77">
        <v>18466</v>
      </c>
      <c r="F77">
        <v>3005</v>
      </c>
      <c r="G77">
        <v>231</v>
      </c>
      <c r="H77">
        <v>0</v>
      </c>
      <c r="I77" s="19">
        <v>-26068</v>
      </c>
      <c r="K77" s="13"/>
      <c r="M77" s="22"/>
      <c r="O77" s="22"/>
      <c r="P77" s="24"/>
      <c r="AA77" s="24"/>
      <c r="AB77" s="24"/>
    </row>
    <row r="78" spans="1:28" s="6" customFormat="1" ht="12.75">
      <c r="A78" t="s">
        <v>172</v>
      </c>
      <c r="B78">
        <v>0.13</v>
      </c>
      <c r="C78">
        <v>9115</v>
      </c>
      <c r="D78">
        <v>9115</v>
      </c>
      <c r="E78">
        <v>19299</v>
      </c>
      <c r="F78">
        <v>3141</v>
      </c>
      <c r="G78">
        <v>241</v>
      </c>
      <c r="H78">
        <v>0</v>
      </c>
      <c r="I78" s="19">
        <v>-26068</v>
      </c>
      <c r="K78" s="13"/>
      <c r="M78" s="22"/>
      <c r="O78" s="22"/>
      <c r="P78" s="24"/>
      <c r="AA78" s="24"/>
      <c r="AB78" s="24"/>
    </row>
    <row r="79" spans="1:28" s="6" customFormat="1" ht="12.75">
      <c r="A79" t="s">
        <v>173</v>
      </c>
      <c r="B79">
        <v>2.63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 s="19">
        <v>0</v>
      </c>
      <c r="K79" s="13"/>
      <c r="M79" s="22"/>
      <c r="O79" s="22"/>
      <c r="P79" s="24"/>
      <c r="AA79" s="24"/>
      <c r="AB79" s="24"/>
    </row>
    <row r="80" spans="1:28" s="6" customFormat="1" ht="12.75">
      <c r="A80"/>
      <c r="B80"/>
      <c r="C80"/>
      <c r="D80"/>
      <c r="E80"/>
      <c r="F80"/>
      <c r="G80"/>
      <c r="H80"/>
      <c r="I80" s="19"/>
      <c r="J80" s="110"/>
      <c r="K80" s="13"/>
      <c r="M80" s="22"/>
      <c r="O80" s="22"/>
      <c r="P80" s="24"/>
      <c r="AA80" s="24"/>
      <c r="AB80" s="24"/>
    </row>
    <row r="81" spans="1:28" s="6" customFormat="1" ht="12.75">
      <c r="A81" t="s">
        <v>179</v>
      </c>
      <c r="B81"/>
      <c r="C81">
        <f>C78*M31/10^6</f>
        <v>2.0926217</v>
      </c>
      <c r="D81">
        <f>D78*M23/10^6</f>
        <v>3.13893255</v>
      </c>
      <c r="E81">
        <f>E78*M33/10^6</f>
        <v>11.1027147</v>
      </c>
      <c r="F81">
        <f>F78*(M29+M27)/10^6</f>
        <v>2.809791917824131</v>
      </c>
      <c r="G81">
        <f>G78*M35/10^6</f>
        <v>0.08299317</v>
      </c>
      <c r="H81"/>
      <c r="I81" s="19"/>
      <c r="K81" s="13"/>
      <c r="M81" s="22"/>
      <c r="O81" s="22"/>
      <c r="P81" s="24"/>
      <c r="AA81" s="24"/>
      <c r="AB81" s="24"/>
    </row>
    <row r="82" spans="1:28" s="6" customFormat="1" ht="12.75">
      <c r="A82" t="s">
        <v>180</v>
      </c>
      <c r="B82"/>
      <c r="C82"/>
      <c r="D82"/>
      <c r="E82"/>
      <c r="F82"/>
      <c r="G82"/>
      <c r="H82"/>
      <c r="I82" s="19"/>
      <c r="J82" s="6">
        <f>SUM(C81:G81)</f>
        <v>19.227054037824136</v>
      </c>
      <c r="K82" s="13"/>
      <c r="M82" s="22"/>
      <c r="O82" s="22"/>
      <c r="P82" s="24"/>
      <c r="AA82" s="24"/>
      <c r="AB82" s="24"/>
    </row>
    <row r="83" spans="1:28" s="6" customFormat="1" ht="12.75">
      <c r="A83" s="6" t="s">
        <v>182</v>
      </c>
      <c r="B83" s="24"/>
      <c r="C83" s="6">
        <f>(C78^2/10^6)*(V31+Q31/1000)</f>
        <v>1.0220732173050002</v>
      </c>
      <c r="D83" s="6">
        <f>(D78^2/10^6)*(V23+Q23/1000)</f>
        <v>1.4549641122671144</v>
      </c>
      <c r="E83" s="6">
        <f>(E78^2/10^6)*(V33+Q33/1000)</f>
        <v>1.2366876318804</v>
      </c>
      <c r="G83" s="6">
        <f>(G78^2/10^6)*(V35+Q35/1000)</f>
        <v>0.0005272825504000001</v>
      </c>
      <c r="I83" s="24"/>
      <c r="K83" s="13"/>
      <c r="M83" s="22"/>
      <c r="O83" s="22"/>
      <c r="P83" s="24"/>
      <c r="AA83" s="24"/>
      <c r="AB83" s="24"/>
    </row>
    <row r="84" spans="1:28" s="6" customFormat="1" ht="12.75">
      <c r="A84" s="6" t="s">
        <v>181</v>
      </c>
      <c r="B84" s="24"/>
      <c r="I84" s="24"/>
      <c r="J84" s="6">
        <f>SUM(C83:H83)</f>
        <v>3.714252244002915</v>
      </c>
      <c r="K84" s="13"/>
      <c r="M84" s="22"/>
      <c r="O84" s="22"/>
      <c r="P84" s="24"/>
      <c r="AA84" s="24"/>
      <c r="AB84" s="24"/>
    </row>
    <row r="85" spans="1:28" s="6" customFormat="1" ht="12.75">
      <c r="A85" s="6" t="s">
        <v>183</v>
      </c>
      <c r="B85" s="24"/>
      <c r="I85" s="24"/>
      <c r="J85" s="6">
        <f>J84/J82</f>
        <v>0.19317843683676697</v>
      </c>
      <c r="K85" s="13"/>
      <c r="M85" s="22"/>
      <c r="O85" s="22"/>
      <c r="P85" s="24"/>
      <c r="AA85" s="24"/>
      <c r="AB85" s="24"/>
    </row>
    <row r="86" spans="2:28" s="6" customFormat="1" ht="12.75">
      <c r="B86" s="24"/>
      <c r="I86" s="24"/>
      <c r="K86" s="13"/>
      <c r="M86" s="22"/>
      <c r="O86" s="22"/>
      <c r="P86" s="24"/>
      <c r="AA86" s="24"/>
      <c r="AB86" s="24"/>
    </row>
    <row r="87" spans="2:28" s="6" customFormat="1" ht="12.75">
      <c r="B87" s="24"/>
      <c r="I87" s="24"/>
      <c r="K87" s="13"/>
      <c r="M87" s="22"/>
      <c r="O87" s="22"/>
      <c r="P87" s="24"/>
      <c r="AA87" s="24"/>
      <c r="AB87" s="24"/>
    </row>
    <row r="88" spans="2:28" s="6" customFormat="1" ht="12.75">
      <c r="B88" s="24"/>
      <c r="I88" s="24"/>
      <c r="K88" s="13"/>
      <c r="M88" s="22"/>
      <c r="O88" s="22"/>
      <c r="P88" s="24"/>
      <c r="AA88" s="24"/>
      <c r="AB88" s="24"/>
    </row>
    <row r="89" spans="1:28" s="6" customFormat="1" ht="12.75">
      <c r="A89" s="6" t="s">
        <v>184</v>
      </c>
      <c r="B89" s="24"/>
      <c r="I89" s="24"/>
      <c r="K89" s="13"/>
      <c r="M89" s="22"/>
      <c r="O89" s="22"/>
      <c r="P89" s="24"/>
      <c r="AA89" s="24"/>
      <c r="AB89" s="24"/>
    </row>
    <row r="90" spans="2:28" s="6" customFormat="1" ht="12.75">
      <c r="B90" s="24"/>
      <c r="I90" s="24"/>
      <c r="K90" s="13"/>
      <c r="M90" s="22"/>
      <c r="O90" s="22"/>
      <c r="P90" s="24"/>
      <c r="AA90" s="24"/>
      <c r="AB90" s="24"/>
    </row>
    <row r="91" spans="1:20" s="6" customFormat="1" ht="12.75">
      <c r="A91" s="24"/>
      <c r="C91" s="13"/>
      <c r="E91" s="22"/>
      <c r="G91" s="22"/>
      <c r="H91" s="24"/>
      <c r="S91" s="24"/>
      <c r="T91" s="24"/>
    </row>
    <row r="92" spans="1:20" s="6" customFormat="1" ht="12.75">
      <c r="A92" s="24"/>
      <c r="C92" s="13"/>
      <c r="E92" s="22"/>
      <c r="G92" s="22"/>
      <c r="H92" s="24"/>
      <c r="S92" s="24"/>
      <c r="T92" s="24"/>
    </row>
    <row r="93" spans="1:20" s="6" customFormat="1" ht="12.75">
      <c r="A93" s="24"/>
      <c r="B93" s="6">
        <f>0.0077*50</f>
        <v>0.385</v>
      </c>
      <c r="C93" s="13"/>
      <c r="E93" s="22"/>
      <c r="G93" s="22"/>
      <c r="H93" s="24"/>
      <c r="S93" s="24"/>
      <c r="T93" s="24"/>
    </row>
    <row r="94" spans="1:20" s="6" customFormat="1" ht="12.75">
      <c r="A94" s="24"/>
      <c r="B94" s="6">
        <f>0.066*50</f>
        <v>3.3000000000000003</v>
      </c>
      <c r="C94" s="13"/>
      <c r="E94" s="22"/>
      <c r="G94" s="22"/>
      <c r="H94" s="24"/>
      <c r="S94" s="24"/>
      <c r="T94" s="24"/>
    </row>
    <row r="95" spans="1:20" s="6" customFormat="1" ht="14.25" customHeight="1">
      <c r="A95" s="24"/>
      <c r="C95" s="13"/>
      <c r="E95" s="22"/>
      <c r="G95" s="22"/>
      <c r="H95" s="24"/>
      <c r="S95" s="24"/>
      <c r="T95" s="24"/>
    </row>
    <row r="96" spans="1:20" s="6" customFormat="1" ht="12.75">
      <c r="A96" s="24"/>
      <c r="C96" s="13"/>
      <c r="E96" s="22"/>
      <c r="G96" s="22"/>
      <c r="H96" s="24"/>
      <c r="S96" s="24"/>
      <c r="T96" s="24"/>
    </row>
    <row r="97" spans="1:20" s="6" customFormat="1" ht="12.75">
      <c r="A97" s="24"/>
      <c r="C97" s="13"/>
      <c r="E97" s="22"/>
      <c r="G97" s="22"/>
      <c r="H97" s="24"/>
      <c r="S97" s="24"/>
      <c r="T97" s="24"/>
    </row>
    <row r="98" spans="1:20" s="6" customFormat="1" ht="12.75">
      <c r="A98" s="24"/>
      <c r="C98" s="13"/>
      <c r="E98" s="22"/>
      <c r="G98" s="22"/>
      <c r="H98" s="24"/>
      <c r="S98" s="24"/>
      <c r="T98" s="24"/>
    </row>
    <row r="99" spans="1:20" s="113" customFormat="1" ht="12.75">
      <c r="A99" s="112"/>
      <c r="C99" s="114"/>
      <c r="E99" s="115"/>
      <c r="G99" s="115"/>
      <c r="H99" s="112"/>
      <c r="S99" s="112"/>
      <c r="T99" s="112"/>
    </row>
    <row r="100" spans="2:28" s="6" customFormat="1" ht="12.75">
      <c r="B100" s="24"/>
      <c r="I100" s="24"/>
      <c r="K100" s="13"/>
      <c r="M100" s="22"/>
      <c r="O100" s="22"/>
      <c r="P100" s="24"/>
      <c r="AA100" s="24"/>
      <c r="AB100" s="24"/>
    </row>
    <row r="101" spans="1:20" s="6" customFormat="1" ht="12.75">
      <c r="A101" s="24"/>
      <c r="C101" s="13"/>
      <c r="E101" s="22"/>
      <c r="G101" s="22"/>
      <c r="H101" s="24"/>
      <c r="S101" s="24"/>
      <c r="T101" s="24"/>
    </row>
    <row r="102" spans="1:20" s="6" customFormat="1" ht="12.75">
      <c r="A102" s="24"/>
      <c r="C102" s="13"/>
      <c r="E102" s="22"/>
      <c r="G102" s="22"/>
      <c r="H102" s="24"/>
      <c r="S102" s="24"/>
      <c r="T102" s="24"/>
    </row>
    <row r="103" spans="1:20" s="6" customFormat="1" ht="12.75">
      <c r="A103" s="24"/>
      <c r="C103" s="13"/>
      <c r="E103" s="22"/>
      <c r="G103" s="22"/>
      <c r="H103" s="24"/>
      <c r="S103" s="24"/>
      <c r="T103" s="24"/>
    </row>
    <row r="104" spans="1:20" s="6" customFormat="1" ht="12.75">
      <c r="A104" s="24"/>
      <c r="C104" s="13"/>
      <c r="E104" s="22"/>
      <c r="G104" s="22"/>
      <c r="H104" s="24"/>
      <c r="S104" s="24"/>
      <c r="T104" s="24"/>
    </row>
    <row r="105" spans="1:20" s="6" customFormat="1" ht="14.25" customHeight="1">
      <c r="A105" s="24"/>
      <c r="C105" s="13"/>
      <c r="E105" s="22"/>
      <c r="G105" s="22"/>
      <c r="H105" s="24"/>
      <c r="S105" s="24"/>
      <c r="T105" s="24"/>
    </row>
    <row r="106" spans="1:20" s="6" customFormat="1" ht="12.75">
      <c r="A106" s="24"/>
      <c r="C106" s="13"/>
      <c r="E106" s="22"/>
      <c r="G106" s="22"/>
      <c r="H106" s="24"/>
      <c r="S106" s="24"/>
      <c r="T106" s="24"/>
    </row>
    <row r="107" spans="1:20" s="6" customFormat="1" ht="12.75">
      <c r="A107" s="24"/>
      <c r="C107" s="13"/>
      <c r="E107" s="22"/>
      <c r="G107" s="22"/>
      <c r="H107" s="24"/>
      <c r="S107" s="24"/>
      <c r="T107" s="24"/>
    </row>
    <row r="108" spans="1:20" s="6" customFormat="1" ht="12.75">
      <c r="A108" s="24"/>
      <c r="C108" s="13"/>
      <c r="E108" s="22"/>
      <c r="G108" s="22"/>
      <c r="H108" s="24"/>
      <c r="S108" s="24"/>
      <c r="T108" s="24"/>
    </row>
    <row r="109" spans="1:20" s="113" customFormat="1" ht="12.75">
      <c r="A109" s="112"/>
      <c r="C109" s="114"/>
      <c r="E109" s="115"/>
      <c r="G109" s="115"/>
      <c r="H109" s="112"/>
      <c r="S109" s="112"/>
      <c r="T109" s="112"/>
    </row>
    <row r="110" spans="2:28" s="6" customFormat="1" ht="12.75">
      <c r="B110" s="24"/>
      <c r="I110" s="24"/>
      <c r="K110" s="13"/>
      <c r="M110" s="22"/>
      <c r="O110" s="22"/>
      <c r="P110" s="24"/>
      <c r="AA110" s="24"/>
      <c r="AB110" s="24"/>
    </row>
    <row r="111" spans="1:20" s="6" customFormat="1" ht="12.75">
      <c r="A111" s="24"/>
      <c r="C111" s="13"/>
      <c r="E111" s="22"/>
      <c r="G111" s="22"/>
      <c r="H111" s="24"/>
      <c r="S111" s="24"/>
      <c r="T111" s="24"/>
    </row>
    <row r="112" spans="1:20" s="6" customFormat="1" ht="12.75">
      <c r="A112" s="24"/>
      <c r="C112" s="13"/>
      <c r="E112" s="22"/>
      <c r="G112" s="22"/>
      <c r="H112" s="24"/>
      <c r="S112" s="24"/>
      <c r="T112" s="24"/>
    </row>
    <row r="113" spans="1:20" s="6" customFormat="1" ht="12.75">
      <c r="A113" s="24"/>
      <c r="C113" s="13"/>
      <c r="E113" s="22"/>
      <c r="G113" s="22"/>
      <c r="H113" s="24"/>
      <c r="S113" s="24"/>
      <c r="T113" s="24"/>
    </row>
    <row r="114" spans="1:20" s="6" customFormat="1" ht="12.75">
      <c r="A114" s="24"/>
      <c r="C114" s="13"/>
      <c r="E114" s="22"/>
      <c r="G114" s="22"/>
      <c r="H114" s="24"/>
      <c r="S114" s="24"/>
      <c r="T114" s="24"/>
    </row>
    <row r="115" spans="1:20" s="6" customFormat="1" ht="14.25" customHeight="1">
      <c r="A115" s="24"/>
      <c r="C115" s="13"/>
      <c r="E115" s="22"/>
      <c r="G115" s="22"/>
      <c r="H115" s="24"/>
      <c r="S115" s="24"/>
      <c r="T115" s="24"/>
    </row>
    <row r="116" spans="1:20" s="6" customFormat="1" ht="12.75">
      <c r="A116" s="24"/>
      <c r="C116" s="13"/>
      <c r="E116" s="22"/>
      <c r="G116" s="22"/>
      <c r="H116" s="24"/>
      <c r="S116" s="24"/>
      <c r="T116" s="24"/>
    </row>
    <row r="117" spans="1:20" s="6" customFormat="1" ht="12.75">
      <c r="A117" s="24"/>
      <c r="C117" s="13"/>
      <c r="E117" s="22"/>
      <c r="G117" s="22"/>
      <c r="H117" s="24"/>
      <c r="S117" s="24"/>
      <c r="T117" s="24"/>
    </row>
    <row r="118" spans="1:20" s="6" customFormat="1" ht="12.75">
      <c r="A118" s="24"/>
      <c r="C118" s="13"/>
      <c r="E118" s="22"/>
      <c r="G118" s="22"/>
      <c r="H118" s="24"/>
      <c r="S118" s="24"/>
      <c r="T118" s="24"/>
    </row>
    <row r="119" spans="1:20" s="113" customFormat="1" ht="12.75">
      <c r="A119" s="112"/>
      <c r="C119" s="114"/>
      <c r="E119" s="115"/>
      <c r="G119" s="115"/>
      <c r="H119" s="112"/>
      <c r="S119" s="112"/>
      <c r="T119" s="112"/>
    </row>
    <row r="120" spans="1:20" s="113" customFormat="1" ht="12.75">
      <c r="A120" s="112"/>
      <c r="C120" s="114"/>
      <c r="E120" s="115"/>
      <c r="G120" s="115"/>
      <c r="H120" s="112"/>
      <c r="S120" s="112"/>
      <c r="T120" s="112"/>
    </row>
    <row r="121" spans="1:20" s="118" customFormat="1" ht="12.75">
      <c r="A121" s="116"/>
      <c r="B121" s="116"/>
      <c r="C121" s="117"/>
      <c r="E121" s="119"/>
      <c r="G121" s="119"/>
      <c r="H121" s="116"/>
      <c r="S121" s="116"/>
      <c r="T121" s="116"/>
    </row>
    <row r="122" spans="1:20" s="118" customFormat="1" ht="12.75">
      <c r="A122" s="116"/>
      <c r="B122" s="116"/>
      <c r="C122" s="117"/>
      <c r="E122" s="119"/>
      <c r="G122" s="119"/>
      <c r="H122" s="116"/>
      <c r="S122" s="116"/>
      <c r="T122" s="116"/>
    </row>
    <row r="123" spans="1:20" s="118" customFormat="1" ht="12.75">
      <c r="A123" s="116"/>
      <c r="B123" s="116"/>
      <c r="C123" s="117"/>
      <c r="E123" s="119"/>
      <c r="G123" s="119"/>
      <c r="H123" s="116"/>
      <c r="S123" s="116"/>
      <c r="T123" s="116"/>
    </row>
    <row r="124" spans="1:20" s="118" customFormat="1" ht="12.75">
      <c r="A124" s="116"/>
      <c r="B124" s="116"/>
      <c r="C124" s="117"/>
      <c r="E124" s="119"/>
      <c r="G124" s="119"/>
      <c r="H124" s="116"/>
      <c r="S124" s="116"/>
      <c r="T124" s="116"/>
    </row>
    <row r="125" spans="1:20" s="118" customFormat="1" ht="12.75">
      <c r="A125" s="116"/>
      <c r="B125" s="116"/>
      <c r="C125" s="117"/>
      <c r="E125" s="119"/>
      <c r="G125" s="119"/>
      <c r="H125" s="116"/>
      <c r="S125" s="116"/>
      <c r="T125" s="116"/>
    </row>
    <row r="126" spans="1:20" s="118" customFormat="1" ht="12.75">
      <c r="A126" s="116"/>
      <c r="B126" s="116"/>
      <c r="C126" s="117"/>
      <c r="E126" s="119"/>
      <c r="G126" s="119"/>
      <c r="H126" s="116"/>
      <c r="S126" s="116"/>
      <c r="T126" s="116"/>
    </row>
    <row r="127" spans="1:20" s="118" customFormat="1" ht="12.75">
      <c r="A127" s="116"/>
      <c r="B127" s="116"/>
      <c r="C127" s="117"/>
      <c r="E127" s="119"/>
      <c r="G127" s="119"/>
      <c r="H127" s="116"/>
      <c r="S127" s="116"/>
      <c r="T127" s="116"/>
    </row>
    <row r="128" spans="1:20" s="118" customFormat="1" ht="12.75">
      <c r="A128" s="116"/>
      <c r="B128" s="116"/>
      <c r="C128" s="117"/>
      <c r="E128" s="119"/>
      <c r="G128" s="119"/>
      <c r="H128" s="116"/>
      <c r="S128" s="116"/>
      <c r="T128" s="116"/>
    </row>
    <row r="129" spans="1:20" s="118" customFormat="1" ht="12.75">
      <c r="A129" s="116"/>
      <c r="B129" s="116"/>
      <c r="C129" s="117"/>
      <c r="E129" s="119"/>
      <c r="G129" s="119"/>
      <c r="H129" s="116"/>
      <c r="S129" s="116"/>
      <c r="T129" s="116"/>
    </row>
    <row r="130" spans="1:20" s="118" customFormat="1" ht="12.75">
      <c r="A130" s="116"/>
      <c r="B130" s="116"/>
      <c r="C130" s="117"/>
      <c r="E130" s="119"/>
      <c r="G130" s="119"/>
      <c r="H130" s="116"/>
      <c r="S130" s="116"/>
      <c r="T130" s="116"/>
    </row>
    <row r="131" spans="1:20" s="118" customFormat="1" ht="12.75">
      <c r="A131" s="116"/>
      <c r="B131" s="116"/>
      <c r="C131" s="117"/>
      <c r="E131" s="119"/>
      <c r="G131" s="119"/>
      <c r="H131" s="116"/>
      <c r="S131" s="116"/>
      <c r="T131" s="116"/>
    </row>
    <row r="132" spans="3:28" s="118" customFormat="1" ht="12.75">
      <c r="C132" s="117"/>
      <c r="F132" s="120"/>
      <c r="G132" s="116"/>
      <c r="I132" s="116"/>
      <c r="J132" s="116"/>
      <c r="K132" s="117"/>
      <c r="M132" s="119"/>
      <c r="O132" s="119"/>
      <c r="P132" s="116"/>
      <c r="AA132" s="116"/>
      <c r="AB132" s="116"/>
    </row>
    <row r="133" spans="3:28" s="118" customFormat="1" ht="12.75">
      <c r="C133" s="117"/>
      <c r="F133" s="120"/>
      <c r="G133" s="116"/>
      <c r="I133" s="116"/>
      <c r="J133" s="116"/>
      <c r="K133" s="117"/>
      <c r="M133" s="119"/>
      <c r="O133" s="119"/>
      <c r="P133" s="116"/>
      <c r="AA133" s="116"/>
      <c r="AB133" s="116"/>
    </row>
    <row r="134" spans="3:28" s="118" customFormat="1" ht="12.75">
      <c r="C134" s="117"/>
      <c r="F134" s="120"/>
      <c r="G134" s="116"/>
      <c r="I134" s="116"/>
      <c r="J134" s="116"/>
      <c r="K134" s="117"/>
      <c r="M134" s="119"/>
      <c r="O134" s="119"/>
      <c r="P134" s="116"/>
      <c r="AA134" s="116"/>
      <c r="AB134" s="116"/>
    </row>
  </sheetData>
  <mergeCells count="90">
    <mergeCell ref="F35:F36"/>
    <mergeCell ref="G35:G36"/>
    <mergeCell ref="H31:H32"/>
    <mergeCell ref="H33:H34"/>
    <mergeCell ref="H35:H36"/>
    <mergeCell ref="A33:A34"/>
    <mergeCell ref="J31:J32"/>
    <mergeCell ref="A31:A32"/>
    <mergeCell ref="J33:J34"/>
    <mergeCell ref="F31:F32"/>
    <mergeCell ref="F33:F34"/>
    <mergeCell ref="G31:G32"/>
    <mergeCell ref="G33:G34"/>
    <mergeCell ref="K27:K28"/>
    <mergeCell ref="L27:L28"/>
    <mergeCell ref="A29:A30"/>
    <mergeCell ref="H23:H24"/>
    <mergeCell ref="H25:H26"/>
    <mergeCell ref="H27:H28"/>
    <mergeCell ref="H29:H30"/>
    <mergeCell ref="A23:A24"/>
    <mergeCell ref="F25:F26"/>
    <mergeCell ref="G23:G24"/>
    <mergeCell ref="Q23:Q26"/>
    <mergeCell ref="R27:R30"/>
    <mergeCell ref="L29:L30"/>
    <mergeCell ref="K29:K30"/>
    <mergeCell ref="N23:N26"/>
    <mergeCell ref="P23:P26"/>
    <mergeCell ref="M27:M28"/>
    <mergeCell ref="O27:O28"/>
    <mergeCell ref="N27:N30"/>
    <mergeCell ref="M29:M30"/>
    <mergeCell ref="S27:S30"/>
    <mergeCell ref="P27:P30"/>
    <mergeCell ref="Q33:Q34"/>
    <mergeCell ref="F29:F30"/>
    <mergeCell ref="I21:I39"/>
    <mergeCell ref="Q27:Q30"/>
    <mergeCell ref="O23:O25"/>
    <mergeCell ref="O29:O30"/>
    <mergeCell ref="M33:M34"/>
    <mergeCell ref="O33:O34"/>
    <mergeCell ref="J35:J36"/>
    <mergeCell ref="A15:A16"/>
    <mergeCell ref="A35:A36"/>
    <mergeCell ref="J27:J30"/>
    <mergeCell ref="J23:J26"/>
    <mergeCell ref="G27:G28"/>
    <mergeCell ref="G29:G30"/>
    <mergeCell ref="F27:F28"/>
    <mergeCell ref="G25:G26"/>
    <mergeCell ref="A27:A28"/>
    <mergeCell ref="U35:U36"/>
    <mergeCell ref="O31:O32"/>
    <mergeCell ref="N31:N32"/>
    <mergeCell ref="N33:N34"/>
    <mergeCell ref="S35:S36"/>
    <mergeCell ref="R35:R36"/>
    <mergeCell ref="S31:S32"/>
    <mergeCell ref="Q35:Q36"/>
    <mergeCell ref="P35:P36"/>
    <mergeCell ref="O35:O36"/>
    <mergeCell ref="S23:S26"/>
    <mergeCell ref="S33:S34"/>
    <mergeCell ref="M31:M32"/>
    <mergeCell ref="A54:J55"/>
    <mergeCell ref="N35:N36"/>
    <mergeCell ref="M35:M36"/>
    <mergeCell ref="L35:L36"/>
    <mergeCell ref="K35:K36"/>
    <mergeCell ref="L31:L32"/>
    <mergeCell ref="K31:K32"/>
    <mergeCell ref="A17:F17"/>
    <mergeCell ref="A19:F19"/>
    <mergeCell ref="M23:M26"/>
    <mergeCell ref="L23:L26"/>
    <mergeCell ref="K23:K26"/>
    <mergeCell ref="A25:A26"/>
    <mergeCell ref="F23:F24"/>
    <mergeCell ref="Q48:R48"/>
    <mergeCell ref="K33:K34"/>
    <mergeCell ref="L33:L34"/>
    <mergeCell ref="N1:O1"/>
    <mergeCell ref="R23:R26"/>
    <mergeCell ref="R31:R32"/>
    <mergeCell ref="R33:R34"/>
    <mergeCell ref="P31:P32"/>
    <mergeCell ref="Q31:Q32"/>
    <mergeCell ref="P33:P34"/>
  </mergeCells>
  <printOptions/>
  <pageMargins left="0.75" right="0.75" top="1" bottom="1" header="0.5" footer="0.5"/>
  <pageSetup horizontalDpi="600" verticalDpi="600" orientation="landscape" paperSize="137" scale="14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143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 Ramakrishnan</dc:creator>
  <cp:keywords/>
  <dc:description/>
  <cp:lastModifiedBy>bsimmons</cp:lastModifiedBy>
  <cp:lastPrinted>2008-10-06T11:37:58Z</cp:lastPrinted>
  <dcterms:created xsi:type="dcterms:W3CDTF">2005-06-14T12:52:54Z</dcterms:created>
  <dcterms:modified xsi:type="dcterms:W3CDTF">2008-10-06T11:37:59Z</dcterms:modified>
  <cp:category/>
  <cp:version/>
  <cp:contentType/>
  <cp:contentStatus/>
</cp:coreProperties>
</file>