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50" windowWidth="21570" windowHeight="14310" activeTab="1"/>
  </bookViews>
  <sheets>
    <sheet name="Estimate" sheetId="1" r:id="rId1"/>
    <sheet name="M&amp;S list" sheetId="2" r:id="rId2"/>
    <sheet name="Sheet3" sheetId="3" r:id="rId3"/>
  </sheets>
  <definedNames>
    <definedName name="eadm">'M&amp;S list'!$H$2</definedName>
    <definedName name="easm">'M&amp;S list'!$H$2</definedName>
    <definedName name="ecem">'M&amp;S list'!$F$2</definedName>
    <definedName name="ecsm">'M&amp;S list'!$J$2</definedName>
    <definedName name="ectb">'M&amp;S list'!$J$2</definedName>
    <definedName name="emtb">'M&amp;S list'!$G$2</definedName>
    <definedName name="ms">'M&amp;S list'!$I$2</definedName>
    <definedName name="_xlnm.Print_Area" localSheetId="0">'Estimate'!$A$11:$V$91</definedName>
    <definedName name="_xlnm.Print_Titles" localSheetId="0">'Estimate'!$1:$10</definedName>
  </definedNames>
  <calcPr fullCalcOnLoad="1"/>
</workbook>
</file>

<file path=xl/sharedStrings.xml><?xml version="1.0" encoding="utf-8"?>
<sst xmlns="http://schemas.openxmlformats.org/spreadsheetml/2006/main" count="406" uniqueCount="253">
  <si>
    <t>---</t>
  </si>
  <si>
    <t>Startup Testing 22JAN09</t>
  </si>
  <si>
    <t>CD-4 11MAR09</t>
  </si>
  <si>
    <t>NSTX Run Support</t>
  </si>
  <si>
    <t>51</t>
  </si>
  <si>
    <t>WBS51 - Networking Infrastructure</t>
  </si>
  <si>
    <t>51-10</t>
  </si>
  <si>
    <t>Preliminary Design</t>
  </si>
  <si>
    <t>30 days</t>
  </si>
  <si>
    <t>ECH*EM[30]</t>
  </si>
  <si>
    <t>51-20</t>
  </si>
  <si>
    <t>Final Design</t>
  </si>
  <si>
    <t>60 days</t>
  </si>
  <si>
    <t>51-30</t>
  </si>
  <si>
    <t>Procurement</t>
  </si>
  <si>
    <t>ECH*EM[20],41[39 K]</t>
  </si>
  <si>
    <t>51-50</t>
  </si>
  <si>
    <t>Installation</t>
  </si>
  <si>
    <t>90 days</t>
  </si>
  <si>
    <t>51-60</t>
  </si>
  <si>
    <t>Test</t>
  </si>
  <si>
    <t>14 days</t>
  </si>
  <si>
    <t>ECH*EM[20],ECH*SB[20]</t>
  </si>
  <si>
    <t>52</t>
  </si>
  <si>
    <t>WBS52 - Central I&amp;C</t>
  </si>
  <si>
    <t>52-10</t>
  </si>
  <si>
    <t>ECH*EM[40]</t>
  </si>
  <si>
    <t>52-20</t>
  </si>
  <si>
    <t>52-30</t>
  </si>
  <si>
    <t>ECH*EM[20],41[38 K]</t>
  </si>
  <si>
    <t>52-40</t>
  </si>
  <si>
    <t>EPICS Programming - Base</t>
  </si>
  <si>
    <t>10 days</t>
  </si>
  <si>
    <t>ECH*EM[80]</t>
  </si>
  <si>
    <t>52-50</t>
  </si>
  <si>
    <t>EPICS Programming - VDCT db editor</t>
  </si>
  <si>
    <t>52-60</t>
  </si>
  <si>
    <t>ECH*EM[120]</t>
  </si>
  <si>
    <t>52-70</t>
  </si>
  <si>
    <t>ECH*EM[160],41[2 K],TRVL[2 K]</t>
  </si>
  <si>
    <t>52-80</t>
  </si>
  <si>
    <t>Programming - misc.</t>
  </si>
  <si>
    <t>ECH*EM[100]</t>
  </si>
  <si>
    <t>52-100</t>
  </si>
  <si>
    <t>52-110</t>
  </si>
  <si>
    <t>53</t>
  </si>
  <si>
    <t>WBS53 - Data Acquisition &amp; Management</t>
  </si>
  <si>
    <t>53-10</t>
  </si>
  <si>
    <t>53-20</t>
  </si>
  <si>
    <t>53-30</t>
  </si>
  <si>
    <t>ECH*EM[20],41[22 K]</t>
  </si>
  <si>
    <t>53-40</t>
  </si>
  <si>
    <t>ECH*SB[40]</t>
  </si>
  <si>
    <t>53-50</t>
  </si>
  <si>
    <t>MDSplus Installation</t>
  </si>
  <si>
    <t>20 days</t>
  </si>
  <si>
    <t>53-60</t>
  </si>
  <si>
    <t>MDSplus Programming - Tree Design</t>
  </si>
  <si>
    <t>53-70</t>
  </si>
  <si>
    <t>MDSplus Programming -  Shot Sync</t>
  </si>
  <si>
    <t>53-80</t>
  </si>
  <si>
    <t>MDSplus Programming -  Dispatcher</t>
  </si>
  <si>
    <t>ECH*EM[160]</t>
  </si>
  <si>
    <t>53-90</t>
  </si>
  <si>
    <t>MDSplus Programming -  Acquisition</t>
  </si>
  <si>
    <t>53-110</t>
  </si>
  <si>
    <t>Programming - Misc.</t>
  </si>
  <si>
    <t>53-120</t>
  </si>
  <si>
    <t>ECH*EM[40],ECH*SB[40]</t>
  </si>
  <si>
    <t>54</t>
  </si>
  <si>
    <t>WBS54 - Facility Timing &amp; Synch.</t>
  </si>
  <si>
    <t>54-10</t>
  </si>
  <si>
    <t>Preliminary System Design</t>
  </si>
  <si>
    <t>54-20</t>
  </si>
  <si>
    <t>Final SystemDesign</t>
  </si>
  <si>
    <t>40 days</t>
  </si>
  <si>
    <t>54-30</t>
  </si>
  <si>
    <t>Preliminary Design - Clock Dist.</t>
  </si>
  <si>
    <t>ECH*EM[20],EED*EM[40]</t>
  </si>
  <si>
    <t>54-40</t>
  </si>
  <si>
    <t>Final Design - Clock Dist.</t>
  </si>
  <si>
    <t>ECH*EM[20],EED*EM[120]</t>
  </si>
  <si>
    <t>54-50</t>
  </si>
  <si>
    <t>54-60</t>
  </si>
  <si>
    <t>ECH*EM[40],41[34 K]</t>
  </si>
  <si>
    <t>54-70</t>
  </si>
  <si>
    <t>UNT - Timing &amp; Seq Emulation (FPGA Pgm)</t>
  </si>
  <si>
    <t>ECH*SB[160]</t>
  </si>
  <si>
    <t>54-80</t>
  </si>
  <si>
    <t>UNT - Device Driver Prog  (EPICS/MDSplus)</t>
  </si>
  <si>
    <t>120 days</t>
  </si>
  <si>
    <t>54-90</t>
  </si>
  <si>
    <t>Central Clock (EPICS) Programming</t>
  </si>
  <si>
    <t>54-100</t>
  </si>
  <si>
    <t>54-110</t>
  </si>
  <si>
    <t>55</t>
  </si>
  <si>
    <t>WBS55 - Real Time Control</t>
  </si>
  <si>
    <t>55-10</t>
  </si>
  <si>
    <t>FCPC - Preliminary Design</t>
  </si>
  <si>
    <t>55-20</t>
  </si>
  <si>
    <t>FCPC -Final Design</t>
  </si>
  <si>
    <t>55-30</t>
  </si>
  <si>
    <t>FCPC - Procurement</t>
  </si>
  <si>
    <t>ECH*EM[20],41[14 K]</t>
  </si>
  <si>
    <t>55-40</t>
  </si>
  <si>
    <t>LabVIEW Programming</t>
  </si>
  <si>
    <t>55-50</t>
  </si>
  <si>
    <t>FCPC PLC Integration - EPICS Prog.</t>
  </si>
  <si>
    <t>FCPC - Installation</t>
  </si>
  <si>
    <t>55-60</t>
  </si>
  <si>
    <t>FCPC -Test</t>
  </si>
  <si>
    <t>ECH*EM[40],ECH*SB[20]</t>
  </si>
  <si>
    <t>55-70</t>
  </si>
  <si>
    <t>GISRTC - Preliminary Design</t>
  </si>
  <si>
    <t>55-80</t>
  </si>
  <si>
    <t>GISRTC -Final Design</t>
  </si>
  <si>
    <t>ECH*EM[60]</t>
  </si>
  <si>
    <t>55-90</t>
  </si>
  <si>
    <t>GISRTC - Procurement</t>
  </si>
  <si>
    <t>ECH*EM[20],41[12 K]</t>
  </si>
  <si>
    <t>55-100</t>
  </si>
  <si>
    <t>55-110</t>
  </si>
  <si>
    <t>GISRTC - Installation</t>
  </si>
  <si>
    <t>55-120</t>
  </si>
  <si>
    <t>GISRTC -Test</t>
  </si>
  <si>
    <t>ECH*EM[20]</t>
  </si>
  <si>
    <t>56</t>
  </si>
  <si>
    <t>WBS56 - Central Safety &amp; Interlocks</t>
  </si>
  <si>
    <t>56-10</t>
  </si>
  <si>
    <t>Requirements, Codes&amp;Standards</t>
  </si>
  <si>
    <t>56-20</t>
  </si>
  <si>
    <t xml:space="preserve">Preliminary Design </t>
  </si>
  <si>
    <t>56-30</t>
  </si>
  <si>
    <t>PLC Training</t>
  </si>
  <si>
    <t>ECH*EM[80],41[2 K],TRVL[2 K]</t>
  </si>
  <si>
    <t>56-40</t>
  </si>
  <si>
    <t>ECH*EM[140]</t>
  </si>
  <si>
    <t>ECH*EM[40],41[40 K]</t>
  </si>
  <si>
    <t>56-50</t>
  </si>
  <si>
    <t>PLC Programming</t>
  </si>
  <si>
    <t>56-60</t>
  </si>
  <si>
    <t>70 days</t>
  </si>
  <si>
    <t>56-70</t>
  </si>
  <si>
    <t>ECH*EM[80],ECH*SB[40]</t>
  </si>
  <si>
    <t>57-10</t>
  </si>
  <si>
    <t>WBS57 - NCSX Control Room</t>
  </si>
  <si>
    <t>58-10</t>
  </si>
  <si>
    <t>WBS58 -FY07  Management  &amp; Integration</t>
  </si>
  <si>
    <t>130 days</t>
  </si>
  <si>
    <t>58-20</t>
  </si>
  <si>
    <t>WBS58 -FY08  Management  &amp; Integration</t>
  </si>
  <si>
    <t>262 days</t>
  </si>
  <si>
    <t>58-30</t>
  </si>
  <si>
    <t>WBS58 -FY09  Management  &amp; Integration</t>
  </si>
  <si>
    <t>218 days</t>
  </si>
  <si>
    <t>ECH*EM[60],EMT*TB[490], EADDSB[240], ECH*SB[20]</t>
  </si>
  <si>
    <t>ECH*EM[40],EMT*TB[240], EADDSB[120],ECH*SB[100]</t>
  </si>
  <si>
    <t>ECH*EM[40],ECH*SB[80], EMT*TB[120],EADDSB[40]</t>
  </si>
  <si>
    <t>ECH*EM[40],ECH*SB[40], EADDSB[80]</t>
  </si>
  <si>
    <t>ECH*EM[20],ECH*SB[20], EADDSB[24]</t>
  </si>
  <si>
    <t>ECH*EM[60],EMT*TB[480], ECH*SB[80],EADDSB[240]</t>
  </si>
  <si>
    <t>Duration</t>
  </si>
  <si>
    <t>Start</t>
  </si>
  <si>
    <t>Finish</t>
  </si>
  <si>
    <t>Resources</t>
  </si>
  <si>
    <t>Activity ID</t>
  </si>
  <si>
    <t>Activity Description</t>
  </si>
  <si>
    <t>milestone</t>
  </si>
  <si>
    <t>P. Sichta</t>
  </si>
  <si>
    <t>NCSX WBS 5 M&amp;S Summary, 3/15/2007 PS</t>
  </si>
  <si>
    <t>ecem</t>
  </si>
  <si>
    <t>emtb</t>
  </si>
  <si>
    <t>easm</t>
  </si>
  <si>
    <t>m&amp;s</t>
  </si>
  <si>
    <t>ectb</t>
  </si>
  <si>
    <t>rev 2:20Mar2007 PS</t>
  </si>
  <si>
    <t>unload cost</t>
  </si>
  <si>
    <t>loaded cost</t>
  </si>
  <si>
    <t>cont</t>
  </si>
  <si>
    <t>total cost</t>
  </si>
  <si>
    <t>cdr est</t>
  </si>
  <si>
    <t>WBS51</t>
  </si>
  <si>
    <t>ECEM</t>
  </si>
  <si>
    <t>NCSX_TC WAP</t>
  </si>
  <si>
    <t>media converters 6)</t>
  </si>
  <si>
    <t>Terminations, F/O patch panels &amp; cable mgmt., patch cables</t>
  </si>
  <si>
    <t>Fiber Optic cable</t>
  </si>
  <si>
    <t>misc.</t>
  </si>
  <si>
    <t>Op. spares</t>
  </si>
  <si>
    <t>TOTAL</t>
  </si>
  <si>
    <t>WBS52</t>
  </si>
  <si>
    <t>NTC web cam (4)</t>
  </si>
  <si>
    <t>PC - appl. TBD (2)</t>
  </si>
  <si>
    <t>Linux soft IOC (2)</t>
  </si>
  <si>
    <t>OPC client &amp; server HW/SW/TRNG (for T/C)</t>
  </si>
  <si>
    <t>EPICS server (use NSTX)</t>
  </si>
  <si>
    <t>EPICS gateway</t>
  </si>
  <si>
    <t>misc</t>
  </si>
  <si>
    <t xml:space="preserve"> </t>
  </si>
  <si>
    <t>WBS53</t>
  </si>
  <si>
    <t xml:space="preserve">Linux MDSplus Server </t>
  </si>
  <si>
    <t>SAN - disk space (500 GB)</t>
  </si>
  <si>
    <t xml:space="preserve">misc. </t>
  </si>
  <si>
    <t>PC  appl. TBD</t>
  </si>
  <si>
    <t>WBS54</t>
  </si>
  <si>
    <t>Central Clock (PC, timers, SW)</t>
  </si>
  <si>
    <t xml:space="preserve">Complete prototype UNT (Universal Timer) </t>
  </si>
  <si>
    <t>Design &amp; fab proto fiber optic xmit</t>
  </si>
  <si>
    <t>UNT Production (10 units)</t>
  </si>
  <si>
    <t>Clock Distribution modules production (6 units)</t>
  </si>
  <si>
    <t>Op. Spares</t>
  </si>
  <si>
    <t>WBS55</t>
  </si>
  <si>
    <t>PC/LabVIEW control of C-Site Power Supplies</t>
  </si>
  <si>
    <t>PC/LabVIEW control of Gas Injection</t>
  </si>
  <si>
    <t>WBS56</t>
  </si>
  <si>
    <t>travel &amp; training</t>
  </si>
  <si>
    <t>Kirk Locks,  door sensors, e-stops</t>
  </si>
  <si>
    <t>Safety Relays, enclosures</t>
  </si>
  <si>
    <t>Small Safety PLC (possible, requires further design)</t>
  </si>
  <si>
    <t>cabling &amp; conduit</t>
  </si>
  <si>
    <t>WBS57</t>
  </si>
  <si>
    <t>ecsm</t>
  </si>
  <si>
    <t>Raised Flooring (construction budget)</t>
  </si>
  <si>
    <t>20 4   0 Workstation Tables</t>
  </si>
  <si>
    <t>3 PTZ cameras Multiplexer, switch, monitors, control unit</t>
  </si>
  <si>
    <t>PA system amplifier, microphones, diagnostic mics, speakers</t>
  </si>
  <si>
    <t>2 dual headed workstations for comfort display</t>
  </si>
  <si>
    <t>Raised floor installation</t>
  </si>
  <si>
    <t>Table installation</t>
  </si>
  <si>
    <t>Grand</t>
  </si>
  <si>
    <t xml:space="preserve">WBS5 M&amp;S and Labor cost estimating </t>
  </si>
  <si>
    <t>Test - Clock Dist.</t>
  </si>
  <si>
    <t>ECTB</t>
  </si>
  <si>
    <t>EMTB</t>
  </si>
  <si>
    <t>EASB</t>
  </si>
  <si>
    <t>41MS</t>
  </si>
  <si>
    <t>43CC</t>
  </si>
  <si>
    <t>35TRVL</t>
  </si>
  <si>
    <t>37STK</t>
  </si>
  <si>
    <t>0 days</t>
  </si>
  <si>
    <t>EEEM</t>
  </si>
  <si>
    <t>EETB</t>
  </si>
  <si>
    <t>ECH*EM[20],EED*TB[120], EED*EM[100]</t>
  </si>
  <si>
    <t>Totals</t>
  </si>
  <si>
    <t>$K</t>
  </si>
  <si>
    <t>hrs</t>
  </si>
  <si>
    <t>easb</t>
  </si>
  <si>
    <t>OPC -  EPICS/PLC Interface</t>
  </si>
  <si>
    <t>IOC Programming - MDSplus data &amp; events</t>
  </si>
  <si>
    <t>etc =</t>
  </si>
  <si>
    <t>ecp-53 =</t>
  </si>
  <si>
    <t>increase =</t>
  </si>
  <si>
    <t>Switches, etc..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</si>
</sst>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m/d/yy;@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166" fontId="6" fillId="0" borderId="0" xfId="17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67" fontId="1" fillId="0" borderId="0" xfId="17" applyNumberFormat="1" applyFont="1" applyAlignment="1">
      <alignment/>
    </xf>
    <xf numFmtId="9" fontId="1" fillId="0" borderId="0" xfId="21" applyFont="1" applyAlignment="1">
      <alignment/>
    </xf>
    <xf numFmtId="167" fontId="7" fillId="0" borderId="0" xfId="17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17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1" fillId="0" borderId="0" xfId="21" applyNumberFormat="1" applyFont="1" applyAlignment="1">
      <alignment/>
    </xf>
    <xf numFmtId="167" fontId="8" fillId="0" borderId="0" xfId="17" applyNumberFormat="1" applyFont="1" applyAlignment="1">
      <alignment/>
    </xf>
    <xf numFmtId="9" fontId="8" fillId="0" borderId="0" xfId="21" applyFont="1" applyAlignment="1">
      <alignment/>
    </xf>
    <xf numFmtId="167" fontId="9" fillId="0" borderId="0" xfId="17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6" fontId="0" fillId="0" borderId="2" xfId="17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167" fontId="0" fillId="0" borderId="0" xfId="17" applyNumberFormat="1" applyFont="1" applyAlignment="1">
      <alignment/>
    </xf>
    <xf numFmtId="9" fontId="0" fillId="0" borderId="0" xfId="21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166" fontId="0" fillId="0" borderId="0" xfId="17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66" fontId="0" fillId="0" borderId="7" xfId="17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6" fontId="0" fillId="0" borderId="0" xfId="17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17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165" fontId="13" fillId="0" borderId="0" xfId="0" applyNumberFormat="1" applyFont="1" applyAlignment="1">
      <alignment wrapText="1"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13" fillId="0" borderId="0" xfId="0" applyFont="1" applyAlignment="1" quotePrefix="1">
      <alignment wrapText="1"/>
    </xf>
    <xf numFmtId="22" fontId="13" fillId="0" borderId="0" xfId="0" applyNumberFormat="1" applyFont="1" applyAlignment="1">
      <alignment/>
    </xf>
    <xf numFmtId="0" fontId="12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169" fontId="13" fillId="0" borderId="0" xfId="0" applyNumberFormat="1" applyFont="1" applyAlignment="1">
      <alignment/>
    </xf>
    <xf numFmtId="167" fontId="13" fillId="0" borderId="0" xfId="17" applyNumberFormat="1" applyFont="1" applyAlignment="1">
      <alignment wrapText="1"/>
    </xf>
    <xf numFmtId="165" fontId="13" fillId="0" borderId="0" xfId="0" applyNumberFormat="1" applyFont="1" applyAlignment="1">
      <alignment horizontal="right" wrapText="1"/>
    </xf>
    <xf numFmtId="0" fontId="13" fillId="0" borderId="0" xfId="0" applyFont="1" applyBorder="1" applyAlignment="1">
      <alignment/>
    </xf>
    <xf numFmtId="169" fontId="13" fillId="0" borderId="0" xfId="0" applyNumberFormat="1" applyFont="1" applyBorder="1" applyAlignment="1">
      <alignment/>
    </xf>
    <xf numFmtId="0" fontId="13" fillId="0" borderId="9" xfId="0" applyFont="1" applyBorder="1" applyAlignment="1">
      <alignment wrapText="1"/>
    </xf>
    <xf numFmtId="0" fontId="13" fillId="0" borderId="9" xfId="0" applyFont="1" applyBorder="1" applyAlignment="1">
      <alignment/>
    </xf>
    <xf numFmtId="169" fontId="13" fillId="0" borderId="9" xfId="0" applyNumberFormat="1" applyFont="1" applyBorder="1" applyAlignment="1">
      <alignment/>
    </xf>
    <xf numFmtId="0" fontId="12" fillId="0" borderId="9" xfId="0" applyFont="1" applyBorder="1" applyAlignment="1">
      <alignment wrapText="1"/>
    </xf>
    <xf numFmtId="165" fontId="12" fillId="0" borderId="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2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169" fontId="13" fillId="0" borderId="11" xfId="0" applyNumberFormat="1" applyFont="1" applyBorder="1" applyAlignment="1">
      <alignment/>
    </xf>
    <xf numFmtId="167" fontId="12" fillId="0" borderId="9" xfId="17" applyNumberFormat="1" applyFont="1" applyBorder="1" applyAlignment="1">
      <alignment horizontal="center" wrapText="1"/>
    </xf>
    <xf numFmtId="167" fontId="13" fillId="0" borderId="0" xfId="0" applyNumberFormat="1" applyFont="1" applyAlignment="1">
      <alignment wrapText="1"/>
    </xf>
    <xf numFmtId="167" fontId="13" fillId="2" borderId="0" xfId="17" applyNumberFormat="1" applyFont="1" applyFill="1" applyAlignment="1">
      <alignment wrapText="1"/>
    </xf>
    <xf numFmtId="167" fontId="13" fillId="2" borderId="0" xfId="0" applyNumberFormat="1" applyFont="1" applyFill="1" applyAlignment="1">
      <alignment wrapText="1"/>
    </xf>
    <xf numFmtId="167" fontId="13" fillId="3" borderId="0" xfId="17" applyNumberFormat="1" applyFont="1" applyFill="1" applyAlignment="1">
      <alignment wrapText="1"/>
    </xf>
    <xf numFmtId="167" fontId="13" fillId="3" borderId="0" xfId="0" applyNumberFormat="1" applyFont="1" applyFill="1" applyAlignment="1">
      <alignment wrapText="1"/>
    </xf>
    <xf numFmtId="9" fontId="13" fillId="0" borderId="0" xfId="21" applyFont="1" applyAlignment="1">
      <alignment wrapText="1"/>
    </xf>
    <xf numFmtId="9" fontId="13" fillId="3" borderId="0" xfId="21" applyFont="1" applyFill="1" applyAlignment="1">
      <alignment wrapText="1"/>
    </xf>
    <xf numFmtId="167" fontId="13" fillId="4" borderId="0" xfId="17" applyNumberFormat="1" applyFont="1" applyFill="1" applyAlignment="1">
      <alignment wrapText="1"/>
    </xf>
    <xf numFmtId="167" fontId="13" fillId="4" borderId="0" xfId="0" applyNumberFormat="1" applyFont="1" applyFill="1" applyAlignment="1">
      <alignment wrapText="1"/>
    </xf>
    <xf numFmtId="9" fontId="13" fillId="4" borderId="0" xfId="21" applyFont="1" applyFill="1" applyAlignment="1">
      <alignment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zoomScale="75" zoomScaleNormal="75" workbookViewId="0" topLeftCell="A16">
      <pane ySplit="840" topLeftCell="BM1" activePane="bottomLeft" state="split"/>
      <selection pane="topLeft" activeCell="S31" sqref="S1:Y16384"/>
      <selection pane="bottomLeft" activeCell="A9" sqref="A9:IV9"/>
    </sheetView>
  </sheetViews>
  <sheetFormatPr defaultColWidth="9.140625" defaultRowHeight="12.75"/>
  <cols>
    <col min="1" max="1" width="13.00390625" style="41" customWidth="1"/>
    <col min="2" max="2" width="36.00390625" style="41" customWidth="1"/>
    <col min="3" max="3" width="7.28125" style="41" customWidth="1"/>
    <col min="4" max="5" width="9.57421875" style="42" hidden="1" customWidth="1"/>
    <col min="6" max="6" width="1.28515625" style="41" customWidth="1"/>
    <col min="7" max="7" width="33.00390625" style="41" hidden="1" customWidth="1"/>
    <col min="8" max="8" width="1.28515625" style="43" customWidth="1"/>
    <col min="9" max="9" width="8.28125" style="41" customWidth="1"/>
    <col min="10" max="13" width="6.140625" style="41" customWidth="1"/>
    <col min="14" max="15" width="6.140625" style="48" customWidth="1"/>
    <col min="16" max="16" width="6.140625" style="41" customWidth="1"/>
    <col min="17" max="17" width="6.57421875" style="41" customWidth="1"/>
    <col min="18" max="18" width="6.28125" style="41" customWidth="1"/>
    <col min="19" max="19" width="10.8515625" style="41" hidden="1" customWidth="1"/>
    <col min="20" max="20" width="9.421875" style="52" hidden="1" customWidth="1"/>
    <col min="21" max="21" width="8.57421875" style="41" hidden="1" customWidth="1"/>
    <col min="22" max="22" width="5.57421875" style="41" hidden="1" customWidth="1"/>
    <col min="23" max="25" width="0" style="41" hidden="1" customWidth="1"/>
    <col min="26" max="16384" width="9.140625" style="41" customWidth="1"/>
  </cols>
  <sheetData>
    <row r="1" ht="12">
      <c r="A1" s="37" t="s">
        <v>230</v>
      </c>
    </row>
    <row r="2" ht="12">
      <c r="A2" s="38">
        <v>39162</v>
      </c>
    </row>
    <row r="3" ht="12">
      <c r="A3" s="37" t="s">
        <v>168</v>
      </c>
    </row>
    <row r="4" ht="12">
      <c r="A4" s="37"/>
    </row>
    <row r="5" spans="1:5" ht="24" hidden="1">
      <c r="A5" s="41" t="s">
        <v>0</v>
      </c>
      <c r="B5" s="41" t="s">
        <v>1</v>
      </c>
      <c r="C5" s="41" t="s">
        <v>167</v>
      </c>
      <c r="D5" s="44">
        <v>39835</v>
      </c>
      <c r="E5" s="44">
        <v>39835</v>
      </c>
    </row>
    <row r="6" spans="1:5" ht="24" hidden="1">
      <c r="A6" s="41" t="s">
        <v>0</v>
      </c>
      <c r="B6" s="41" t="s">
        <v>2</v>
      </c>
      <c r="C6" s="41" t="s">
        <v>167</v>
      </c>
      <c r="D6" s="44">
        <v>39883</v>
      </c>
      <c r="E6" s="44">
        <v>39883</v>
      </c>
    </row>
    <row r="7" spans="1:5" ht="24" hidden="1">
      <c r="A7" s="45" t="s">
        <v>0</v>
      </c>
      <c r="B7" s="41" t="s">
        <v>3</v>
      </c>
      <c r="C7" s="41" t="s">
        <v>167</v>
      </c>
      <c r="D7" s="44">
        <v>39419</v>
      </c>
      <c r="E7" s="44">
        <v>39605</v>
      </c>
    </row>
    <row r="8" spans="1:5" ht="12">
      <c r="A8" s="45"/>
      <c r="D8" s="44"/>
      <c r="E8" s="44"/>
    </row>
    <row r="9" spans="1:17" ht="12" hidden="1">
      <c r="A9" s="45"/>
      <c r="D9" s="44"/>
      <c r="E9" s="44"/>
      <c r="I9" s="41">
        <v>177</v>
      </c>
      <c r="J9" s="41">
        <v>82</v>
      </c>
      <c r="K9" s="41">
        <v>82</v>
      </c>
      <c r="L9" s="41">
        <v>122</v>
      </c>
      <c r="M9" s="41">
        <v>177</v>
      </c>
      <c r="N9" s="48">
        <v>82</v>
      </c>
      <c r="O9" s="48">
        <v>1300</v>
      </c>
      <c r="P9" s="41">
        <v>1300</v>
      </c>
      <c r="Q9" s="41">
        <v>1300</v>
      </c>
    </row>
    <row r="10" spans="1:20" s="47" customFormat="1" ht="32.25" customHeight="1" thickBot="1">
      <c r="A10" s="50" t="s">
        <v>165</v>
      </c>
      <c r="B10" s="50" t="s">
        <v>166</v>
      </c>
      <c r="C10" s="50" t="s">
        <v>161</v>
      </c>
      <c r="D10" s="60" t="s">
        <v>162</v>
      </c>
      <c r="E10" s="60" t="s">
        <v>163</v>
      </c>
      <c r="F10" s="50"/>
      <c r="G10" s="50" t="s">
        <v>164</v>
      </c>
      <c r="H10" s="50"/>
      <c r="I10" s="50" t="s">
        <v>182</v>
      </c>
      <c r="J10" s="50" t="s">
        <v>232</v>
      </c>
      <c r="K10" s="50" t="s">
        <v>233</v>
      </c>
      <c r="L10" s="50" t="s">
        <v>234</v>
      </c>
      <c r="M10" s="50" t="s">
        <v>240</v>
      </c>
      <c r="N10" s="50" t="s">
        <v>241</v>
      </c>
      <c r="O10" s="50" t="s">
        <v>235</v>
      </c>
      <c r="P10" s="50" t="s">
        <v>236</v>
      </c>
      <c r="Q10" s="50" t="s">
        <v>238</v>
      </c>
      <c r="R10" s="50" t="s">
        <v>237</v>
      </c>
      <c r="T10" s="72"/>
    </row>
    <row r="11" spans="1:18" ht="12">
      <c r="A11" s="61" t="s">
        <v>4</v>
      </c>
      <c r="B11" s="62" t="s">
        <v>5</v>
      </c>
      <c r="C11" s="63"/>
      <c r="D11" s="64"/>
      <c r="E11" s="64"/>
      <c r="F11" s="65"/>
      <c r="G11" s="65"/>
      <c r="H11" s="63"/>
      <c r="I11" s="65"/>
      <c r="J11" s="65"/>
      <c r="K11" s="65"/>
      <c r="L11" s="65"/>
      <c r="M11" s="65"/>
      <c r="N11" s="65"/>
      <c r="O11" s="65"/>
      <c r="P11" s="65"/>
      <c r="Q11" s="65"/>
      <c r="R11" s="66"/>
    </row>
    <row r="12" spans="1:18" ht="12">
      <c r="A12" s="67" t="s">
        <v>6</v>
      </c>
      <c r="B12" s="48" t="s">
        <v>7</v>
      </c>
      <c r="C12" s="54" t="s">
        <v>8</v>
      </c>
      <c r="D12" s="55">
        <v>39356.333333333336</v>
      </c>
      <c r="E12" s="55">
        <v>39395.708333333336</v>
      </c>
      <c r="F12" s="48"/>
      <c r="G12" s="48" t="s">
        <v>9</v>
      </c>
      <c r="H12" s="54"/>
      <c r="I12" s="48">
        <v>30</v>
      </c>
      <c r="J12" s="48"/>
      <c r="K12" s="48"/>
      <c r="L12" s="48"/>
      <c r="M12" s="48"/>
      <c r="P12" s="48"/>
      <c r="Q12" s="48"/>
      <c r="R12" s="68"/>
    </row>
    <row r="13" spans="1:18" ht="12">
      <c r="A13" s="67" t="s">
        <v>10</v>
      </c>
      <c r="B13" s="48" t="s">
        <v>11</v>
      </c>
      <c r="C13" s="54" t="s">
        <v>12</v>
      </c>
      <c r="D13" s="55">
        <v>39398.333333333336</v>
      </c>
      <c r="E13" s="55">
        <v>39479.708333333336</v>
      </c>
      <c r="F13" s="48"/>
      <c r="G13" s="48" t="s">
        <v>9</v>
      </c>
      <c r="H13" s="54"/>
      <c r="I13" s="48">
        <v>30</v>
      </c>
      <c r="J13" s="48"/>
      <c r="K13" s="48"/>
      <c r="L13" s="48"/>
      <c r="M13" s="48"/>
      <c r="O13" s="48" t="s">
        <v>198</v>
      </c>
      <c r="P13" s="48"/>
      <c r="Q13" s="48"/>
      <c r="R13" s="68"/>
    </row>
    <row r="14" spans="1:18" ht="12">
      <c r="A14" s="67" t="s">
        <v>13</v>
      </c>
      <c r="B14" s="48" t="s">
        <v>14</v>
      </c>
      <c r="C14" s="54" t="s">
        <v>12</v>
      </c>
      <c r="D14" s="55">
        <v>39482.333333333336</v>
      </c>
      <c r="E14" s="55">
        <v>39563.708333333336</v>
      </c>
      <c r="F14" s="48"/>
      <c r="G14" s="48" t="s">
        <v>15</v>
      </c>
      <c r="H14" s="54"/>
      <c r="I14" s="48">
        <v>20</v>
      </c>
      <c r="J14" s="48"/>
      <c r="K14" s="48"/>
      <c r="L14" s="48"/>
      <c r="M14" s="48"/>
      <c r="O14" s="48">
        <v>25</v>
      </c>
      <c r="P14" s="48">
        <v>10</v>
      </c>
      <c r="Q14" s="48">
        <v>4</v>
      </c>
      <c r="R14" s="68"/>
    </row>
    <row r="15" spans="1:18" ht="24">
      <c r="A15" s="67" t="s">
        <v>16</v>
      </c>
      <c r="B15" s="48" t="s">
        <v>17</v>
      </c>
      <c r="C15" s="54" t="s">
        <v>12</v>
      </c>
      <c r="D15" s="55">
        <v>39566.333333333336</v>
      </c>
      <c r="E15" s="55">
        <v>39647.708333333336</v>
      </c>
      <c r="F15" s="48"/>
      <c r="G15" s="48" t="s">
        <v>155</v>
      </c>
      <c r="H15" s="54"/>
      <c r="I15" s="48">
        <v>60</v>
      </c>
      <c r="J15" s="48">
        <v>20</v>
      </c>
      <c r="K15" s="48">
        <v>490</v>
      </c>
      <c r="L15" s="48">
        <v>240</v>
      </c>
      <c r="M15" s="48"/>
      <c r="P15" s="48"/>
      <c r="Q15" s="48"/>
      <c r="R15" s="68"/>
    </row>
    <row r="16" spans="1:18" ht="12.75" thickBot="1">
      <c r="A16" s="69" t="s">
        <v>19</v>
      </c>
      <c r="B16" s="56" t="s">
        <v>20</v>
      </c>
      <c r="C16" s="57" t="s">
        <v>21</v>
      </c>
      <c r="D16" s="58">
        <v>39650.333333333336</v>
      </c>
      <c r="E16" s="58">
        <v>39667.708333333336</v>
      </c>
      <c r="F16" s="56"/>
      <c r="G16" s="56" t="s">
        <v>22</v>
      </c>
      <c r="H16" s="57"/>
      <c r="I16" s="56">
        <v>20</v>
      </c>
      <c r="J16" s="56">
        <v>20</v>
      </c>
      <c r="K16" s="56"/>
      <c r="L16" s="56"/>
      <c r="M16" s="56"/>
      <c r="N16" s="56"/>
      <c r="O16" s="56"/>
      <c r="P16" s="56"/>
      <c r="Q16" s="56"/>
      <c r="R16" s="70"/>
    </row>
    <row r="17" spans="3:22" ht="12.75" thickBot="1">
      <c r="C17" s="43"/>
      <c r="D17" s="51"/>
      <c r="E17" s="51"/>
      <c r="I17" s="41">
        <f>SUM(I12:I16)*I$9</f>
        <v>28320</v>
      </c>
      <c r="J17" s="41">
        <f aca="true" t="shared" si="0" ref="J17:R17">SUM(J12:J16)*J$9</f>
        <v>3280</v>
      </c>
      <c r="K17" s="41">
        <f t="shared" si="0"/>
        <v>40180</v>
      </c>
      <c r="L17" s="41">
        <f t="shared" si="0"/>
        <v>29280</v>
      </c>
      <c r="M17" s="41">
        <f t="shared" si="0"/>
        <v>0</v>
      </c>
      <c r="N17" s="41">
        <f t="shared" si="0"/>
        <v>0</v>
      </c>
      <c r="O17" s="41">
        <f t="shared" si="0"/>
        <v>32500</v>
      </c>
      <c r="P17" s="41">
        <f t="shared" si="0"/>
        <v>13000</v>
      </c>
      <c r="Q17" s="41">
        <f t="shared" si="0"/>
        <v>5200</v>
      </c>
      <c r="R17" s="41">
        <f t="shared" si="0"/>
        <v>0</v>
      </c>
      <c r="S17" s="52">
        <f>SUM(I17:R17)</f>
        <v>151760</v>
      </c>
      <c r="T17" s="52">
        <v>149000</v>
      </c>
      <c r="U17" s="73">
        <f>+S17-T17</f>
        <v>2760</v>
      </c>
      <c r="V17" s="78">
        <f>+U17/T17</f>
        <v>0.018523489932885905</v>
      </c>
    </row>
    <row r="18" spans="1:18" ht="12">
      <c r="A18" s="61" t="s">
        <v>23</v>
      </c>
      <c r="B18" s="62" t="s">
        <v>24</v>
      </c>
      <c r="C18" s="63"/>
      <c r="D18" s="71"/>
      <c r="E18" s="71"/>
      <c r="F18" s="65"/>
      <c r="G18" s="65"/>
      <c r="H18" s="63"/>
      <c r="I18" s="65"/>
      <c r="J18" s="65"/>
      <c r="K18" s="65"/>
      <c r="L18" s="65"/>
      <c r="M18" s="65"/>
      <c r="N18" s="65"/>
      <c r="O18" s="65"/>
      <c r="P18" s="65"/>
      <c r="Q18" s="65"/>
      <c r="R18" s="66"/>
    </row>
    <row r="19" spans="1:18" ht="12">
      <c r="A19" s="67" t="s">
        <v>25</v>
      </c>
      <c r="B19" s="48" t="s">
        <v>7</v>
      </c>
      <c r="C19" s="54" t="s">
        <v>8</v>
      </c>
      <c r="D19" s="55">
        <v>39387.333333333336</v>
      </c>
      <c r="E19" s="55">
        <v>39428.708333333336</v>
      </c>
      <c r="F19" s="48"/>
      <c r="G19" s="48" t="s">
        <v>26</v>
      </c>
      <c r="H19" s="54"/>
      <c r="I19" s="48">
        <v>40</v>
      </c>
      <c r="J19" s="48"/>
      <c r="K19" s="48"/>
      <c r="L19" s="48"/>
      <c r="M19" s="48"/>
      <c r="P19" s="48"/>
      <c r="Q19" s="48"/>
      <c r="R19" s="68"/>
    </row>
    <row r="20" spans="1:18" ht="12">
      <c r="A20" s="67" t="s">
        <v>27</v>
      </c>
      <c r="B20" s="48" t="s">
        <v>11</v>
      </c>
      <c r="C20" s="54" t="s">
        <v>12</v>
      </c>
      <c r="D20" s="55">
        <v>39429.333333333336</v>
      </c>
      <c r="E20" s="55">
        <v>39512.708333333336</v>
      </c>
      <c r="F20" s="48"/>
      <c r="G20" s="48" t="s">
        <v>26</v>
      </c>
      <c r="H20" s="54"/>
      <c r="I20" s="48">
        <v>40</v>
      </c>
      <c r="J20" s="48"/>
      <c r="K20" s="48"/>
      <c r="L20" s="48"/>
      <c r="M20" s="48"/>
      <c r="P20" s="48"/>
      <c r="Q20" s="48"/>
      <c r="R20" s="68"/>
    </row>
    <row r="21" spans="1:18" ht="12">
      <c r="A21" s="67" t="s">
        <v>28</v>
      </c>
      <c r="B21" s="48" t="s">
        <v>14</v>
      </c>
      <c r="C21" s="54" t="s">
        <v>8</v>
      </c>
      <c r="D21" s="55">
        <v>39513.333333333336</v>
      </c>
      <c r="E21" s="55">
        <v>39554.708333333336</v>
      </c>
      <c r="F21" s="48"/>
      <c r="G21" s="48" t="s">
        <v>29</v>
      </c>
      <c r="H21" s="54"/>
      <c r="I21" s="48">
        <v>20</v>
      </c>
      <c r="J21" s="48"/>
      <c r="K21" s="48"/>
      <c r="L21" s="48"/>
      <c r="M21" s="48"/>
      <c r="O21" s="48">
        <v>18</v>
      </c>
      <c r="P21" s="48">
        <v>17</v>
      </c>
      <c r="Q21" s="48">
        <v>3</v>
      </c>
      <c r="R21" s="68"/>
    </row>
    <row r="22" spans="1:18" ht="12">
      <c r="A22" s="67" t="s">
        <v>30</v>
      </c>
      <c r="B22" s="48" t="s">
        <v>31</v>
      </c>
      <c r="C22" s="54" t="s">
        <v>32</v>
      </c>
      <c r="D22" s="55">
        <v>39555.333333333336</v>
      </c>
      <c r="E22" s="55">
        <v>39568.708333333336</v>
      </c>
      <c r="F22" s="48"/>
      <c r="G22" s="48" t="s">
        <v>33</v>
      </c>
      <c r="H22" s="54"/>
      <c r="I22" s="48">
        <v>80</v>
      </c>
      <c r="J22" s="48"/>
      <c r="K22" s="48"/>
      <c r="L22" s="48"/>
      <c r="M22" s="48"/>
      <c r="P22" s="48"/>
      <c r="Q22" s="48"/>
      <c r="R22" s="68"/>
    </row>
    <row r="23" spans="1:18" ht="12">
      <c r="A23" s="67" t="s">
        <v>34</v>
      </c>
      <c r="B23" s="48" t="s">
        <v>35</v>
      </c>
      <c r="C23" s="54" t="s">
        <v>8</v>
      </c>
      <c r="D23" s="55">
        <v>39569.333333333336</v>
      </c>
      <c r="E23" s="55">
        <v>39610.708333333336</v>
      </c>
      <c r="F23" s="48"/>
      <c r="G23" s="48" t="s">
        <v>26</v>
      </c>
      <c r="H23" s="54"/>
      <c r="I23" s="48">
        <v>40</v>
      </c>
      <c r="J23" s="48"/>
      <c r="K23" s="48"/>
      <c r="L23" s="48"/>
      <c r="M23" s="48"/>
      <c r="P23" s="48"/>
      <c r="Q23" s="48"/>
      <c r="R23" s="68"/>
    </row>
    <row r="24" spans="1:18" ht="12">
      <c r="A24" s="67" t="s">
        <v>36</v>
      </c>
      <c r="B24" s="48" t="s">
        <v>248</v>
      </c>
      <c r="C24" s="54" t="s">
        <v>8</v>
      </c>
      <c r="D24" s="55">
        <v>39569.333333333336</v>
      </c>
      <c r="E24" s="55">
        <v>39610.708333333336</v>
      </c>
      <c r="F24" s="48"/>
      <c r="G24" s="48" t="s">
        <v>37</v>
      </c>
      <c r="H24" s="54"/>
      <c r="I24" s="48">
        <v>120</v>
      </c>
      <c r="J24" s="48"/>
      <c r="K24" s="48"/>
      <c r="L24" s="48"/>
      <c r="M24" s="48"/>
      <c r="P24" s="48"/>
      <c r="Q24" s="48"/>
      <c r="R24" s="68"/>
    </row>
    <row r="25" spans="1:18" ht="12">
      <c r="A25" s="67" t="s">
        <v>38</v>
      </c>
      <c r="B25" s="48" t="s">
        <v>247</v>
      </c>
      <c r="C25" s="54" t="s">
        <v>18</v>
      </c>
      <c r="D25" s="55">
        <v>39569.333333333336</v>
      </c>
      <c r="E25" s="55">
        <v>39694.708333333336</v>
      </c>
      <c r="F25" s="48"/>
      <c r="G25" s="48" t="s">
        <v>39</v>
      </c>
      <c r="H25" s="54"/>
      <c r="I25" s="48">
        <v>160</v>
      </c>
      <c r="J25" s="48"/>
      <c r="K25" s="48"/>
      <c r="L25" s="48"/>
      <c r="M25" s="48"/>
      <c r="O25" s="48" t="s">
        <v>198</v>
      </c>
      <c r="P25" s="48">
        <v>2</v>
      </c>
      <c r="Q25" s="48"/>
      <c r="R25" s="68">
        <v>2</v>
      </c>
    </row>
    <row r="26" spans="1:18" ht="12">
      <c r="A26" s="67" t="s">
        <v>40</v>
      </c>
      <c r="B26" s="48" t="s">
        <v>41</v>
      </c>
      <c r="C26" s="54" t="s">
        <v>18</v>
      </c>
      <c r="D26" s="55">
        <v>39723.333333333336</v>
      </c>
      <c r="E26" s="55">
        <v>39848.708333333336</v>
      </c>
      <c r="F26" s="48"/>
      <c r="G26" s="48" t="s">
        <v>42</v>
      </c>
      <c r="H26" s="54"/>
      <c r="I26" s="48">
        <v>100</v>
      </c>
      <c r="J26" s="48"/>
      <c r="K26" s="48"/>
      <c r="L26" s="48"/>
      <c r="M26" s="48"/>
      <c r="P26" s="48"/>
      <c r="Q26" s="48"/>
      <c r="R26" s="68"/>
    </row>
    <row r="27" spans="1:18" ht="24">
      <c r="A27" s="67" t="s">
        <v>43</v>
      </c>
      <c r="B27" s="48" t="s">
        <v>17</v>
      </c>
      <c r="C27" s="54" t="s">
        <v>12</v>
      </c>
      <c r="D27" s="55">
        <v>39555.333333333336</v>
      </c>
      <c r="E27" s="55">
        <v>39638.708333333336</v>
      </c>
      <c r="F27" s="48"/>
      <c r="G27" s="48" t="s">
        <v>156</v>
      </c>
      <c r="H27" s="54"/>
      <c r="I27" s="48">
        <v>40</v>
      </c>
      <c r="J27" s="48">
        <v>100</v>
      </c>
      <c r="K27" s="48">
        <v>240</v>
      </c>
      <c r="L27" s="48">
        <v>120</v>
      </c>
      <c r="M27" s="48"/>
      <c r="P27" s="48"/>
      <c r="Q27" s="48"/>
      <c r="R27" s="68"/>
    </row>
    <row r="28" spans="1:18" ht="12.75" thickBot="1">
      <c r="A28" s="69" t="s">
        <v>44</v>
      </c>
      <c r="B28" s="56" t="s">
        <v>20</v>
      </c>
      <c r="C28" s="57" t="s">
        <v>21</v>
      </c>
      <c r="D28" s="58">
        <v>39723.333333333336</v>
      </c>
      <c r="E28" s="58">
        <v>39742.708333333336</v>
      </c>
      <c r="F28" s="56"/>
      <c r="G28" s="56" t="s">
        <v>26</v>
      </c>
      <c r="H28" s="57"/>
      <c r="I28" s="56">
        <v>40</v>
      </c>
      <c r="J28" s="56"/>
      <c r="K28" s="56"/>
      <c r="L28" s="56"/>
      <c r="M28" s="56"/>
      <c r="N28" s="56"/>
      <c r="O28" s="56"/>
      <c r="P28" s="56"/>
      <c r="Q28" s="56"/>
      <c r="R28" s="70"/>
    </row>
    <row r="29" spans="3:22" ht="12.75" thickBot="1">
      <c r="C29" s="43"/>
      <c r="D29" s="51"/>
      <c r="E29" s="51"/>
      <c r="I29" s="41">
        <f>SUM(I18:I28)*I$9</f>
        <v>120360</v>
      </c>
      <c r="J29" s="41">
        <f aca="true" t="shared" si="1" ref="J29:R29">SUM(J18:J28)*J$9</f>
        <v>8200</v>
      </c>
      <c r="K29" s="41">
        <f t="shared" si="1"/>
        <v>19680</v>
      </c>
      <c r="L29" s="41">
        <f t="shared" si="1"/>
        <v>14640</v>
      </c>
      <c r="M29" s="41">
        <f t="shared" si="1"/>
        <v>0</v>
      </c>
      <c r="N29" s="41">
        <f t="shared" si="1"/>
        <v>0</v>
      </c>
      <c r="O29" s="41">
        <f t="shared" si="1"/>
        <v>23400</v>
      </c>
      <c r="P29" s="41">
        <f t="shared" si="1"/>
        <v>24700</v>
      </c>
      <c r="Q29" s="41">
        <f t="shared" si="1"/>
        <v>3900</v>
      </c>
      <c r="R29" s="41">
        <f t="shared" si="1"/>
        <v>0</v>
      </c>
      <c r="S29" s="74">
        <f>SUM(I29:R29)</f>
        <v>214880</v>
      </c>
      <c r="T29" s="74">
        <v>136000</v>
      </c>
      <c r="U29" s="75">
        <f>+S29-T29</f>
        <v>78880</v>
      </c>
      <c r="V29" s="78">
        <f>+U29/T29</f>
        <v>0.58</v>
      </c>
    </row>
    <row r="30" spans="1:18" ht="12">
      <c r="A30" s="61" t="s">
        <v>45</v>
      </c>
      <c r="B30" s="62" t="s">
        <v>46</v>
      </c>
      <c r="C30" s="63"/>
      <c r="D30" s="71"/>
      <c r="E30" s="71"/>
      <c r="F30" s="65"/>
      <c r="G30" s="65"/>
      <c r="H30" s="63"/>
      <c r="I30" s="65"/>
      <c r="J30" s="65"/>
      <c r="K30" s="65"/>
      <c r="L30" s="65"/>
      <c r="M30" s="65"/>
      <c r="N30" s="65"/>
      <c r="O30" s="65"/>
      <c r="P30" s="65"/>
      <c r="Q30" s="65"/>
      <c r="R30" s="66"/>
    </row>
    <row r="31" spans="1:18" ht="12">
      <c r="A31" s="67" t="s">
        <v>47</v>
      </c>
      <c r="B31" s="48" t="s">
        <v>7</v>
      </c>
      <c r="C31" s="54" t="s">
        <v>8</v>
      </c>
      <c r="D31" s="55">
        <v>39370.333333333336</v>
      </c>
      <c r="E31" s="55">
        <v>39409.708333333336</v>
      </c>
      <c r="F31" s="48"/>
      <c r="G31" s="48" t="s">
        <v>26</v>
      </c>
      <c r="H31" s="54"/>
      <c r="I31" s="48">
        <v>40</v>
      </c>
      <c r="J31" s="48"/>
      <c r="K31" s="48"/>
      <c r="L31" s="48"/>
      <c r="M31" s="48"/>
      <c r="P31" s="48"/>
      <c r="Q31" s="48"/>
      <c r="R31" s="68"/>
    </row>
    <row r="32" spans="1:18" ht="12">
      <c r="A32" s="67" t="s">
        <v>48</v>
      </c>
      <c r="B32" s="48" t="s">
        <v>11</v>
      </c>
      <c r="C32" s="54" t="s">
        <v>8</v>
      </c>
      <c r="D32" s="55">
        <v>39412.333333333336</v>
      </c>
      <c r="E32" s="55">
        <v>39451.708333333336</v>
      </c>
      <c r="F32" s="48"/>
      <c r="G32" s="48" t="s">
        <v>33</v>
      </c>
      <c r="H32" s="54"/>
      <c r="I32" s="48">
        <v>80</v>
      </c>
      <c r="J32" s="48"/>
      <c r="K32" s="48"/>
      <c r="L32" s="48"/>
      <c r="M32" s="48"/>
      <c r="P32" s="48"/>
      <c r="Q32" s="48"/>
      <c r="R32" s="68"/>
    </row>
    <row r="33" spans="1:18" ht="12">
      <c r="A33" s="67" t="s">
        <v>49</v>
      </c>
      <c r="B33" s="48" t="s">
        <v>14</v>
      </c>
      <c r="C33" s="54" t="s">
        <v>8</v>
      </c>
      <c r="D33" s="55">
        <v>39454.333333333336</v>
      </c>
      <c r="E33" s="55">
        <v>39493.708333333336</v>
      </c>
      <c r="F33" s="48"/>
      <c r="G33" s="48" t="s">
        <v>50</v>
      </c>
      <c r="H33" s="54"/>
      <c r="I33" s="48">
        <v>20</v>
      </c>
      <c r="J33" s="48"/>
      <c r="K33" s="48"/>
      <c r="L33" s="48"/>
      <c r="M33" s="48"/>
      <c r="O33" s="48">
        <v>17</v>
      </c>
      <c r="P33" s="48">
        <v>3</v>
      </c>
      <c r="Q33" s="48">
        <v>2</v>
      </c>
      <c r="R33" s="68"/>
    </row>
    <row r="34" spans="1:18" ht="12">
      <c r="A34" s="67" t="s">
        <v>51</v>
      </c>
      <c r="B34" s="48" t="s">
        <v>17</v>
      </c>
      <c r="C34" s="54" t="s">
        <v>8</v>
      </c>
      <c r="D34" s="55">
        <v>39496.333333333336</v>
      </c>
      <c r="E34" s="55">
        <v>39535.708333333336</v>
      </c>
      <c r="F34" s="48"/>
      <c r="G34" s="48" t="s">
        <v>52</v>
      </c>
      <c r="H34" s="54"/>
      <c r="I34" s="48" t="s">
        <v>198</v>
      </c>
      <c r="J34" s="48">
        <v>40</v>
      </c>
      <c r="K34" s="48"/>
      <c r="L34" s="48"/>
      <c r="M34" s="48"/>
      <c r="P34" s="48"/>
      <c r="Q34" s="48"/>
      <c r="R34" s="68"/>
    </row>
    <row r="35" spans="1:18" ht="12">
      <c r="A35" s="67" t="s">
        <v>53</v>
      </c>
      <c r="B35" s="48" t="s">
        <v>54</v>
      </c>
      <c r="C35" s="54" t="s">
        <v>55</v>
      </c>
      <c r="D35" s="55">
        <v>39538.333333333336</v>
      </c>
      <c r="E35" s="55">
        <v>39563.708333333336</v>
      </c>
      <c r="F35" s="48"/>
      <c r="G35" s="48" t="s">
        <v>33</v>
      </c>
      <c r="H35" s="54"/>
      <c r="I35" s="48">
        <v>80</v>
      </c>
      <c r="J35" s="48"/>
      <c r="K35" s="48"/>
      <c r="L35" s="48"/>
      <c r="M35" s="48"/>
      <c r="P35" s="48"/>
      <c r="Q35" s="48"/>
      <c r="R35" s="68"/>
    </row>
    <row r="36" spans="1:18" ht="12">
      <c r="A36" s="67" t="s">
        <v>56</v>
      </c>
      <c r="B36" s="48" t="s">
        <v>57</v>
      </c>
      <c r="C36" s="54" t="s">
        <v>55</v>
      </c>
      <c r="D36" s="55">
        <v>39566.333333333336</v>
      </c>
      <c r="E36" s="55">
        <v>39591.708333333336</v>
      </c>
      <c r="F36" s="48"/>
      <c r="G36" s="48" t="s">
        <v>33</v>
      </c>
      <c r="H36" s="54"/>
      <c r="I36" s="48">
        <v>80</v>
      </c>
      <c r="J36" s="48"/>
      <c r="K36" s="48"/>
      <c r="L36" s="48"/>
      <c r="M36" s="48"/>
      <c r="P36" s="48"/>
      <c r="Q36" s="48"/>
      <c r="R36" s="68"/>
    </row>
    <row r="37" spans="1:18" ht="12">
      <c r="A37" s="67" t="s">
        <v>58</v>
      </c>
      <c r="B37" s="48" t="s">
        <v>59</v>
      </c>
      <c r="C37" s="54" t="s">
        <v>55</v>
      </c>
      <c r="D37" s="55">
        <v>39594.333333333336</v>
      </c>
      <c r="E37" s="55">
        <v>39619.708333333336</v>
      </c>
      <c r="F37" s="48"/>
      <c r="G37" s="48" t="s">
        <v>33</v>
      </c>
      <c r="H37" s="54"/>
      <c r="I37" s="48">
        <v>80</v>
      </c>
      <c r="J37" s="48"/>
      <c r="K37" s="48"/>
      <c r="L37" s="48"/>
      <c r="M37" s="48"/>
      <c r="P37" s="48"/>
      <c r="Q37" s="48"/>
      <c r="R37" s="68"/>
    </row>
    <row r="38" spans="1:18" ht="12">
      <c r="A38" s="67" t="s">
        <v>60</v>
      </c>
      <c r="B38" s="48" t="s">
        <v>61</v>
      </c>
      <c r="C38" s="54" t="s">
        <v>8</v>
      </c>
      <c r="D38" s="55">
        <v>39622.333333333336</v>
      </c>
      <c r="E38" s="55">
        <v>39661.708333333336</v>
      </c>
      <c r="F38" s="48"/>
      <c r="G38" s="48" t="s">
        <v>62</v>
      </c>
      <c r="H38" s="54"/>
      <c r="I38" s="48">
        <v>160</v>
      </c>
      <c r="J38" s="48"/>
      <c r="K38" s="48"/>
      <c r="L38" s="48"/>
      <c r="M38" s="48"/>
      <c r="P38" s="48"/>
      <c r="Q38" s="48"/>
      <c r="R38" s="68"/>
    </row>
    <row r="39" spans="1:18" ht="12">
      <c r="A39" s="67" t="s">
        <v>63</v>
      </c>
      <c r="B39" s="48" t="s">
        <v>64</v>
      </c>
      <c r="C39" s="54" t="s">
        <v>55</v>
      </c>
      <c r="D39" s="55">
        <v>39664.333333333336</v>
      </c>
      <c r="E39" s="55">
        <v>39689.708333333336</v>
      </c>
      <c r="F39" s="48"/>
      <c r="G39" s="48" t="s">
        <v>33</v>
      </c>
      <c r="H39" s="54"/>
      <c r="I39" s="48">
        <v>80</v>
      </c>
      <c r="J39" s="48"/>
      <c r="K39" s="48"/>
      <c r="L39" s="48"/>
      <c r="M39" s="48"/>
      <c r="P39" s="48"/>
      <c r="Q39" s="48"/>
      <c r="R39" s="68"/>
    </row>
    <row r="40" spans="1:18" ht="12">
      <c r="A40" s="67" t="s">
        <v>65</v>
      </c>
      <c r="B40" s="48" t="s">
        <v>66</v>
      </c>
      <c r="C40" s="54" t="s">
        <v>12</v>
      </c>
      <c r="D40" s="55">
        <v>39160.333333333336</v>
      </c>
      <c r="E40" s="55">
        <v>39241.708333333336</v>
      </c>
      <c r="F40" s="48"/>
      <c r="G40" s="48" t="s">
        <v>62</v>
      </c>
      <c r="H40" s="54"/>
      <c r="I40" s="48">
        <v>160</v>
      </c>
      <c r="J40" s="48"/>
      <c r="K40" s="48"/>
      <c r="L40" s="48"/>
      <c r="M40" s="48"/>
      <c r="P40" s="48"/>
      <c r="Q40" s="48"/>
      <c r="R40" s="68"/>
    </row>
    <row r="41" spans="1:18" ht="12.75" thickBot="1">
      <c r="A41" s="69" t="s">
        <v>67</v>
      </c>
      <c r="B41" s="56" t="s">
        <v>20</v>
      </c>
      <c r="C41" s="57" t="s">
        <v>21</v>
      </c>
      <c r="D41" s="58">
        <v>39370.333333333336</v>
      </c>
      <c r="E41" s="58">
        <v>39387.708333333336</v>
      </c>
      <c r="F41" s="56"/>
      <c r="G41" s="56" t="s">
        <v>68</v>
      </c>
      <c r="H41" s="57"/>
      <c r="I41" s="56">
        <v>40</v>
      </c>
      <c r="J41" s="56">
        <v>40</v>
      </c>
      <c r="K41" s="56"/>
      <c r="L41" s="56"/>
      <c r="M41" s="56"/>
      <c r="N41" s="56"/>
      <c r="O41" s="56"/>
      <c r="P41" s="56"/>
      <c r="Q41" s="56"/>
      <c r="R41" s="70"/>
    </row>
    <row r="42" spans="3:22" ht="12.75" thickBot="1">
      <c r="C42" s="43"/>
      <c r="D42" s="51"/>
      <c r="E42" s="51"/>
      <c r="I42" s="41">
        <f aca="true" t="shared" si="2" ref="I42:R42">SUM(I31:I41)*I$9</f>
        <v>145140</v>
      </c>
      <c r="J42" s="41">
        <f t="shared" si="2"/>
        <v>6560</v>
      </c>
      <c r="K42" s="41">
        <f t="shared" si="2"/>
        <v>0</v>
      </c>
      <c r="L42" s="41">
        <f t="shared" si="2"/>
        <v>0</v>
      </c>
      <c r="M42" s="41">
        <f t="shared" si="2"/>
        <v>0</v>
      </c>
      <c r="N42" s="41">
        <f t="shared" si="2"/>
        <v>0</v>
      </c>
      <c r="O42" s="41">
        <f t="shared" si="2"/>
        <v>22100</v>
      </c>
      <c r="P42" s="41">
        <f t="shared" si="2"/>
        <v>3900</v>
      </c>
      <c r="Q42" s="41">
        <f t="shared" si="2"/>
        <v>2600</v>
      </c>
      <c r="R42" s="41">
        <f t="shared" si="2"/>
        <v>0</v>
      </c>
      <c r="S42" s="52">
        <f>SUM(I42:R42)</f>
        <v>180300</v>
      </c>
      <c r="T42" s="52">
        <v>148000</v>
      </c>
      <c r="U42" s="73">
        <f>+S42-T42</f>
        <v>32300</v>
      </c>
      <c r="V42" s="78">
        <f>+U42/T42</f>
        <v>0.21824324324324323</v>
      </c>
    </row>
    <row r="43" spans="1:18" ht="12">
      <c r="A43" s="61" t="s">
        <v>69</v>
      </c>
      <c r="B43" s="62" t="s">
        <v>70</v>
      </c>
      <c r="C43" s="63"/>
      <c r="D43" s="71"/>
      <c r="E43" s="71"/>
      <c r="F43" s="65"/>
      <c r="G43" s="65"/>
      <c r="H43" s="63"/>
      <c r="I43" s="65"/>
      <c r="J43" s="65"/>
      <c r="K43" s="65"/>
      <c r="L43" s="65"/>
      <c r="M43" s="65"/>
      <c r="N43" s="65"/>
      <c r="O43" s="65"/>
      <c r="P43" s="65"/>
      <c r="Q43" s="65"/>
      <c r="R43" s="66"/>
    </row>
    <row r="44" spans="1:18" ht="12">
      <c r="A44" s="67" t="s">
        <v>71</v>
      </c>
      <c r="B44" s="48" t="s">
        <v>72</v>
      </c>
      <c r="C44" s="54" t="s">
        <v>8</v>
      </c>
      <c r="D44" s="55">
        <v>39356.333333333336</v>
      </c>
      <c r="E44" s="55">
        <v>39395.708333333336</v>
      </c>
      <c r="F44" s="48"/>
      <c r="G44" s="48" t="s">
        <v>26</v>
      </c>
      <c r="H44" s="54"/>
      <c r="I44" s="48">
        <v>40</v>
      </c>
      <c r="J44" s="48"/>
      <c r="K44" s="48"/>
      <c r="L44" s="48"/>
      <c r="M44" s="48"/>
      <c r="P44" s="48"/>
      <c r="Q44" s="48"/>
      <c r="R44" s="68"/>
    </row>
    <row r="45" spans="1:18" ht="12">
      <c r="A45" s="67" t="s">
        <v>73</v>
      </c>
      <c r="B45" s="48" t="s">
        <v>74</v>
      </c>
      <c r="C45" s="54" t="s">
        <v>75</v>
      </c>
      <c r="D45" s="55">
        <v>39398.333333333336</v>
      </c>
      <c r="E45" s="55">
        <v>39451.708333333336</v>
      </c>
      <c r="F45" s="48"/>
      <c r="G45" s="48" t="s">
        <v>26</v>
      </c>
      <c r="H45" s="54"/>
      <c r="I45" s="48">
        <v>40</v>
      </c>
      <c r="J45" s="48"/>
      <c r="K45" s="48"/>
      <c r="L45" s="48"/>
      <c r="M45" s="48"/>
      <c r="P45" s="48"/>
      <c r="Q45" s="48"/>
      <c r="R45" s="68"/>
    </row>
    <row r="46" spans="1:18" ht="12">
      <c r="A46" s="67" t="s">
        <v>76</v>
      </c>
      <c r="B46" s="48" t="s">
        <v>77</v>
      </c>
      <c r="C46" s="54" t="s">
        <v>55</v>
      </c>
      <c r="D46" s="55">
        <v>39398.333333333336</v>
      </c>
      <c r="E46" s="55">
        <v>39423.708333333336</v>
      </c>
      <c r="F46" s="48"/>
      <c r="G46" s="48" t="s">
        <v>78</v>
      </c>
      <c r="H46" s="54"/>
      <c r="I46" s="48">
        <v>20</v>
      </c>
      <c r="J46" s="48"/>
      <c r="K46" s="48"/>
      <c r="L46" s="48"/>
      <c r="M46" s="48">
        <v>40</v>
      </c>
      <c r="P46" s="48"/>
      <c r="Q46" s="48"/>
      <c r="R46" s="68"/>
    </row>
    <row r="47" spans="1:18" ht="12">
      <c r="A47" s="67" t="s">
        <v>79</v>
      </c>
      <c r="B47" s="48" t="s">
        <v>80</v>
      </c>
      <c r="C47" s="54" t="s">
        <v>8</v>
      </c>
      <c r="D47" s="55">
        <v>39426.333333333336</v>
      </c>
      <c r="E47" s="55">
        <v>39465.708333333336</v>
      </c>
      <c r="F47" s="48"/>
      <c r="G47" s="48" t="s">
        <v>81</v>
      </c>
      <c r="H47" s="54"/>
      <c r="I47" s="48">
        <v>20</v>
      </c>
      <c r="J47" s="48"/>
      <c r="K47" s="48"/>
      <c r="L47" s="48"/>
      <c r="M47" s="48">
        <v>120</v>
      </c>
      <c r="P47" s="48"/>
      <c r="Q47" s="48"/>
      <c r="R47" s="68"/>
    </row>
    <row r="48" spans="1:20" ht="24">
      <c r="A48" s="67" t="s">
        <v>82</v>
      </c>
      <c r="B48" s="48" t="s">
        <v>231</v>
      </c>
      <c r="C48" s="54" t="s">
        <v>75</v>
      </c>
      <c r="D48" s="55">
        <v>39580.333333333336</v>
      </c>
      <c r="E48" s="55">
        <v>39633.708333333336</v>
      </c>
      <c r="F48" s="48"/>
      <c r="G48" s="48" t="s">
        <v>242</v>
      </c>
      <c r="H48" s="54"/>
      <c r="I48" s="48">
        <v>20</v>
      </c>
      <c r="J48" s="48"/>
      <c r="K48" s="48"/>
      <c r="L48" s="48"/>
      <c r="M48" s="48">
        <v>100</v>
      </c>
      <c r="N48" s="48">
        <v>120</v>
      </c>
      <c r="P48" s="48"/>
      <c r="Q48" s="48"/>
      <c r="R48" s="68"/>
      <c r="T48" s="52">
        <f>SUM(I44:I54)</f>
        <v>500</v>
      </c>
    </row>
    <row r="49" spans="1:18" ht="12">
      <c r="A49" s="67" t="s">
        <v>83</v>
      </c>
      <c r="B49" s="48" t="s">
        <v>14</v>
      </c>
      <c r="C49" s="54" t="s">
        <v>18</v>
      </c>
      <c r="D49" s="55">
        <v>39454.333333333336</v>
      </c>
      <c r="E49" s="55">
        <v>39577.708333333336</v>
      </c>
      <c r="F49" s="48"/>
      <c r="G49" s="48" t="s">
        <v>84</v>
      </c>
      <c r="H49" s="54"/>
      <c r="I49" s="48">
        <v>40</v>
      </c>
      <c r="J49" s="48"/>
      <c r="K49" s="48"/>
      <c r="L49" s="48"/>
      <c r="M49" s="48"/>
      <c r="O49" s="48">
        <v>16</v>
      </c>
      <c r="P49" s="48">
        <v>14</v>
      </c>
      <c r="Q49" s="48">
        <v>4</v>
      </c>
      <c r="R49" s="68"/>
    </row>
    <row r="50" spans="1:18" ht="12">
      <c r="A50" s="67" t="s">
        <v>85</v>
      </c>
      <c r="B50" s="48" t="s">
        <v>86</v>
      </c>
      <c r="C50" s="54" t="s">
        <v>18</v>
      </c>
      <c r="D50" s="55">
        <v>39356.333333333336</v>
      </c>
      <c r="E50" s="55">
        <v>39479.708333333336</v>
      </c>
      <c r="F50" s="48"/>
      <c r="G50" s="48" t="s">
        <v>87</v>
      </c>
      <c r="H50" s="54"/>
      <c r="I50" s="48"/>
      <c r="J50" s="48">
        <v>160</v>
      </c>
      <c r="K50" s="48"/>
      <c r="L50" s="48"/>
      <c r="M50" s="48"/>
      <c r="P50" s="48"/>
      <c r="Q50" s="48"/>
      <c r="R50" s="68"/>
    </row>
    <row r="51" spans="1:18" ht="12">
      <c r="A51" s="67" t="s">
        <v>88</v>
      </c>
      <c r="B51" s="48" t="s">
        <v>89</v>
      </c>
      <c r="C51" s="54" t="s">
        <v>90</v>
      </c>
      <c r="D51" s="55">
        <v>39519.333333333336</v>
      </c>
      <c r="E51" s="55">
        <v>39686.708333333336</v>
      </c>
      <c r="F51" s="48"/>
      <c r="G51" s="48" t="s">
        <v>62</v>
      </c>
      <c r="H51" s="54"/>
      <c r="I51" s="48">
        <v>160</v>
      </c>
      <c r="J51" s="48"/>
      <c r="K51" s="48"/>
      <c r="L51" s="48"/>
      <c r="M51" s="48"/>
      <c r="P51" s="48"/>
      <c r="Q51" s="48"/>
      <c r="R51" s="68"/>
    </row>
    <row r="52" spans="1:18" ht="12">
      <c r="A52" s="67" t="s">
        <v>91</v>
      </c>
      <c r="B52" s="48" t="s">
        <v>92</v>
      </c>
      <c r="C52" s="54" t="s">
        <v>8</v>
      </c>
      <c r="D52" s="55">
        <v>39687.333333333336</v>
      </c>
      <c r="E52" s="55">
        <v>39728.708333333336</v>
      </c>
      <c r="F52" s="48"/>
      <c r="G52" s="48" t="s">
        <v>33</v>
      </c>
      <c r="H52" s="54"/>
      <c r="I52" s="48">
        <v>80</v>
      </c>
      <c r="J52" s="48"/>
      <c r="K52" s="48"/>
      <c r="L52" s="48"/>
      <c r="M52" s="48"/>
      <c r="P52" s="48"/>
      <c r="Q52" s="48"/>
      <c r="R52" s="68"/>
    </row>
    <row r="53" spans="1:18" ht="24">
      <c r="A53" s="67" t="s">
        <v>93</v>
      </c>
      <c r="B53" s="48" t="s">
        <v>17</v>
      </c>
      <c r="C53" s="54" t="s">
        <v>18</v>
      </c>
      <c r="D53" s="55">
        <v>39580.333333333336</v>
      </c>
      <c r="E53" s="55">
        <v>39703.708333333336</v>
      </c>
      <c r="F53" s="48"/>
      <c r="G53" s="48" t="s">
        <v>157</v>
      </c>
      <c r="H53" s="54"/>
      <c r="I53" s="48">
        <v>40</v>
      </c>
      <c r="J53" s="48">
        <v>80</v>
      </c>
      <c r="K53" s="48">
        <v>120</v>
      </c>
      <c r="L53" s="48">
        <v>40</v>
      </c>
      <c r="M53" s="48"/>
      <c r="P53" s="48"/>
      <c r="Q53" s="48"/>
      <c r="R53" s="68"/>
    </row>
    <row r="54" spans="1:18" ht="12.75" thickBot="1">
      <c r="A54" s="69" t="s">
        <v>94</v>
      </c>
      <c r="B54" s="56" t="s">
        <v>20</v>
      </c>
      <c r="C54" s="57" t="s">
        <v>21</v>
      </c>
      <c r="D54" s="58">
        <v>39706.333333333336</v>
      </c>
      <c r="E54" s="58">
        <v>39723.708333333336</v>
      </c>
      <c r="F54" s="56"/>
      <c r="G54" s="56" t="s">
        <v>68</v>
      </c>
      <c r="H54" s="57"/>
      <c r="I54" s="56">
        <v>40</v>
      </c>
      <c r="J54" s="56">
        <v>40</v>
      </c>
      <c r="K54" s="56"/>
      <c r="L54" s="56"/>
      <c r="M54" s="56"/>
      <c r="N54" s="56"/>
      <c r="O54" s="56"/>
      <c r="P54" s="56"/>
      <c r="Q54" s="56"/>
      <c r="R54" s="70"/>
    </row>
    <row r="55" spans="3:22" ht="12.75" thickBot="1">
      <c r="C55" s="43"/>
      <c r="D55" s="51"/>
      <c r="E55" s="51"/>
      <c r="I55" s="41">
        <f aca="true" t="shared" si="3" ref="I55:R55">SUM(I44:I54)*I$9</f>
        <v>88500</v>
      </c>
      <c r="J55" s="41">
        <f t="shared" si="3"/>
        <v>22960</v>
      </c>
      <c r="K55" s="41">
        <f t="shared" si="3"/>
        <v>9840</v>
      </c>
      <c r="L55" s="41">
        <f t="shared" si="3"/>
        <v>4880</v>
      </c>
      <c r="M55" s="41">
        <f t="shared" si="3"/>
        <v>46020</v>
      </c>
      <c r="N55" s="41">
        <f t="shared" si="3"/>
        <v>9840</v>
      </c>
      <c r="O55" s="41">
        <f t="shared" si="3"/>
        <v>20800</v>
      </c>
      <c r="P55" s="41">
        <f t="shared" si="3"/>
        <v>18200</v>
      </c>
      <c r="Q55" s="41">
        <f t="shared" si="3"/>
        <v>5200</v>
      </c>
      <c r="R55" s="41">
        <f t="shared" si="3"/>
        <v>0</v>
      </c>
      <c r="S55" s="76">
        <f>SUM(I55:R55)</f>
        <v>226240</v>
      </c>
      <c r="T55" s="76">
        <v>79000</v>
      </c>
      <c r="U55" s="77">
        <f>+S55-T55</f>
        <v>147240</v>
      </c>
      <c r="V55" s="79">
        <f>+U55/T55</f>
        <v>1.8637974683544303</v>
      </c>
    </row>
    <row r="56" spans="1:18" ht="12">
      <c r="A56" s="61" t="s">
        <v>95</v>
      </c>
      <c r="B56" s="62" t="s">
        <v>96</v>
      </c>
      <c r="C56" s="63"/>
      <c r="D56" s="71"/>
      <c r="E56" s="71"/>
      <c r="F56" s="65"/>
      <c r="G56" s="65"/>
      <c r="H56" s="63"/>
      <c r="I56" s="65"/>
      <c r="J56" s="65"/>
      <c r="K56" s="65"/>
      <c r="L56" s="65"/>
      <c r="M56" s="65"/>
      <c r="N56" s="65"/>
      <c r="O56" s="65"/>
      <c r="P56" s="65"/>
      <c r="Q56" s="65"/>
      <c r="R56" s="66"/>
    </row>
    <row r="57" spans="1:18" ht="12">
      <c r="A57" s="67" t="s">
        <v>97</v>
      </c>
      <c r="B57" s="48" t="s">
        <v>98</v>
      </c>
      <c r="C57" s="54" t="s">
        <v>8</v>
      </c>
      <c r="D57" s="55">
        <v>39472.333333333336</v>
      </c>
      <c r="E57" s="55">
        <v>39513.708333333336</v>
      </c>
      <c r="F57" s="48"/>
      <c r="G57" s="48" t="s">
        <v>26</v>
      </c>
      <c r="H57" s="54"/>
      <c r="I57" s="48">
        <v>40</v>
      </c>
      <c r="J57" s="48"/>
      <c r="K57" s="48"/>
      <c r="L57" s="48"/>
      <c r="M57" s="48"/>
      <c r="P57" s="48"/>
      <c r="Q57" s="48"/>
      <c r="R57" s="68"/>
    </row>
    <row r="58" spans="1:18" ht="12">
      <c r="A58" s="67" t="s">
        <v>99</v>
      </c>
      <c r="B58" s="48" t="s">
        <v>100</v>
      </c>
      <c r="C58" s="54" t="s">
        <v>12</v>
      </c>
      <c r="D58" s="55">
        <v>39514.333333333336</v>
      </c>
      <c r="E58" s="55">
        <v>39597.708333333336</v>
      </c>
      <c r="F58" s="48"/>
      <c r="G58" s="48" t="s">
        <v>33</v>
      </c>
      <c r="H58" s="54"/>
      <c r="I58" s="48">
        <v>80</v>
      </c>
      <c r="J58" s="48"/>
      <c r="K58" s="48"/>
      <c r="L58" s="48"/>
      <c r="M58" s="48"/>
      <c r="P58" s="48"/>
      <c r="Q58" s="48"/>
      <c r="R58" s="68"/>
    </row>
    <row r="59" spans="1:18" ht="12">
      <c r="A59" s="67" t="s">
        <v>101</v>
      </c>
      <c r="B59" s="48" t="s">
        <v>102</v>
      </c>
      <c r="C59" s="54" t="s">
        <v>12</v>
      </c>
      <c r="D59" s="55">
        <v>39598.333333333336</v>
      </c>
      <c r="E59" s="55">
        <v>39681.708333333336</v>
      </c>
      <c r="F59" s="48"/>
      <c r="G59" s="48" t="s">
        <v>103</v>
      </c>
      <c r="H59" s="54"/>
      <c r="I59" s="48">
        <v>20</v>
      </c>
      <c r="J59" s="48"/>
      <c r="K59" s="48"/>
      <c r="L59" s="48"/>
      <c r="M59" s="48"/>
      <c r="O59" s="48">
        <v>6</v>
      </c>
      <c r="P59" s="48">
        <v>7</v>
      </c>
      <c r="Q59" s="48">
        <v>1</v>
      </c>
      <c r="R59" s="68"/>
    </row>
    <row r="60" spans="1:18" ht="12">
      <c r="A60" s="67" t="s">
        <v>104</v>
      </c>
      <c r="B60" s="48" t="s">
        <v>105</v>
      </c>
      <c r="C60" s="54" t="s">
        <v>8</v>
      </c>
      <c r="D60" s="55">
        <v>39678.333333333336</v>
      </c>
      <c r="E60" s="55">
        <v>39717.708333333336</v>
      </c>
      <c r="F60" s="48"/>
      <c r="G60" s="48" t="s">
        <v>37</v>
      </c>
      <c r="H60" s="54"/>
      <c r="I60" s="48">
        <v>120</v>
      </c>
      <c r="J60" s="48"/>
      <c r="K60" s="48"/>
      <c r="L60" s="48"/>
      <c r="M60" s="48"/>
      <c r="P60" s="48"/>
      <c r="Q60" s="48"/>
      <c r="R60" s="68"/>
    </row>
    <row r="61" spans="1:18" ht="12">
      <c r="A61" s="67" t="s">
        <v>106</v>
      </c>
      <c r="B61" s="48" t="s">
        <v>107</v>
      </c>
      <c r="C61" s="54" t="s">
        <v>8</v>
      </c>
      <c r="D61" s="55">
        <v>39678.333333333336</v>
      </c>
      <c r="E61" s="55">
        <v>39717.708333333336</v>
      </c>
      <c r="F61" s="48"/>
      <c r="G61" s="48" t="s">
        <v>26</v>
      </c>
      <c r="H61" s="54"/>
      <c r="I61" s="48">
        <v>40</v>
      </c>
      <c r="J61" s="48"/>
      <c r="K61" s="48"/>
      <c r="L61" s="48"/>
      <c r="M61" s="48"/>
      <c r="P61" s="48"/>
      <c r="Q61" s="48"/>
      <c r="R61" s="68"/>
    </row>
    <row r="62" spans="1:18" ht="12">
      <c r="A62" s="67" t="s">
        <v>106</v>
      </c>
      <c r="B62" s="48" t="s">
        <v>108</v>
      </c>
      <c r="C62" s="54" t="s">
        <v>12</v>
      </c>
      <c r="D62" s="55">
        <v>39682.333333333336</v>
      </c>
      <c r="E62" s="55">
        <v>39765.708333333336</v>
      </c>
      <c r="F62" s="48"/>
      <c r="G62" s="48" t="s">
        <v>158</v>
      </c>
      <c r="H62" s="54"/>
      <c r="I62" s="48">
        <v>40</v>
      </c>
      <c r="J62" s="48">
        <v>40</v>
      </c>
      <c r="K62" s="48"/>
      <c r="L62" s="48"/>
      <c r="M62" s="48"/>
      <c r="P62" s="48"/>
      <c r="Q62" s="48"/>
      <c r="R62" s="68"/>
    </row>
    <row r="63" spans="1:18" ht="12">
      <c r="A63" s="67" t="s">
        <v>109</v>
      </c>
      <c r="B63" s="48" t="s">
        <v>110</v>
      </c>
      <c r="C63" s="54" t="s">
        <v>21</v>
      </c>
      <c r="D63" s="55">
        <v>39766.333333333336</v>
      </c>
      <c r="E63" s="55">
        <v>39785.708333333336</v>
      </c>
      <c r="F63" s="48"/>
      <c r="G63" s="48" t="s">
        <v>111</v>
      </c>
      <c r="H63" s="54"/>
      <c r="I63" s="48">
        <v>40</v>
      </c>
      <c r="J63" s="48">
        <v>20</v>
      </c>
      <c r="K63" s="48"/>
      <c r="L63" s="48"/>
      <c r="M63" s="48"/>
      <c r="P63" s="48"/>
      <c r="Q63" s="48"/>
      <c r="R63" s="68"/>
    </row>
    <row r="64" spans="1:18" ht="12">
      <c r="A64" s="67" t="s">
        <v>112</v>
      </c>
      <c r="B64" s="48" t="s">
        <v>113</v>
      </c>
      <c r="C64" s="54" t="s">
        <v>8</v>
      </c>
      <c r="D64" s="55">
        <v>39426.333333333336</v>
      </c>
      <c r="E64" s="55">
        <v>39465.708333333336</v>
      </c>
      <c r="F64" s="48"/>
      <c r="G64" s="48" t="s">
        <v>26</v>
      </c>
      <c r="H64" s="54"/>
      <c r="I64" s="48">
        <v>40</v>
      </c>
      <c r="J64" s="48"/>
      <c r="K64" s="48"/>
      <c r="L64" s="48"/>
      <c r="M64" s="48"/>
      <c r="P64" s="48"/>
      <c r="Q64" s="48"/>
      <c r="R64" s="68"/>
    </row>
    <row r="65" spans="1:18" ht="12">
      <c r="A65" s="67" t="s">
        <v>114</v>
      </c>
      <c r="B65" s="48" t="s">
        <v>115</v>
      </c>
      <c r="C65" s="54" t="s">
        <v>12</v>
      </c>
      <c r="D65" s="55">
        <v>39468.333333333336</v>
      </c>
      <c r="E65" s="55">
        <v>39549.708333333336</v>
      </c>
      <c r="F65" s="48"/>
      <c r="G65" s="48" t="s">
        <v>116</v>
      </c>
      <c r="H65" s="54"/>
      <c r="I65" s="48">
        <v>20</v>
      </c>
      <c r="J65" s="48"/>
      <c r="K65" s="48"/>
      <c r="L65" s="48"/>
      <c r="M65" s="48"/>
      <c r="P65" s="48"/>
      <c r="Q65" s="48"/>
      <c r="R65" s="68"/>
    </row>
    <row r="66" spans="1:18" ht="12">
      <c r="A66" s="67" t="s">
        <v>117</v>
      </c>
      <c r="B66" s="48" t="s">
        <v>118</v>
      </c>
      <c r="C66" s="54" t="s">
        <v>12</v>
      </c>
      <c r="D66" s="55">
        <v>39552.333333333336</v>
      </c>
      <c r="E66" s="55">
        <v>39633.708333333336</v>
      </c>
      <c r="F66" s="48"/>
      <c r="G66" s="48" t="s">
        <v>119</v>
      </c>
      <c r="H66" s="54"/>
      <c r="I66" s="48">
        <v>20</v>
      </c>
      <c r="J66" s="48"/>
      <c r="K66" s="48"/>
      <c r="L66" s="48"/>
      <c r="M66" s="48"/>
      <c r="O66" s="48">
        <v>6</v>
      </c>
      <c r="P66" s="48">
        <v>5</v>
      </c>
      <c r="Q66" s="48">
        <v>1</v>
      </c>
      <c r="R66" s="68"/>
    </row>
    <row r="67" spans="1:18" ht="12">
      <c r="A67" s="67" t="s">
        <v>120</v>
      </c>
      <c r="B67" s="48" t="s">
        <v>105</v>
      </c>
      <c r="C67" s="54" t="s">
        <v>8</v>
      </c>
      <c r="D67" s="55">
        <v>39636.333333333336</v>
      </c>
      <c r="E67" s="55">
        <v>39675.708333333336</v>
      </c>
      <c r="F67" s="48"/>
      <c r="G67" s="48" t="s">
        <v>37</v>
      </c>
      <c r="H67" s="54"/>
      <c r="I67" s="48">
        <v>120</v>
      </c>
      <c r="J67" s="48"/>
      <c r="K67" s="48"/>
      <c r="L67" s="48"/>
      <c r="M67" s="48"/>
      <c r="P67" s="48"/>
      <c r="Q67" s="48"/>
      <c r="R67" s="68"/>
    </row>
    <row r="68" spans="1:18" ht="12">
      <c r="A68" s="67" t="s">
        <v>121</v>
      </c>
      <c r="B68" s="48" t="s">
        <v>122</v>
      </c>
      <c r="C68" s="54" t="s">
        <v>12</v>
      </c>
      <c r="D68" s="55">
        <v>39678.333333333336</v>
      </c>
      <c r="E68" s="55">
        <v>39759.708333333336</v>
      </c>
      <c r="F68" s="48"/>
      <c r="G68" s="48" t="s">
        <v>159</v>
      </c>
      <c r="H68" s="54"/>
      <c r="I68" s="48">
        <v>20</v>
      </c>
      <c r="J68" s="48">
        <v>20</v>
      </c>
      <c r="K68" s="48"/>
      <c r="L68" s="48">
        <v>24</v>
      </c>
      <c r="M68" s="48"/>
      <c r="P68" s="48"/>
      <c r="Q68" s="48"/>
      <c r="R68" s="68"/>
    </row>
    <row r="69" spans="1:18" ht="12.75" thickBot="1">
      <c r="A69" s="69" t="s">
        <v>123</v>
      </c>
      <c r="B69" s="56" t="s">
        <v>124</v>
      </c>
      <c r="C69" s="57" t="s">
        <v>21</v>
      </c>
      <c r="D69" s="58">
        <v>39762.333333333336</v>
      </c>
      <c r="E69" s="58">
        <v>39779.708333333336</v>
      </c>
      <c r="F69" s="56"/>
      <c r="G69" s="56" t="s">
        <v>125</v>
      </c>
      <c r="H69" s="57"/>
      <c r="I69" s="56">
        <v>20</v>
      </c>
      <c r="J69" s="56"/>
      <c r="K69" s="56"/>
      <c r="L69" s="56"/>
      <c r="M69" s="56"/>
      <c r="N69" s="56"/>
      <c r="O69" s="56"/>
      <c r="P69" s="56"/>
      <c r="Q69" s="56"/>
      <c r="R69" s="70"/>
    </row>
    <row r="70" spans="3:22" ht="12.75" thickBot="1">
      <c r="C70" s="43"/>
      <c r="D70" s="51"/>
      <c r="E70" s="51"/>
      <c r="I70" s="41">
        <f>SUM(I56:I69)*I$9</f>
        <v>109740</v>
      </c>
      <c r="J70" s="41">
        <f aca="true" t="shared" si="4" ref="J70:R70">SUM(J56:J69)*J$9</f>
        <v>6560</v>
      </c>
      <c r="K70" s="41">
        <f t="shared" si="4"/>
        <v>0</v>
      </c>
      <c r="L70" s="41">
        <f t="shared" si="4"/>
        <v>2928</v>
      </c>
      <c r="M70" s="41">
        <f t="shared" si="4"/>
        <v>0</v>
      </c>
      <c r="N70" s="41">
        <f t="shared" si="4"/>
        <v>0</v>
      </c>
      <c r="O70" s="41">
        <f t="shared" si="4"/>
        <v>15600</v>
      </c>
      <c r="P70" s="41">
        <f t="shared" si="4"/>
        <v>15600</v>
      </c>
      <c r="Q70" s="41">
        <f t="shared" si="4"/>
        <v>2600</v>
      </c>
      <c r="R70" s="41">
        <f t="shared" si="4"/>
        <v>0</v>
      </c>
      <c r="S70" s="80">
        <f>SUM(I70:R70)</f>
        <v>153028</v>
      </c>
      <c r="T70" s="80">
        <v>91000</v>
      </c>
      <c r="U70" s="81">
        <f>+S70-T70</f>
        <v>62028</v>
      </c>
      <c r="V70" s="82">
        <f>+U70/T70</f>
        <v>0.6816263736263736</v>
      </c>
    </row>
    <row r="71" spans="1:18" ht="12">
      <c r="A71" s="61" t="s">
        <v>126</v>
      </c>
      <c r="B71" s="62" t="s">
        <v>127</v>
      </c>
      <c r="C71" s="63"/>
      <c r="D71" s="71"/>
      <c r="E71" s="71"/>
      <c r="F71" s="65"/>
      <c r="G71" s="65"/>
      <c r="H71" s="63"/>
      <c r="I71" s="65"/>
      <c r="J71" s="65"/>
      <c r="K71" s="65"/>
      <c r="L71" s="65"/>
      <c r="M71" s="65"/>
      <c r="N71" s="65"/>
      <c r="O71" s="65"/>
      <c r="P71" s="65"/>
      <c r="Q71" s="65"/>
      <c r="R71" s="66"/>
    </row>
    <row r="72" spans="1:18" ht="12">
      <c r="A72" s="67" t="s">
        <v>128</v>
      </c>
      <c r="B72" s="48" t="s">
        <v>129</v>
      </c>
      <c r="C72" s="54" t="s">
        <v>12</v>
      </c>
      <c r="D72" s="55">
        <v>39419.333333333336</v>
      </c>
      <c r="E72" s="55">
        <v>39500.708333333336</v>
      </c>
      <c r="F72" s="48"/>
      <c r="G72" s="48" t="s">
        <v>26</v>
      </c>
      <c r="H72" s="54"/>
      <c r="I72" s="48">
        <v>40</v>
      </c>
      <c r="J72" s="48"/>
      <c r="K72" s="48"/>
      <c r="L72" s="48"/>
      <c r="M72" s="48"/>
      <c r="P72" s="48"/>
      <c r="Q72" s="48"/>
      <c r="R72" s="68"/>
    </row>
    <row r="73" spans="1:18" ht="12">
      <c r="A73" s="67" t="s">
        <v>130</v>
      </c>
      <c r="B73" s="48" t="s">
        <v>131</v>
      </c>
      <c r="C73" s="54" t="s">
        <v>8</v>
      </c>
      <c r="D73" s="55">
        <v>39503.333333333336</v>
      </c>
      <c r="E73" s="55">
        <v>39542.708333333336</v>
      </c>
      <c r="F73" s="48"/>
      <c r="G73" s="48" t="s">
        <v>26</v>
      </c>
      <c r="H73" s="54"/>
      <c r="I73" s="48">
        <v>40</v>
      </c>
      <c r="J73" s="48"/>
      <c r="K73" s="48"/>
      <c r="L73" s="48"/>
      <c r="M73" s="48"/>
      <c r="P73" s="48"/>
      <c r="Q73" s="48"/>
      <c r="R73" s="68"/>
    </row>
    <row r="74" spans="1:18" ht="12">
      <c r="A74" s="67" t="s">
        <v>132</v>
      </c>
      <c r="B74" s="48" t="s">
        <v>133</v>
      </c>
      <c r="C74" s="54" t="s">
        <v>12</v>
      </c>
      <c r="D74" s="55">
        <v>39545.333333333336</v>
      </c>
      <c r="E74" s="55">
        <v>39626.708333333336</v>
      </c>
      <c r="F74" s="48"/>
      <c r="G74" s="48" t="s">
        <v>134</v>
      </c>
      <c r="H74" s="54"/>
      <c r="I74" s="48">
        <v>80</v>
      </c>
      <c r="J74" s="48"/>
      <c r="K74" s="48"/>
      <c r="L74" s="48"/>
      <c r="M74" s="48"/>
      <c r="O74" s="48" t="s">
        <v>198</v>
      </c>
      <c r="P74" s="48">
        <v>2</v>
      </c>
      <c r="Q74" s="48"/>
      <c r="R74" s="68">
        <v>2</v>
      </c>
    </row>
    <row r="75" spans="1:18" ht="12">
      <c r="A75" s="67" t="s">
        <v>135</v>
      </c>
      <c r="B75" s="48" t="s">
        <v>11</v>
      </c>
      <c r="C75" s="54" t="s">
        <v>8</v>
      </c>
      <c r="D75" s="55">
        <v>39545.333333333336</v>
      </c>
      <c r="E75" s="55">
        <v>39584.708333333336</v>
      </c>
      <c r="F75" s="48"/>
      <c r="G75" s="48" t="s">
        <v>136</v>
      </c>
      <c r="H75" s="54"/>
      <c r="I75" s="48">
        <v>140</v>
      </c>
      <c r="J75" s="48"/>
      <c r="K75" s="48"/>
      <c r="L75" s="48"/>
      <c r="M75" s="48"/>
      <c r="P75" s="48"/>
      <c r="Q75" s="48"/>
      <c r="R75" s="68"/>
    </row>
    <row r="76" spans="1:18" ht="12">
      <c r="A76" s="67" t="s">
        <v>135</v>
      </c>
      <c r="B76" s="48" t="s">
        <v>14</v>
      </c>
      <c r="C76" s="54" t="s">
        <v>12</v>
      </c>
      <c r="D76" s="55">
        <v>39587.333333333336</v>
      </c>
      <c r="E76" s="55">
        <v>39668.708333333336</v>
      </c>
      <c r="F76" s="48"/>
      <c r="G76" s="48" t="s">
        <v>137</v>
      </c>
      <c r="H76" s="54"/>
      <c r="I76" s="48">
        <v>40</v>
      </c>
      <c r="J76" s="48"/>
      <c r="K76" s="48"/>
      <c r="L76" s="48"/>
      <c r="M76" s="48"/>
      <c r="O76" s="48">
        <v>20</v>
      </c>
      <c r="P76" s="48">
        <v>12</v>
      </c>
      <c r="Q76" s="48">
        <v>8</v>
      </c>
      <c r="R76" s="68"/>
    </row>
    <row r="77" spans="1:18" ht="12">
      <c r="A77" s="67" t="s">
        <v>138</v>
      </c>
      <c r="B77" s="48" t="s">
        <v>139</v>
      </c>
      <c r="C77" s="54" t="s">
        <v>18</v>
      </c>
      <c r="D77" s="55">
        <v>39671.333333333336</v>
      </c>
      <c r="E77" s="55">
        <v>39794.708333333336</v>
      </c>
      <c r="F77" s="48"/>
      <c r="G77" s="48" t="s">
        <v>37</v>
      </c>
      <c r="H77" s="54"/>
      <c r="I77" s="48">
        <v>120</v>
      </c>
      <c r="J77" s="48"/>
      <c r="K77" s="48"/>
      <c r="L77" s="48"/>
      <c r="M77" s="48"/>
      <c r="P77" s="48"/>
      <c r="Q77" s="48"/>
      <c r="R77" s="68"/>
    </row>
    <row r="78" spans="1:18" ht="24">
      <c r="A78" s="67" t="s">
        <v>140</v>
      </c>
      <c r="B78" s="48" t="s">
        <v>17</v>
      </c>
      <c r="C78" s="54" t="s">
        <v>141</v>
      </c>
      <c r="D78" s="55">
        <v>39671.333333333336</v>
      </c>
      <c r="E78" s="55">
        <v>39766.708333333336</v>
      </c>
      <c r="F78" s="48"/>
      <c r="G78" s="48" t="s">
        <v>160</v>
      </c>
      <c r="H78" s="54"/>
      <c r="I78" s="48">
        <v>60</v>
      </c>
      <c r="J78" s="48">
        <v>80</v>
      </c>
      <c r="K78" s="48">
        <v>480</v>
      </c>
      <c r="L78" s="48">
        <v>240</v>
      </c>
      <c r="M78" s="48"/>
      <c r="P78" s="48"/>
      <c r="Q78" s="48"/>
      <c r="R78" s="68"/>
    </row>
    <row r="79" spans="1:18" ht="12.75" thickBot="1">
      <c r="A79" s="69" t="s">
        <v>142</v>
      </c>
      <c r="B79" s="56" t="s">
        <v>20</v>
      </c>
      <c r="C79" s="57" t="s">
        <v>8</v>
      </c>
      <c r="D79" s="58">
        <v>39769.333333333336</v>
      </c>
      <c r="E79" s="58">
        <v>39808.708333333336</v>
      </c>
      <c r="F79" s="56"/>
      <c r="G79" s="56" t="s">
        <v>143</v>
      </c>
      <c r="H79" s="57"/>
      <c r="I79" s="56">
        <v>80</v>
      </c>
      <c r="J79" s="56">
        <v>40</v>
      </c>
      <c r="K79" s="56"/>
      <c r="L79" s="56"/>
      <c r="M79" s="56"/>
      <c r="N79" s="56"/>
      <c r="O79" s="56"/>
      <c r="P79" s="56"/>
      <c r="Q79" s="56"/>
      <c r="R79" s="70"/>
    </row>
    <row r="80" spans="3:22" ht="12.75" thickBot="1">
      <c r="C80" s="43"/>
      <c r="D80" s="51"/>
      <c r="E80" s="51"/>
      <c r="I80" s="41">
        <f>SUM(I72:I79)*I$9</f>
        <v>106200</v>
      </c>
      <c r="J80" s="41">
        <f aca="true" t="shared" si="5" ref="J80:R80">SUM(J72:J79)*J$9</f>
        <v>9840</v>
      </c>
      <c r="K80" s="41">
        <f t="shared" si="5"/>
        <v>39360</v>
      </c>
      <c r="L80" s="41">
        <f t="shared" si="5"/>
        <v>29280</v>
      </c>
      <c r="M80" s="41">
        <f t="shared" si="5"/>
        <v>0</v>
      </c>
      <c r="N80" s="41">
        <f t="shared" si="5"/>
        <v>0</v>
      </c>
      <c r="O80" s="41">
        <f t="shared" si="5"/>
        <v>26000</v>
      </c>
      <c r="P80" s="41">
        <f t="shared" si="5"/>
        <v>18200</v>
      </c>
      <c r="Q80" s="41">
        <f t="shared" si="5"/>
        <v>10400</v>
      </c>
      <c r="R80" s="41">
        <f t="shared" si="5"/>
        <v>0</v>
      </c>
      <c r="S80" s="76">
        <f>SUM(I80:R80)</f>
        <v>239280</v>
      </c>
      <c r="T80" s="76">
        <v>125000</v>
      </c>
      <c r="U80" s="77">
        <f>+S80-T80</f>
        <v>114280</v>
      </c>
      <c r="V80" s="79">
        <f>+U80/T80</f>
        <v>0.91424</v>
      </c>
    </row>
    <row r="81" spans="1:18" ht="12">
      <c r="A81" s="61" t="s">
        <v>144</v>
      </c>
      <c r="B81" s="62" t="s">
        <v>145</v>
      </c>
      <c r="C81" s="63" t="s">
        <v>239</v>
      </c>
      <c r="D81" s="71"/>
      <c r="E81" s="71"/>
      <c r="F81" s="65"/>
      <c r="G81" s="65"/>
      <c r="H81" s="63"/>
      <c r="I81" s="65"/>
      <c r="J81" s="65"/>
      <c r="K81" s="65"/>
      <c r="L81" s="65"/>
      <c r="M81" s="65"/>
      <c r="N81" s="65"/>
      <c r="O81" s="65"/>
      <c r="P81" s="65"/>
      <c r="Q81" s="65"/>
      <c r="R81" s="66"/>
    </row>
    <row r="82" spans="1:18" ht="12">
      <c r="A82" s="67"/>
      <c r="B82" s="48"/>
      <c r="C82" s="54"/>
      <c r="D82" s="55"/>
      <c r="E82" s="55"/>
      <c r="F82" s="48"/>
      <c r="G82" s="48"/>
      <c r="H82" s="54"/>
      <c r="I82" s="48"/>
      <c r="J82" s="48"/>
      <c r="K82" s="48"/>
      <c r="L82" s="48"/>
      <c r="M82" s="48"/>
      <c r="P82" s="48"/>
      <c r="Q82" s="48"/>
      <c r="R82" s="68"/>
    </row>
    <row r="83" spans="1:18" ht="12">
      <c r="A83" s="67" t="s">
        <v>146</v>
      </c>
      <c r="B83" s="49" t="s">
        <v>147</v>
      </c>
      <c r="C83" s="54" t="s">
        <v>148</v>
      </c>
      <c r="D83" s="55">
        <v>39174.333333333336</v>
      </c>
      <c r="E83" s="55">
        <v>39353.708333333336</v>
      </c>
      <c r="F83" s="48"/>
      <c r="G83" s="48" t="s">
        <v>116</v>
      </c>
      <c r="H83" s="54"/>
      <c r="I83" s="48">
        <v>120</v>
      </c>
      <c r="J83" s="48"/>
      <c r="K83" s="48"/>
      <c r="L83" s="48"/>
      <c r="M83" s="48"/>
      <c r="P83" s="48"/>
      <c r="Q83" s="48"/>
      <c r="R83" s="68"/>
    </row>
    <row r="84" spans="1:18" ht="12">
      <c r="A84" s="67" t="s">
        <v>149</v>
      </c>
      <c r="B84" s="49" t="s">
        <v>150</v>
      </c>
      <c r="C84" s="54" t="s">
        <v>151</v>
      </c>
      <c r="D84" s="55">
        <v>39356.333333333336</v>
      </c>
      <c r="E84" s="55">
        <v>39721.708333333336</v>
      </c>
      <c r="F84" s="48"/>
      <c r="G84" s="48" t="s">
        <v>37</v>
      </c>
      <c r="H84" s="54"/>
      <c r="I84" s="48">
        <v>120</v>
      </c>
      <c r="J84" s="48"/>
      <c r="K84" s="48"/>
      <c r="L84" s="48"/>
      <c r="M84" s="48"/>
      <c r="P84" s="48"/>
      <c r="Q84" s="48"/>
      <c r="R84" s="68"/>
    </row>
    <row r="85" spans="1:18" ht="12.75" thickBot="1">
      <c r="A85" s="69" t="s">
        <v>152</v>
      </c>
      <c r="B85" s="59" t="s">
        <v>153</v>
      </c>
      <c r="C85" s="57" t="s">
        <v>154</v>
      </c>
      <c r="D85" s="58">
        <v>39722.333333333336</v>
      </c>
      <c r="E85" s="58">
        <v>40025.708333333336</v>
      </c>
      <c r="F85" s="56"/>
      <c r="G85" s="56" t="s">
        <v>37</v>
      </c>
      <c r="H85" s="57"/>
      <c r="I85" s="56">
        <v>120</v>
      </c>
      <c r="J85" s="56"/>
      <c r="K85" s="56"/>
      <c r="L85" s="56"/>
      <c r="M85" s="56"/>
      <c r="N85" s="56"/>
      <c r="O85" s="56"/>
      <c r="P85" s="56"/>
      <c r="Q85" s="56"/>
      <c r="R85" s="70"/>
    </row>
    <row r="86" spans="3:22" ht="12">
      <c r="C86" s="43"/>
      <c r="D86" s="46"/>
      <c r="E86" s="46"/>
      <c r="I86" s="41">
        <f>SUM(I82:I85)*I$9</f>
        <v>63720</v>
      </c>
      <c r="J86" s="41">
        <f aca="true" t="shared" si="6" ref="J86:R86">SUM(J82:J85)*J$9</f>
        <v>0</v>
      </c>
      <c r="K86" s="41">
        <f t="shared" si="6"/>
        <v>0</v>
      </c>
      <c r="L86" s="41">
        <f t="shared" si="6"/>
        <v>0</v>
      </c>
      <c r="M86" s="41">
        <f t="shared" si="6"/>
        <v>0</v>
      </c>
      <c r="N86" s="41">
        <f t="shared" si="6"/>
        <v>0</v>
      </c>
      <c r="O86" s="41">
        <f t="shared" si="6"/>
        <v>0</v>
      </c>
      <c r="P86" s="41">
        <f t="shared" si="6"/>
        <v>0</v>
      </c>
      <c r="Q86" s="41">
        <f t="shared" si="6"/>
        <v>0</v>
      </c>
      <c r="R86" s="41">
        <f t="shared" si="6"/>
        <v>0</v>
      </c>
      <c r="S86" s="52">
        <f>SUM(I86:R86)</f>
        <v>63720</v>
      </c>
      <c r="T86" s="52">
        <v>58000</v>
      </c>
      <c r="U86" s="73">
        <f>+S86-T86</f>
        <v>5720</v>
      </c>
      <c r="V86" s="78">
        <f>+U86/T86</f>
        <v>0.09862068965517241</v>
      </c>
    </row>
    <row r="87" spans="3:20" ht="12">
      <c r="C87" s="43"/>
      <c r="D87" s="46"/>
      <c r="E87" s="46"/>
      <c r="G87" s="39" t="s">
        <v>243</v>
      </c>
      <c r="H87" s="40"/>
      <c r="I87" s="83">
        <f>SUM(I82:I85,I72:I79,I57:I69,I44:I54,I31:I41,I19:I28,I12:I16)</f>
        <v>3740</v>
      </c>
      <c r="J87" s="84">
        <f aca="true" t="shared" si="7" ref="J87:R87">SUM(J82:J85,J72:J79,J57:J69,J44:J54,J31:J41,J19:J28,J12:J16)</f>
        <v>700</v>
      </c>
      <c r="K87" s="84">
        <f t="shared" si="7"/>
        <v>1330</v>
      </c>
      <c r="L87" s="84">
        <f t="shared" si="7"/>
        <v>664</v>
      </c>
      <c r="M87" s="84">
        <f t="shared" si="7"/>
        <v>260</v>
      </c>
      <c r="N87" s="84">
        <f t="shared" si="7"/>
        <v>120</v>
      </c>
      <c r="O87" s="84">
        <f t="shared" si="7"/>
        <v>108</v>
      </c>
      <c r="P87" s="84">
        <f t="shared" si="7"/>
        <v>72</v>
      </c>
      <c r="Q87" s="84">
        <f t="shared" si="7"/>
        <v>23</v>
      </c>
      <c r="R87" s="85">
        <f t="shared" si="7"/>
        <v>4</v>
      </c>
      <c r="S87" s="52">
        <f>SUM(S15:S85)</f>
        <v>1165488</v>
      </c>
      <c r="T87" s="52">
        <f>SUM(T15:T86)</f>
        <v>786500</v>
      </c>
    </row>
    <row r="88" spans="9:18" ht="12">
      <c r="I88" s="86" t="s">
        <v>245</v>
      </c>
      <c r="J88" s="87" t="s">
        <v>245</v>
      </c>
      <c r="K88" s="87" t="s">
        <v>245</v>
      </c>
      <c r="L88" s="87" t="s">
        <v>245</v>
      </c>
      <c r="M88" s="87" t="s">
        <v>245</v>
      </c>
      <c r="N88" s="87" t="s">
        <v>245</v>
      </c>
      <c r="O88" s="87" t="s">
        <v>244</v>
      </c>
      <c r="P88" s="87" t="s">
        <v>244</v>
      </c>
      <c r="Q88" s="87" t="s">
        <v>244</v>
      </c>
      <c r="R88" s="88" t="s">
        <v>244</v>
      </c>
    </row>
    <row r="89" spans="4:15" ht="12">
      <c r="D89" s="53" t="s">
        <v>249</v>
      </c>
      <c r="E89" s="52">
        <v>1175</v>
      </c>
      <c r="N89" s="41"/>
      <c r="O89" s="41"/>
    </row>
    <row r="90" spans="4:5" ht="12">
      <c r="D90" s="53" t="s">
        <v>250</v>
      </c>
      <c r="E90" s="52">
        <v>787</v>
      </c>
    </row>
    <row r="91" spans="4:5" ht="12">
      <c r="D91" s="53" t="s">
        <v>251</v>
      </c>
      <c r="E91" s="52">
        <f>+E89-E90</f>
        <v>388</v>
      </c>
    </row>
  </sheetData>
  <printOptions gridLines="1"/>
  <pageMargins left="0.95" right="0.17" top="0.3" bottom="0.34" header="0.26" footer="0.17"/>
  <pageSetup fitToHeight="2" fitToWidth="1" horizontalDpi="600" verticalDpi="600" orientation="landscape" scale="94" r:id="rId1"/>
  <headerFooter alignWithMargins="0">
    <oddFooter>&amp;L&amp;F&amp;C&amp;A    page &amp;P of &amp;N&amp;R&amp;D&amp;T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6.7109375" style="10" customWidth="1"/>
    <col min="2" max="2" width="6.421875" style="10" customWidth="1"/>
    <col min="3" max="3" width="9.140625" style="33" customWidth="1"/>
    <col min="4" max="4" width="9.140625" style="34" customWidth="1"/>
    <col min="5" max="5" width="60.00390625" style="21" customWidth="1"/>
    <col min="6" max="6" width="12.8515625" style="22" bestFit="1" customWidth="1"/>
    <col min="7" max="7" width="9.140625" style="23" customWidth="1"/>
    <col min="8" max="8" width="12.28125" style="22" bestFit="1" customWidth="1"/>
    <col min="9" max="9" width="14.00390625" style="8" bestFit="1" customWidth="1"/>
    <col min="10" max="10" width="9.28125" style="21" bestFit="1" customWidth="1"/>
    <col min="11" max="16384" width="9.140625" style="21" customWidth="1"/>
  </cols>
  <sheetData>
    <row r="1" spans="1:10" s="5" customFormat="1" ht="18">
      <c r="A1" s="2"/>
      <c r="B1" s="2"/>
      <c r="C1" s="3"/>
      <c r="D1" s="4" t="s">
        <v>169</v>
      </c>
      <c r="F1" s="6" t="s">
        <v>170</v>
      </c>
      <c r="G1" s="7" t="s">
        <v>171</v>
      </c>
      <c r="H1" s="6" t="s">
        <v>246</v>
      </c>
      <c r="I1" s="8" t="s">
        <v>173</v>
      </c>
      <c r="J1" s="9" t="s">
        <v>174</v>
      </c>
    </row>
    <row r="2" spans="1:10" s="10" customFormat="1" ht="12.75">
      <c r="A2" s="10" t="s">
        <v>175</v>
      </c>
      <c r="C2" s="11"/>
      <c r="D2" s="12"/>
      <c r="F2" s="6">
        <v>155</v>
      </c>
      <c r="G2" s="13">
        <v>90</v>
      </c>
      <c r="H2" s="6">
        <v>117</v>
      </c>
      <c r="I2" s="8">
        <v>1.32</v>
      </c>
      <c r="J2" s="9">
        <v>92.6</v>
      </c>
    </row>
    <row r="3" spans="3:9" s="10" customFormat="1" ht="15">
      <c r="C3" s="11" t="s">
        <v>176</v>
      </c>
      <c r="D3" s="12"/>
      <c r="F3" s="14" t="s">
        <v>177</v>
      </c>
      <c r="G3" s="15" t="s">
        <v>178</v>
      </c>
      <c r="H3" s="14" t="s">
        <v>179</v>
      </c>
      <c r="I3" s="16" t="s">
        <v>180</v>
      </c>
    </row>
    <row r="4" spans="1:4" ht="12.75">
      <c r="A4" s="17" t="s">
        <v>181</v>
      </c>
      <c r="B4" s="18"/>
      <c r="C4" s="19"/>
      <c r="D4" s="20"/>
    </row>
    <row r="5" spans="1:8" ht="12.75">
      <c r="A5" s="24" t="s">
        <v>170</v>
      </c>
      <c r="B5" s="25">
        <v>160</v>
      </c>
      <c r="C5" s="26"/>
      <c r="D5" s="27"/>
      <c r="F5" s="22">
        <f>+B5*ecem</f>
        <v>24800</v>
      </c>
      <c r="G5" s="23">
        <v>0.08</v>
      </c>
      <c r="H5" s="22">
        <f>+F5*(1+G5)</f>
        <v>26784</v>
      </c>
    </row>
    <row r="6" spans="1:8" ht="12.75">
      <c r="A6" s="24" t="s">
        <v>174</v>
      </c>
      <c r="B6" s="25">
        <v>20</v>
      </c>
      <c r="C6" s="26"/>
      <c r="D6" s="27"/>
      <c r="F6" s="22">
        <f>+B6*ectb</f>
        <v>1852</v>
      </c>
      <c r="G6" s="23">
        <v>0.08</v>
      </c>
      <c r="H6" s="22">
        <f aca="true" t="shared" si="0" ref="H6:H15">+F6*(1+G6)</f>
        <v>2000.16</v>
      </c>
    </row>
    <row r="7" spans="1:8" ht="12.75">
      <c r="A7" s="24" t="s">
        <v>171</v>
      </c>
      <c r="B7" s="25">
        <v>490</v>
      </c>
      <c r="C7" s="26"/>
      <c r="D7" s="27"/>
      <c r="F7" s="22">
        <f>+B7*emtb</f>
        <v>44100</v>
      </c>
      <c r="G7" s="23">
        <v>0.08</v>
      </c>
      <c r="H7" s="22">
        <f>+F7*(1+G7)</f>
        <v>47628</v>
      </c>
    </row>
    <row r="8" spans="1:8" ht="12.75">
      <c r="A8" s="24" t="s">
        <v>172</v>
      </c>
      <c r="B8" s="25">
        <v>240</v>
      </c>
      <c r="C8" s="26"/>
      <c r="D8" s="27"/>
      <c r="F8" s="22">
        <f>+B8*easm</f>
        <v>28080</v>
      </c>
      <c r="G8" s="23">
        <v>0.08</v>
      </c>
      <c r="H8" s="22">
        <f t="shared" si="0"/>
        <v>30326.4</v>
      </c>
    </row>
    <row r="9" spans="1:8" ht="12.75">
      <c r="A9" s="24"/>
      <c r="B9" s="25"/>
      <c r="C9" s="26">
        <v>15</v>
      </c>
      <c r="D9" s="27"/>
      <c r="E9" s="28" t="s">
        <v>252</v>
      </c>
      <c r="F9" s="22">
        <f aca="true" t="shared" si="1" ref="F9:F15">+C9*1000*ms</f>
        <v>19800</v>
      </c>
      <c r="G9" s="23">
        <v>0.08</v>
      </c>
      <c r="H9" s="22">
        <f t="shared" si="0"/>
        <v>21384</v>
      </c>
    </row>
    <row r="10" spans="1:8" ht="12.75">
      <c r="A10" s="24"/>
      <c r="B10" s="25"/>
      <c r="C10" s="26">
        <v>5</v>
      </c>
      <c r="D10" s="27"/>
      <c r="E10" s="28" t="s">
        <v>183</v>
      </c>
      <c r="F10" s="22">
        <f t="shared" si="1"/>
        <v>6600</v>
      </c>
      <c r="G10" s="23">
        <v>0.08</v>
      </c>
      <c r="H10" s="22">
        <f t="shared" si="0"/>
        <v>7128.000000000001</v>
      </c>
    </row>
    <row r="11" spans="1:8" ht="12.75">
      <c r="A11" s="24"/>
      <c r="B11" s="25"/>
      <c r="C11" s="26">
        <v>1.8</v>
      </c>
      <c r="D11" s="27"/>
      <c r="E11" s="28" t="s">
        <v>184</v>
      </c>
      <c r="F11" s="22">
        <f>+C11*1000*ms</f>
        <v>2376</v>
      </c>
      <c r="G11" s="23">
        <v>0.08</v>
      </c>
      <c r="H11" s="22">
        <f>+F11*(1+G11)</f>
        <v>2566.0800000000004</v>
      </c>
    </row>
    <row r="12" spans="1:8" ht="12.75">
      <c r="A12" s="24"/>
      <c r="B12" s="25"/>
      <c r="C12" s="26">
        <v>7</v>
      </c>
      <c r="D12" s="27"/>
      <c r="E12" s="1" t="s">
        <v>185</v>
      </c>
      <c r="F12" s="22">
        <f t="shared" si="1"/>
        <v>9240</v>
      </c>
      <c r="G12" s="23">
        <v>0.08</v>
      </c>
      <c r="H12" s="22">
        <f t="shared" si="0"/>
        <v>9979.2</v>
      </c>
    </row>
    <row r="13" spans="1:8" ht="12.75">
      <c r="A13" s="24"/>
      <c r="B13" s="25"/>
      <c r="C13" s="26">
        <v>5</v>
      </c>
      <c r="D13" s="27"/>
      <c r="E13" s="1" t="s">
        <v>186</v>
      </c>
      <c r="F13" s="22">
        <f t="shared" si="1"/>
        <v>6600</v>
      </c>
      <c r="G13" s="23">
        <v>0.08</v>
      </c>
      <c r="H13" s="22">
        <f t="shared" si="0"/>
        <v>7128.000000000001</v>
      </c>
    </row>
    <row r="14" spans="1:8" ht="12.75">
      <c r="A14" s="24"/>
      <c r="B14" s="25"/>
      <c r="C14" s="26">
        <v>10</v>
      </c>
      <c r="D14" s="27"/>
      <c r="E14" s="21" t="s">
        <v>187</v>
      </c>
      <c r="F14" s="22">
        <f t="shared" si="1"/>
        <v>13200</v>
      </c>
      <c r="G14" s="23">
        <v>0.08</v>
      </c>
      <c r="H14" s="22">
        <f t="shared" si="0"/>
        <v>14256.000000000002</v>
      </c>
    </row>
    <row r="15" spans="1:8" ht="12.75">
      <c r="A15" s="24"/>
      <c r="B15" s="25"/>
      <c r="C15" s="26"/>
      <c r="D15" s="27">
        <v>0</v>
      </c>
      <c r="E15" s="21" t="s">
        <v>188</v>
      </c>
      <c r="F15" s="22">
        <f t="shared" si="1"/>
        <v>0</v>
      </c>
      <c r="G15" s="23">
        <v>0.08</v>
      </c>
      <c r="H15" s="22">
        <f t="shared" si="0"/>
        <v>0</v>
      </c>
    </row>
    <row r="16" spans="1:9" ht="12.75">
      <c r="A16" s="29" t="s">
        <v>189</v>
      </c>
      <c r="B16" s="30"/>
      <c r="C16" s="31">
        <f>SUM(C9:C15)</f>
        <v>43.8</v>
      </c>
      <c r="D16" s="32"/>
      <c r="F16" s="22">
        <f>SUM(F5:F15)</f>
        <v>156648</v>
      </c>
      <c r="H16" s="22">
        <f>SUM(H5:H15)</f>
        <v>169179.84</v>
      </c>
      <c r="I16" s="8">
        <v>752000</v>
      </c>
    </row>
    <row r="17" ht="3" customHeight="1"/>
    <row r="18" spans="1:4" ht="12.75">
      <c r="A18" s="17" t="s">
        <v>190</v>
      </c>
      <c r="B18" s="18"/>
      <c r="C18" s="19"/>
      <c r="D18" s="20"/>
    </row>
    <row r="19" spans="1:8" ht="12.75">
      <c r="A19" s="24" t="s">
        <v>170</v>
      </c>
      <c r="B19" s="25">
        <v>760</v>
      </c>
      <c r="C19" s="26"/>
      <c r="D19" s="27"/>
      <c r="F19" s="22">
        <f>+B19*ecem</f>
        <v>117800</v>
      </c>
      <c r="G19" s="23">
        <v>0.08</v>
      </c>
      <c r="H19" s="22">
        <f>+F19*(1+G19)</f>
        <v>127224.00000000001</v>
      </c>
    </row>
    <row r="20" spans="1:8" ht="12.75">
      <c r="A20" s="24" t="s">
        <v>174</v>
      </c>
      <c r="B20" s="25">
        <v>100</v>
      </c>
      <c r="C20" s="26"/>
      <c r="D20" s="27"/>
      <c r="F20" s="22">
        <f>+B20*ectb</f>
        <v>9260</v>
      </c>
      <c r="G20" s="23">
        <v>0.08</v>
      </c>
      <c r="H20" s="22">
        <f aca="true" t="shared" si="2" ref="H20:H31">+F20*(1+G20)</f>
        <v>10000.800000000001</v>
      </c>
    </row>
    <row r="21" spans="1:8" ht="12.75">
      <c r="A21" s="24" t="s">
        <v>171</v>
      </c>
      <c r="B21" s="25">
        <v>240</v>
      </c>
      <c r="C21" s="26"/>
      <c r="D21" s="27"/>
      <c r="F21" s="22">
        <f>+B21*emtb</f>
        <v>21600</v>
      </c>
      <c r="G21" s="23">
        <v>0.08</v>
      </c>
      <c r="H21" s="22">
        <f>+F21*(1+G21)</f>
        <v>23328</v>
      </c>
    </row>
    <row r="22" spans="1:8" ht="12.75">
      <c r="A22" s="24" t="s">
        <v>172</v>
      </c>
      <c r="B22" s="25">
        <v>0</v>
      </c>
      <c r="C22" s="26"/>
      <c r="D22" s="27"/>
      <c r="F22" s="22">
        <f>+B22*easm</f>
        <v>0</v>
      </c>
      <c r="G22" s="23">
        <v>0.08</v>
      </c>
      <c r="H22" s="22">
        <f t="shared" si="2"/>
        <v>0</v>
      </c>
    </row>
    <row r="23" spans="1:8" ht="12.75" customHeight="1">
      <c r="A23" s="24"/>
      <c r="B23" s="25"/>
      <c r="C23" s="35">
        <v>3</v>
      </c>
      <c r="D23" s="27"/>
      <c r="E23" t="s">
        <v>191</v>
      </c>
      <c r="F23" s="22">
        <f aca="true" t="shared" si="3" ref="F23:F31">+C23*1000*ms</f>
        <v>3960</v>
      </c>
      <c r="G23" s="23">
        <v>0.08</v>
      </c>
      <c r="H23" s="22">
        <f t="shared" si="2"/>
        <v>4276.8</v>
      </c>
    </row>
    <row r="24" spans="1:8" ht="12.75">
      <c r="A24" s="24"/>
      <c r="B24" s="25"/>
      <c r="C24" s="26">
        <v>6</v>
      </c>
      <c r="D24" s="27"/>
      <c r="E24" t="s">
        <v>192</v>
      </c>
      <c r="F24" s="22">
        <f t="shared" si="3"/>
        <v>7920</v>
      </c>
      <c r="G24" s="23">
        <v>0.08</v>
      </c>
      <c r="H24" s="22">
        <f t="shared" si="2"/>
        <v>8553.6</v>
      </c>
    </row>
    <row r="25" spans="1:8" ht="12.75">
      <c r="A25" s="24"/>
      <c r="B25" s="25"/>
      <c r="C25" s="26">
        <v>3</v>
      </c>
      <c r="D25" s="27"/>
      <c r="E25" t="s">
        <v>193</v>
      </c>
      <c r="F25" s="22">
        <f>+C25*1000*ms</f>
        <v>3960</v>
      </c>
      <c r="G25" s="23">
        <v>0.08</v>
      </c>
      <c r="H25" s="22">
        <f>+F25*(1+G25)</f>
        <v>4276.8</v>
      </c>
    </row>
    <row r="26" spans="1:8" ht="12.75">
      <c r="A26" s="24"/>
      <c r="B26" s="25"/>
      <c r="C26" s="26">
        <v>10</v>
      </c>
      <c r="D26" s="27"/>
      <c r="E26" t="s">
        <v>194</v>
      </c>
      <c r="F26" s="22">
        <f>+C26*1000*ms</f>
        <v>13200</v>
      </c>
      <c r="G26" s="23">
        <v>0.08</v>
      </c>
      <c r="H26" s="22">
        <f>+F26*(1+G26)</f>
        <v>14256.000000000002</v>
      </c>
    </row>
    <row r="27" spans="1:8" ht="12.75">
      <c r="A27" s="24"/>
      <c r="B27" s="25"/>
      <c r="C27" s="26">
        <v>0</v>
      </c>
      <c r="D27" s="27"/>
      <c r="E27" t="s">
        <v>195</v>
      </c>
      <c r="F27" s="22">
        <f>+C27*1000*ms</f>
        <v>0</v>
      </c>
      <c r="G27" s="23">
        <v>0.08</v>
      </c>
      <c r="H27" s="22">
        <f>+F27*(1+G27)</f>
        <v>0</v>
      </c>
    </row>
    <row r="28" spans="1:8" ht="12.75">
      <c r="A28" s="24"/>
      <c r="B28" s="25"/>
      <c r="C28" s="26">
        <v>8</v>
      </c>
      <c r="D28" s="27"/>
      <c r="E28" t="s">
        <v>196</v>
      </c>
      <c r="F28" s="22">
        <f t="shared" si="3"/>
        <v>10560</v>
      </c>
      <c r="G28" s="23">
        <v>0.08</v>
      </c>
      <c r="H28" s="22">
        <f t="shared" si="2"/>
        <v>11404.800000000001</v>
      </c>
    </row>
    <row r="29" spans="1:8" ht="12.75">
      <c r="A29" s="24"/>
      <c r="B29" s="25"/>
      <c r="C29" s="26">
        <v>10</v>
      </c>
      <c r="D29" s="27"/>
      <c r="E29" t="s">
        <v>197</v>
      </c>
      <c r="F29" s="22">
        <f t="shared" si="3"/>
        <v>13200</v>
      </c>
      <c r="G29" s="23">
        <v>0.08</v>
      </c>
      <c r="H29" s="22">
        <f t="shared" si="2"/>
        <v>14256.000000000002</v>
      </c>
    </row>
    <row r="30" spans="1:8" ht="12.75">
      <c r="A30" s="24"/>
      <c r="B30" s="25"/>
      <c r="D30" s="27"/>
      <c r="E30" s="1" t="s">
        <v>198</v>
      </c>
      <c r="F30" s="22">
        <f t="shared" si="3"/>
        <v>0</v>
      </c>
      <c r="G30" s="23">
        <v>0.08</v>
      </c>
      <c r="H30" s="22">
        <f t="shared" si="2"/>
        <v>0</v>
      </c>
    </row>
    <row r="31" spans="1:8" ht="12.75">
      <c r="A31" s="24"/>
      <c r="B31" s="25"/>
      <c r="C31" s="26"/>
      <c r="D31" s="27">
        <v>0</v>
      </c>
      <c r="E31" s="1" t="s">
        <v>188</v>
      </c>
      <c r="F31" s="22">
        <f t="shared" si="3"/>
        <v>0</v>
      </c>
      <c r="G31" s="23">
        <v>0.08</v>
      </c>
      <c r="H31" s="22">
        <f t="shared" si="2"/>
        <v>0</v>
      </c>
    </row>
    <row r="32" spans="1:9" ht="12.75">
      <c r="A32" s="29" t="s">
        <v>189</v>
      </c>
      <c r="B32" s="30"/>
      <c r="C32" s="31">
        <f>SUM(C23:C31)</f>
        <v>40</v>
      </c>
      <c r="D32" s="32"/>
      <c r="F32" s="22">
        <f>SUM(F19:F31)</f>
        <v>201460</v>
      </c>
      <c r="H32" s="22">
        <f>SUM(H19:H31)</f>
        <v>217576.8</v>
      </c>
      <c r="I32" s="8">
        <v>1076000</v>
      </c>
    </row>
    <row r="33" ht="3" customHeight="1"/>
    <row r="34" spans="1:4" ht="12.75">
      <c r="A34" s="17" t="s">
        <v>199</v>
      </c>
      <c r="B34" s="18"/>
      <c r="C34" s="19"/>
      <c r="D34" s="20"/>
    </row>
    <row r="35" spans="1:8" ht="12.75">
      <c r="A35" s="24" t="s">
        <v>170</v>
      </c>
      <c r="B35" s="25">
        <v>880</v>
      </c>
      <c r="C35" s="26"/>
      <c r="D35" s="27"/>
      <c r="F35" s="22">
        <f>+B35*ecem</f>
        <v>136400</v>
      </c>
      <c r="G35" s="23">
        <v>0.08</v>
      </c>
      <c r="H35" s="22">
        <f>+F35*(1+G35)</f>
        <v>147312</v>
      </c>
    </row>
    <row r="36" spans="1:8" ht="12.75">
      <c r="A36" s="24" t="s">
        <v>174</v>
      </c>
      <c r="B36" s="25">
        <v>40</v>
      </c>
      <c r="C36" s="26"/>
      <c r="D36" s="27"/>
      <c r="F36" s="22">
        <f>+B36*ectb</f>
        <v>3704</v>
      </c>
      <c r="G36" s="23">
        <v>0.08</v>
      </c>
      <c r="H36" s="22">
        <f aca="true" t="shared" si="4" ref="H36:H42">+F36*(1+G36)</f>
        <v>4000.32</v>
      </c>
    </row>
    <row r="37" spans="1:8" ht="12.75">
      <c r="A37" s="24" t="s">
        <v>172</v>
      </c>
      <c r="B37" s="25">
        <v>0</v>
      </c>
      <c r="C37" s="26"/>
      <c r="D37" s="27"/>
      <c r="F37" s="22">
        <f>+B37*easm</f>
        <v>0</v>
      </c>
      <c r="G37" s="23">
        <v>0.08</v>
      </c>
      <c r="H37" s="22">
        <f t="shared" si="4"/>
        <v>0</v>
      </c>
    </row>
    <row r="38" spans="1:8" ht="12.75" customHeight="1">
      <c r="A38" s="24"/>
      <c r="B38" s="25"/>
      <c r="C38" s="26">
        <v>10</v>
      </c>
      <c r="D38" s="27"/>
      <c r="E38" t="s">
        <v>200</v>
      </c>
      <c r="F38" s="22">
        <f>+C38*1000*ms</f>
        <v>13200</v>
      </c>
      <c r="G38" s="23">
        <v>0.08</v>
      </c>
      <c r="H38" s="22">
        <f t="shared" si="4"/>
        <v>14256.000000000002</v>
      </c>
    </row>
    <row r="39" spans="1:8" ht="12.75" customHeight="1">
      <c r="A39" s="24"/>
      <c r="B39" s="25"/>
      <c r="C39" s="26">
        <v>1.5</v>
      </c>
      <c r="D39" s="27"/>
      <c r="E39" t="s">
        <v>201</v>
      </c>
      <c r="F39" s="22">
        <f>+C39*1000*ms</f>
        <v>1980</v>
      </c>
      <c r="G39" s="23">
        <v>0.08</v>
      </c>
      <c r="H39" s="22">
        <f t="shared" si="4"/>
        <v>2138.4</v>
      </c>
    </row>
    <row r="40" spans="1:8" ht="12.75" customHeight="1">
      <c r="A40" s="24"/>
      <c r="B40" s="25"/>
      <c r="C40" s="26">
        <v>5</v>
      </c>
      <c r="D40" s="27"/>
      <c r="E40" t="s">
        <v>202</v>
      </c>
      <c r="F40" s="22">
        <f>+C40*1000*ms</f>
        <v>6600</v>
      </c>
      <c r="G40" s="23">
        <v>0.08</v>
      </c>
      <c r="H40" s="22">
        <f t="shared" si="4"/>
        <v>7128.000000000001</v>
      </c>
    </row>
    <row r="41" spans="1:8" ht="12.75">
      <c r="A41" s="24"/>
      <c r="B41" s="25"/>
      <c r="C41" s="26">
        <v>5</v>
      </c>
      <c r="D41" s="27"/>
      <c r="E41" t="s">
        <v>203</v>
      </c>
      <c r="F41" s="22">
        <f>+C41*1000*ms</f>
        <v>6600</v>
      </c>
      <c r="G41" s="23">
        <v>0.08</v>
      </c>
      <c r="H41" s="22">
        <f t="shared" si="4"/>
        <v>7128.000000000001</v>
      </c>
    </row>
    <row r="42" spans="1:8" ht="12.75">
      <c r="A42" s="24"/>
      <c r="B42" s="25"/>
      <c r="C42" s="26"/>
      <c r="D42" s="27">
        <v>0</v>
      </c>
      <c r="E42" s="1" t="s">
        <v>188</v>
      </c>
      <c r="F42" s="22">
        <f>+C42*1000*ms</f>
        <v>0</v>
      </c>
      <c r="G42" s="23">
        <v>0.08</v>
      </c>
      <c r="H42" s="22">
        <f t="shared" si="4"/>
        <v>0</v>
      </c>
    </row>
    <row r="43" spans="1:9" ht="12.75">
      <c r="A43" s="29" t="s">
        <v>189</v>
      </c>
      <c r="B43" s="30"/>
      <c r="C43" s="31">
        <f>SUM(C38:C42)</f>
        <v>21.5</v>
      </c>
      <c r="D43" s="32"/>
      <c r="E43" s="1"/>
      <c r="F43" s="22">
        <f>SUM(F35:F42)</f>
        <v>168484</v>
      </c>
      <c r="H43" s="22">
        <f>SUM(H35:H42)</f>
        <v>181962.72</v>
      </c>
      <c r="I43" s="8">
        <v>743000</v>
      </c>
    </row>
    <row r="44" ht="3" customHeight="1"/>
    <row r="45" spans="1:4" ht="12.75">
      <c r="A45" s="17" t="s">
        <v>204</v>
      </c>
      <c r="B45" s="18"/>
      <c r="C45" s="19"/>
      <c r="D45" s="20"/>
    </row>
    <row r="46" spans="1:8" ht="12.75">
      <c r="A46" s="24" t="s">
        <v>170</v>
      </c>
      <c r="B46" s="25">
        <v>660</v>
      </c>
      <c r="C46" s="26"/>
      <c r="D46" s="27"/>
      <c r="F46" s="22">
        <f>+B46*ecem</f>
        <v>102300</v>
      </c>
      <c r="G46" s="23">
        <v>0.14</v>
      </c>
      <c r="H46" s="22">
        <f aca="true" t="shared" si="5" ref="H46:H57">+F46*(1+G46)</f>
        <v>116622.00000000001</v>
      </c>
    </row>
    <row r="47" spans="1:8" ht="12.75">
      <c r="A47" s="24" t="s">
        <v>174</v>
      </c>
      <c r="B47" s="25">
        <v>280</v>
      </c>
      <c r="C47" s="26"/>
      <c r="D47" s="27"/>
      <c r="F47" s="22">
        <f>+B47*ectb</f>
        <v>25928</v>
      </c>
      <c r="G47" s="23">
        <v>0.14</v>
      </c>
      <c r="H47" s="22">
        <f t="shared" si="5"/>
        <v>29557.920000000002</v>
      </c>
    </row>
    <row r="48" spans="1:8" ht="12.75">
      <c r="A48" s="24" t="s">
        <v>171</v>
      </c>
      <c r="B48" s="25">
        <v>120</v>
      </c>
      <c r="C48" s="26"/>
      <c r="D48" s="27"/>
      <c r="F48" s="22">
        <f>+B48*emtb</f>
        <v>10800</v>
      </c>
      <c r="G48" s="23">
        <v>0.08</v>
      </c>
      <c r="H48" s="22">
        <f t="shared" si="5"/>
        <v>11664</v>
      </c>
    </row>
    <row r="49" spans="1:8" ht="12.75">
      <c r="A49" s="24" t="s">
        <v>172</v>
      </c>
      <c r="B49" s="25">
        <v>40</v>
      </c>
      <c r="C49" s="26"/>
      <c r="D49" s="27"/>
      <c r="F49" s="22">
        <f>+B49*easm</f>
        <v>4680</v>
      </c>
      <c r="G49" s="23">
        <v>0.08</v>
      </c>
      <c r="H49" s="22">
        <f t="shared" si="5"/>
        <v>5054.400000000001</v>
      </c>
    </row>
    <row r="50" spans="1:8" ht="12.75" customHeight="1">
      <c r="A50" s="24"/>
      <c r="B50" s="25">
        <v>40</v>
      </c>
      <c r="C50" s="26">
        <v>0</v>
      </c>
      <c r="D50" s="27"/>
      <c r="E50" s="1" t="s">
        <v>205</v>
      </c>
      <c r="F50" s="22">
        <f aca="true" t="shared" si="6" ref="F50:F57">+C50*1000*ms</f>
        <v>0</v>
      </c>
      <c r="G50" s="23">
        <v>0.14</v>
      </c>
      <c r="H50" s="22">
        <f t="shared" si="5"/>
        <v>0</v>
      </c>
    </row>
    <row r="51" spans="1:8" ht="12.75" customHeight="1">
      <c r="A51" s="24"/>
      <c r="B51" s="25"/>
      <c r="C51" s="26">
        <v>3</v>
      </c>
      <c r="D51" s="27"/>
      <c r="E51" s="1" t="s">
        <v>206</v>
      </c>
      <c r="F51" s="22">
        <f t="shared" si="6"/>
        <v>3960</v>
      </c>
      <c r="G51" s="23">
        <v>0.14</v>
      </c>
      <c r="H51" s="22">
        <f>+F51*(1+G51)</f>
        <v>4514.400000000001</v>
      </c>
    </row>
    <row r="52" spans="1:8" ht="12.75" customHeight="1">
      <c r="A52" s="24"/>
      <c r="B52" s="25"/>
      <c r="C52" s="26">
        <v>10</v>
      </c>
      <c r="D52" s="27"/>
      <c r="E52" s="1" t="s">
        <v>207</v>
      </c>
      <c r="F52" s="22">
        <f t="shared" si="6"/>
        <v>13200</v>
      </c>
      <c r="G52" s="23">
        <v>0.14</v>
      </c>
      <c r="H52" s="22">
        <f>+F52*(1+G52)</f>
        <v>15048.000000000002</v>
      </c>
    </row>
    <row r="53" spans="1:8" ht="12.75" customHeight="1">
      <c r="A53" s="24"/>
      <c r="B53" s="25"/>
      <c r="C53" s="26">
        <v>10</v>
      </c>
      <c r="D53" s="27"/>
      <c r="E53" s="1" t="s">
        <v>208</v>
      </c>
      <c r="F53" s="22">
        <f t="shared" si="6"/>
        <v>13200</v>
      </c>
      <c r="G53" s="23">
        <v>0.14</v>
      </c>
      <c r="H53" s="22">
        <f>+F53*(1+G53)</f>
        <v>15048.000000000002</v>
      </c>
    </row>
    <row r="54" spans="1:8" ht="12.75" customHeight="1">
      <c r="A54" s="24"/>
      <c r="B54" s="25"/>
      <c r="C54" s="26">
        <v>6</v>
      </c>
      <c r="D54" s="27"/>
      <c r="E54" s="1" t="s">
        <v>209</v>
      </c>
      <c r="F54" s="22">
        <f t="shared" si="6"/>
        <v>7920</v>
      </c>
      <c r="G54" s="23">
        <v>0.14</v>
      </c>
      <c r="H54" s="22">
        <f>+F54*(1+G54)</f>
        <v>9028.800000000001</v>
      </c>
    </row>
    <row r="55" spans="1:8" ht="12.75">
      <c r="A55" s="24"/>
      <c r="B55" s="25"/>
      <c r="C55" s="26">
        <v>5</v>
      </c>
      <c r="D55" s="27"/>
      <c r="E55" s="1" t="s">
        <v>187</v>
      </c>
      <c r="F55" s="22">
        <f t="shared" si="6"/>
        <v>6600</v>
      </c>
      <c r="G55" s="23">
        <v>0.14</v>
      </c>
      <c r="H55" s="22">
        <f t="shared" si="5"/>
        <v>7524.000000000001</v>
      </c>
    </row>
    <row r="56" spans="1:8" ht="12.75">
      <c r="A56" s="24"/>
      <c r="B56" s="25"/>
      <c r="C56" s="26">
        <v>0</v>
      </c>
      <c r="D56" s="27"/>
      <c r="E56" s="21" t="s">
        <v>198</v>
      </c>
      <c r="F56" s="22">
        <f t="shared" si="6"/>
        <v>0</v>
      </c>
      <c r="G56" s="23">
        <v>0.14</v>
      </c>
      <c r="H56" s="22">
        <f>+F56*(1+G56)</f>
        <v>0</v>
      </c>
    </row>
    <row r="57" spans="1:8" ht="12.75">
      <c r="A57" s="24"/>
      <c r="B57" s="25"/>
      <c r="C57" s="26"/>
      <c r="D57" s="27">
        <v>0</v>
      </c>
      <c r="E57" s="21" t="s">
        <v>210</v>
      </c>
      <c r="F57" s="22">
        <f t="shared" si="6"/>
        <v>0</v>
      </c>
      <c r="G57" s="22">
        <f>+D57*1000*ms</f>
        <v>0</v>
      </c>
      <c r="H57" s="22">
        <f t="shared" si="5"/>
        <v>0</v>
      </c>
    </row>
    <row r="58" spans="1:9" ht="12.75">
      <c r="A58" s="29" t="s">
        <v>189</v>
      </c>
      <c r="B58" s="30"/>
      <c r="C58" s="31">
        <f>SUM(C50:C57)</f>
        <v>34</v>
      </c>
      <c r="D58" s="32"/>
      <c r="F58" s="22">
        <f>SUM(F46:F57)</f>
        <v>188588</v>
      </c>
      <c r="H58" s="22">
        <f>SUM(H46:H57)</f>
        <v>214061.52</v>
      </c>
      <c r="I58" s="8">
        <v>772000</v>
      </c>
    </row>
    <row r="59" ht="3" customHeight="1"/>
    <row r="60" spans="1:4" ht="12.75">
      <c r="A60" s="17" t="s">
        <v>211</v>
      </c>
      <c r="B60" s="18"/>
      <c r="C60" s="19"/>
      <c r="D60" s="20"/>
    </row>
    <row r="61" spans="1:8" ht="12.75">
      <c r="A61" s="24" t="s">
        <v>170</v>
      </c>
      <c r="B61" s="25">
        <v>620</v>
      </c>
      <c r="C61" s="26"/>
      <c r="D61" s="27"/>
      <c r="F61" s="22">
        <f>+B61*ecem</f>
        <v>96100</v>
      </c>
      <c r="G61" s="23">
        <v>0.1</v>
      </c>
      <c r="H61" s="22">
        <f>+F61*(1+G61)</f>
        <v>105710.00000000001</v>
      </c>
    </row>
    <row r="62" spans="1:8" ht="12.75">
      <c r="A62" s="24" t="s">
        <v>174</v>
      </c>
      <c r="B62" s="25">
        <v>60</v>
      </c>
      <c r="C62" s="26"/>
      <c r="D62" s="27"/>
      <c r="F62" s="22">
        <f>+B62*ectb</f>
        <v>5556</v>
      </c>
      <c r="G62" s="23">
        <v>0.1</v>
      </c>
      <c r="H62" s="22">
        <f>+F62*(1+G62)</f>
        <v>6111.6</v>
      </c>
    </row>
    <row r="63" spans="1:8" ht="12.75">
      <c r="A63" s="24" t="s">
        <v>171</v>
      </c>
      <c r="B63" s="25">
        <v>0</v>
      </c>
      <c r="C63" s="26"/>
      <c r="D63" s="27"/>
      <c r="F63" s="22">
        <f>+B63*emtb</f>
        <v>0</v>
      </c>
      <c r="G63" s="23">
        <v>0.1</v>
      </c>
      <c r="H63" s="22">
        <f>+F63*(1+G63)</f>
        <v>0</v>
      </c>
    </row>
    <row r="64" spans="1:8" ht="12.75">
      <c r="A64" s="24" t="s">
        <v>172</v>
      </c>
      <c r="B64" s="25">
        <v>0</v>
      </c>
      <c r="C64" s="26"/>
      <c r="D64" s="27"/>
      <c r="F64" s="22">
        <f>+B64*easm</f>
        <v>0</v>
      </c>
      <c r="G64" s="23">
        <v>0.1</v>
      </c>
      <c r="H64" s="22">
        <f>+F64*(1+G64)</f>
        <v>0</v>
      </c>
    </row>
    <row r="65" spans="1:8" ht="12.75" customHeight="1">
      <c r="A65" s="24"/>
      <c r="B65" s="25"/>
      <c r="C65" s="26">
        <v>12</v>
      </c>
      <c r="D65" s="27"/>
      <c r="E65" s="21" t="s">
        <v>212</v>
      </c>
      <c r="F65" s="22">
        <f>+C65*1000*ms</f>
        <v>15840</v>
      </c>
      <c r="G65" s="23">
        <v>0.1</v>
      </c>
      <c r="H65" s="22">
        <f>+F65*(1+G65)</f>
        <v>17424</v>
      </c>
    </row>
    <row r="66" spans="1:8" ht="12.75" customHeight="1">
      <c r="A66" s="24"/>
      <c r="B66" s="25"/>
      <c r="C66" s="26">
        <v>10.5</v>
      </c>
      <c r="D66" s="27"/>
      <c r="E66" s="21" t="s">
        <v>213</v>
      </c>
      <c r="F66" s="22">
        <f>+C66*1000*ms</f>
        <v>13860</v>
      </c>
      <c r="G66" s="23">
        <v>0.1</v>
      </c>
      <c r="H66" s="22">
        <f>+F66*(1+G66)</f>
        <v>15246.000000000002</v>
      </c>
    </row>
    <row r="67" spans="1:8" ht="12.75">
      <c r="A67" s="24"/>
      <c r="B67" s="25"/>
      <c r="C67" s="26">
        <v>2</v>
      </c>
      <c r="D67" s="27"/>
      <c r="E67" s="21" t="s">
        <v>187</v>
      </c>
      <c r="F67" s="22">
        <f>+C67*1000*ms</f>
        <v>2640</v>
      </c>
      <c r="G67" s="23">
        <v>0.1</v>
      </c>
      <c r="H67" s="22">
        <f>+F67*(1+G67)</f>
        <v>2904.0000000000005</v>
      </c>
    </row>
    <row r="68" spans="1:8" ht="12.75">
      <c r="A68" s="24"/>
      <c r="B68" s="25"/>
      <c r="C68" s="26">
        <v>0</v>
      </c>
      <c r="D68" s="27"/>
      <c r="E68" s="21" t="s">
        <v>198</v>
      </c>
      <c r="F68" s="22">
        <f>+C68*1000*ms</f>
        <v>0</v>
      </c>
      <c r="G68" s="23">
        <v>0.1</v>
      </c>
      <c r="H68" s="22">
        <f>+F68*(1+G68)</f>
        <v>0</v>
      </c>
    </row>
    <row r="69" spans="1:8" ht="12.75">
      <c r="A69" s="24"/>
      <c r="B69" s="25"/>
      <c r="C69" s="26"/>
      <c r="D69" s="27">
        <v>0</v>
      </c>
      <c r="E69" s="21" t="s">
        <v>188</v>
      </c>
      <c r="F69" s="22">
        <f>+C69*1000*ms</f>
        <v>0</v>
      </c>
      <c r="G69" s="23">
        <v>0.1</v>
      </c>
      <c r="H69" s="22">
        <f>+F69*(1+G69)</f>
        <v>0</v>
      </c>
    </row>
    <row r="70" spans="1:9" ht="12.75">
      <c r="A70" s="29" t="s">
        <v>189</v>
      </c>
      <c r="B70" s="30"/>
      <c r="C70" s="31">
        <f>SUM(C65:C69)</f>
        <v>24.5</v>
      </c>
      <c r="D70" s="32"/>
      <c r="F70" s="22">
        <f>SUM(F61:F69)</f>
        <v>133996</v>
      </c>
      <c r="H70" s="22">
        <f>SUM(H61:H69)</f>
        <v>147395.60000000003</v>
      </c>
      <c r="I70" s="8">
        <v>404000</v>
      </c>
    </row>
    <row r="71" ht="3" customHeight="1"/>
    <row r="72" spans="1:4" ht="21.75" customHeight="1">
      <c r="A72" s="17" t="s">
        <v>214</v>
      </c>
      <c r="B72" s="18"/>
      <c r="C72" s="19"/>
      <c r="D72" s="20"/>
    </row>
    <row r="73" spans="1:8" ht="13.5" customHeight="1">
      <c r="A73" s="24" t="s">
        <v>170</v>
      </c>
      <c r="B73" s="25">
        <v>600</v>
      </c>
      <c r="C73" s="26"/>
      <c r="D73" s="27"/>
      <c r="F73" s="22">
        <f>+B73*ecem</f>
        <v>93000</v>
      </c>
      <c r="G73" s="23">
        <v>0.1</v>
      </c>
      <c r="H73" s="22">
        <f aca="true" t="shared" si="7" ref="H73:H81">+F73*(1+G73)</f>
        <v>102300.00000000001</v>
      </c>
    </row>
    <row r="74" spans="1:8" ht="13.5" customHeight="1">
      <c r="A74" s="24" t="s">
        <v>174</v>
      </c>
      <c r="B74" s="25">
        <v>80</v>
      </c>
      <c r="C74" s="26"/>
      <c r="D74" s="27"/>
      <c r="F74" s="22">
        <f>+B74*ectb</f>
        <v>7408</v>
      </c>
      <c r="G74" s="23">
        <v>0.1</v>
      </c>
      <c r="H74" s="22">
        <f t="shared" si="7"/>
        <v>8148.800000000001</v>
      </c>
    </row>
    <row r="75" spans="1:8" ht="13.5" customHeight="1">
      <c r="A75" s="24" t="s">
        <v>171</v>
      </c>
      <c r="B75" s="25">
        <v>480</v>
      </c>
      <c r="C75" s="26"/>
      <c r="D75" s="27"/>
      <c r="F75" s="22">
        <f>+B75*emtb</f>
        <v>43200</v>
      </c>
      <c r="G75" s="23">
        <v>0.1</v>
      </c>
      <c r="H75" s="22">
        <f>+F75*(1+G75)</f>
        <v>47520.00000000001</v>
      </c>
    </row>
    <row r="76" spans="1:8" ht="13.5" customHeight="1">
      <c r="A76" s="24" t="s">
        <v>172</v>
      </c>
      <c r="B76" s="25">
        <v>240</v>
      </c>
      <c r="C76" s="26"/>
      <c r="D76" s="27"/>
      <c r="F76" s="22">
        <f>+B76*easm</f>
        <v>28080</v>
      </c>
      <c r="G76" s="23">
        <v>0.1</v>
      </c>
      <c r="H76" s="22">
        <f t="shared" si="7"/>
        <v>30888.000000000004</v>
      </c>
    </row>
    <row r="77" spans="1:8" ht="12.75" customHeight="1">
      <c r="A77" s="24"/>
      <c r="B77" s="25"/>
      <c r="C77" s="22">
        <v>5</v>
      </c>
      <c r="D77" s="27"/>
      <c r="E77" s="21" t="s">
        <v>215</v>
      </c>
      <c r="F77" s="22">
        <f>+C77*1000*ms</f>
        <v>6600</v>
      </c>
      <c r="G77" s="23">
        <v>0.1</v>
      </c>
      <c r="H77" s="22">
        <f t="shared" si="7"/>
        <v>7260.000000000001</v>
      </c>
    </row>
    <row r="78" spans="1:8" ht="12.75" customHeight="1">
      <c r="A78" s="24"/>
      <c r="B78" s="25"/>
      <c r="C78" s="26">
        <v>5</v>
      </c>
      <c r="D78" s="27"/>
      <c r="E78" s="1" t="s">
        <v>216</v>
      </c>
      <c r="F78" s="22">
        <f>+C78*1000*ms</f>
        <v>6600</v>
      </c>
      <c r="G78" s="23">
        <v>0.1</v>
      </c>
      <c r="H78" s="22">
        <f>+F78*(1+G78)</f>
        <v>7260.000000000001</v>
      </c>
    </row>
    <row r="79" spans="1:8" ht="12.75" customHeight="1">
      <c r="A79" s="24"/>
      <c r="B79" s="25"/>
      <c r="C79" s="26">
        <v>5</v>
      </c>
      <c r="D79" s="27"/>
      <c r="E79" s="1" t="s">
        <v>217</v>
      </c>
      <c r="F79" s="22">
        <f>+C79*1000*ms</f>
        <v>6600</v>
      </c>
      <c r="G79" s="23">
        <v>0.1</v>
      </c>
      <c r="H79" s="22">
        <f t="shared" si="7"/>
        <v>7260.000000000001</v>
      </c>
    </row>
    <row r="80" spans="1:8" ht="12.75">
      <c r="A80" s="24"/>
      <c r="B80" s="25"/>
      <c r="C80" s="26">
        <v>15</v>
      </c>
      <c r="D80" s="27"/>
      <c r="E80" s="1" t="s">
        <v>218</v>
      </c>
      <c r="F80" s="22">
        <f>+C80*1000*ms</f>
        <v>19800</v>
      </c>
      <c r="G80" s="23">
        <v>0.1</v>
      </c>
      <c r="H80" s="22">
        <f t="shared" si="7"/>
        <v>21780</v>
      </c>
    </row>
    <row r="81" spans="1:8" ht="12.75">
      <c r="A81" s="24"/>
      <c r="B81" s="25"/>
      <c r="C81" s="26">
        <v>10</v>
      </c>
      <c r="D81" s="27" t="s">
        <v>198</v>
      </c>
      <c r="E81" s="1" t="s">
        <v>219</v>
      </c>
      <c r="F81" s="22">
        <f>+C81*1000*ms</f>
        <v>13200</v>
      </c>
      <c r="G81" s="23">
        <v>0.1</v>
      </c>
      <c r="H81" s="22">
        <f t="shared" si="7"/>
        <v>14520.000000000002</v>
      </c>
    </row>
    <row r="82" spans="1:9" ht="12.75">
      <c r="A82" s="29" t="s">
        <v>189</v>
      </c>
      <c r="B82" s="30"/>
      <c r="C82" s="31">
        <f>SUM(C77:C81)</f>
        <v>40</v>
      </c>
      <c r="D82" s="32"/>
      <c r="F82" s="22">
        <f>SUM(F73:F81)</f>
        <v>224488</v>
      </c>
      <c r="H82" s="22">
        <f>SUM(H73:H81)</f>
        <v>246936.80000000002</v>
      </c>
      <c r="I82" s="8">
        <v>442000</v>
      </c>
    </row>
    <row r="83" ht="3" customHeight="1"/>
    <row r="84" spans="1:4" ht="12.75">
      <c r="A84" s="17" t="s">
        <v>220</v>
      </c>
      <c r="B84" s="18"/>
      <c r="C84" s="19"/>
      <c r="D84" s="20"/>
    </row>
    <row r="85" spans="1:8" ht="12.75">
      <c r="A85" s="24" t="s">
        <v>170</v>
      </c>
      <c r="B85" s="25">
        <v>0</v>
      </c>
      <c r="C85" s="26"/>
      <c r="D85" s="27"/>
      <c r="F85" s="22">
        <f>+B85*ecem</f>
        <v>0</v>
      </c>
      <c r="G85" s="23">
        <v>0.03</v>
      </c>
      <c r="H85" s="22">
        <f aca="true" t="shared" si="8" ref="H85:H95">+F85*(1+G85)</f>
        <v>0</v>
      </c>
    </row>
    <row r="86" spans="1:8" ht="12.75">
      <c r="A86" s="24" t="s">
        <v>221</v>
      </c>
      <c r="B86" s="25">
        <v>0</v>
      </c>
      <c r="C86" s="26"/>
      <c r="D86" s="27"/>
      <c r="F86" s="22">
        <f>+B86*ecsm</f>
        <v>0</v>
      </c>
      <c r="G86" s="23">
        <v>0.03</v>
      </c>
      <c r="H86" s="22">
        <f t="shared" si="8"/>
        <v>0</v>
      </c>
    </row>
    <row r="87" spans="1:8" ht="12.75">
      <c r="A87" s="24" t="s">
        <v>172</v>
      </c>
      <c r="B87" s="25">
        <v>0</v>
      </c>
      <c r="C87" s="26"/>
      <c r="D87" s="27"/>
      <c r="F87" s="22">
        <f>+B87*eadm</f>
        <v>0</v>
      </c>
      <c r="G87" s="23">
        <v>0.03</v>
      </c>
      <c r="H87" s="22">
        <f t="shared" si="8"/>
        <v>0</v>
      </c>
    </row>
    <row r="88" spans="1:8" ht="12.75" customHeight="1">
      <c r="A88" s="24"/>
      <c r="B88" s="25"/>
      <c r="C88" s="26">
        <v>0</v>
      </c>
      <c r="D88" s="27"/>
      <c r="E88" s="36" t="s">
        <v>222</v>
      </c>
      <c r="F88" s="22">
        <f aca="true" t="shared" si="9" ref="F88:F95">+C88*1000*ms</f>
        <v>0</v>
      </c>
      <c r="G88" s="23">
        <v>0.03</v>
      </c>
      <c r="H88" s="22">
        <f t="shared" si="8"/>
        <v>0</v>
      </c>
    </row>
    <row r="89" spans="1:8" ht="12.75" customHeight="1">
      <c r="A89" s="24"/>
      <c r="B89" s="25"/>
      <c r="C89" s="26">
        <v>0</v>
      </c>
      <c r="D89" s="27"/>
      <c r="E89" s="36" t="s">
        <v>223</v>
      </c>
      <c r="F89" s="22">
        <f t="shared" si="9"/>
        <v>0</v>
      </c>
      <c r="G89" s="23">
        <v>0.03</v>
      </c>
      <c r="H89" s="22">
        <f t="shared" si="8"/>
        <v>0</v>
      </c>
    </row>
    <row r="90" spans="1:8" ht="12.75">
      <c r="A90" s="24"/>
      <c r="B90" s="25"/>
      <c r="C90" s="26">
        <v>0</v>
      </c>
      <c r="D90" s="27"/>
      <c r="E90" s="36" t="s">
        <v>224</v>
      </c>
      <c r="F90" s="22">
        <f t="shared" si="9"/>
        <v>0</v>
      </c>
      <c r="G90" s="23">
        <v>0.03</v>
      </c>
      <c r="H90" s="22">
        <f t="shared" si="8"/>
        <v>0</v>
      </c>
    </row>
    <row r="91" spans="1:8" ht="12.75">
      <c r="A91" s="24"/>
      <c r="B91" s="25"/>
      <c r="C91" s="26">
        <v>0</v>
      </c>
      <c r="D91" s="27"/>
      <c r="E91" s="36" t="s">
        <v>225</v>
      </c>
      <c r="F91" s="22">
        <f t="shared" si="9"/>
        <v>0</v>
      </c>
      <c r="G91" s="23">
        <v>0.03</v>
      </c>
      <c r="H91" s="22">
        <f t="shared" si="8"/>
        <v>0</v>
      </c>
    </row>
    <row r="92" spans="1:8" ht="12.75">
      <c r="A92" s="24"/>
      <c r="B92" s="25"/>
      <c r="C92" s="26">
        <v>0</v>
      </c>
      <c r="D92" s="27"/>
      <c r="E92" s="36" t="s">
        <v>226</v>
      </c>
      <c r="F92" s="22">
        <f t="shared" si="9"/>
        <v>0</v>
      </c>
      <c r="G92" s="23">
        <v>0.03</v>
      </c>
      <c r="H92" s="22">
        <f t="shared" si="8"/>
        <v>0</v>
      </c>
    </row>
    <row r="93" spans="1:8" ht="12.75">
      <c r="A93" s="24"/>
      <c r="B93" s="25"/>
      <c r="C93" s="26">
        <v>0</v>
      </c>
      <c r="D93" s="27"/>
      <c r="E93" s="36" t="s">
        <v>227</v>
      </c>
      <c r="F93" s="22">
        <f t="shared" si="9"/>
        <v>0</v>
      </c>
      <c r="G93" s="23">
        <v>0.03</v>
      </c>
      <c r="H93" s="22">
        <f t="shared" si="8"/>
        <v>0</v>
      </c>
    </row>
    <row r="94" spans="1:8" ht="12.75">
      <c r="A94" s="24"/>
      <c r="B94" s="25"/>
      <c r="C94" s="26">
        <v>0</v>
      </c>
      <c r="D94" s="27"/>
      <c r="E94" s="36" t="s">
        <v>228</v>
      </c>
      <c r="F94" s="22">
        <f t="shared" si="9"/>
        <v>0</v>
      </c>
      <c r="G94" s="23">
        <v>0.03</v>
      </c>
      <c r="H94" s="22">
        <f t="shared" si="8"/>
        <v>0</v>
      </c>
    </row>
    <row r="95" spans="1:8" ht="12.75">
      <c r="A95" s="24"/>
      <c r="B95" s="25"/>
      <c r="C95" s="26"/>
      <c r="D95" s="27">
        <v>0</v>
      </c>
      <c r="E95" s="36" t="s">
        <v>188</v>
      </c>
      <c r="F95" s="22">
        <f t="shared" si="9"/>
        <v>0</v>
      </c>
      <c r="G95" s="23">
        <v>0.03</v>
      </c>
      <c r="H95" s="22">
        <f t="shared" si="8"/>
        <v>0</v>
      </c>
    </row>
    <row r="96" spans="1:9" ht="12.75">
      <c r="A96" s="29" t="s">
        <v>189</v>
      </c>
      <c r="B96" s="30"/>
      <c r="C96" s="31">
        <f>SUM(C88:C95)</f>
        <v>0</v>
      </c>
      <c r="D96" s="32"/>
      <c r="F96" s="22">
        <f>SUM(F85:F95)</f>
        <v>0</v>
      </c>
      <c r="H96" s="22">
        <f>SUM(H85:H95)</f>
        <v>0</v>
      </c>
      <c r="I96" s="8">
        <v>330000</v>
      </c>
    </row>
    <row r="98" spans="1:9" ht="12.75">
      <c r="A98" s="10" t="s">
        <v>229</v>
      </c>
      <c r="C98" s="33">
        <f>SUM(C96+C82+C70+C58+C43+C32+C16)</f>
        <v>203.8</v>
      </c>
      <c r="D98" s="34">
        <f>SUM(D9:D97)</f>
        <v>0</v>
      </c>
      <c r="F98" s="22">
        <f>SUM(F96,F82,F70,F58,F43,F32,F16)</f>
        <v>1073664</v>
      </c>
      <c r="G98" s="22"/>
      <c r="H98" s="22">
        <f>SUM(H96,H82,H70,H58,H43,H32,H16)</f>
        <v>1177113.28</v>
      </c>
      <c r="I98" s="8">
        <f>SUM(I96,I82,I70,I58,I43,I32,I16)</f>
        <v>4519000</v>
      </c>
    </row>
    <row r="102" ht="12.75">
      <c r="E102" s="21" t="s">
        <v>198</v>
      </c>
    </row>
  </sheetData>
  <printOptions gridLines="1"/>
  <pageMargins left="0.75" right="0.23" top="0.47" bottom="0.58" header="0.5" footer="0.19"/>
  <pageSetup blackAndWhite="1" fitToHeight="1" fitToWidth="1" horizontalDpi="600" verticalDpi="600" orientation="landscape" scale="43" r:id="rId1"/>
  <headerFooter alignWithMargins="0">
    <oddFooter>&amp;L&amp;F&amp;C&amp;A  page &amp;P of &amp;N&amp;R&amp;D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psichta</dc:creator>
  <cp:keywords/>
  <dc:description/>
  <cp:lastModifiedBy>psichta</cp:lastModifiedBy>
  <cp:lastPrinted>2007-04-26T18:53:07Z</cp:lastPrinted>
  <dcterms:created xsi:type="dcterms:W3CDTF">2007-03-21T20:37:49Z</dcterms:created>
  <dcterms:modified xsi:type="dcterms:W3CDTF">2007-05-01T18:04:41Z</dcterms:modified>
  <cp:category/>
  <cp:version/>
  <cp:contentType/>
  <cp:contentStatus/>
</cp:coreProperties>
</file>