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3275" windowHeight="12525" activeTab="0"/>
  </bookViews>
  <sheets>
    <sheet name="Tapped Hole" sheetId="1" r:id="rId1"/>
  </sheets>
  <definedNames/>
  <calcPr fullCalcOnLoad="1"/>
</workbook>
</file>

<file path=xl/sharedStrings.xml><?xml version="1.0" encoding="utf-8"?>
<sst xmlns="http://schemas.openxmlformats.org/spreadsheetml/2006/main" count="484" uniqueCount="233">
  <si>
    <t>Class</t>
  </si>
  <si>
    <t>2A</t>
  </si>
  <si>
    <t>2B</t>
  </si>
  <si>
    <t>3A</t>
  </si>
  <si>
    <t>3B</t>
  </si>
  <si>
    <t>1A</t>
  </si>
  <si>
    <t>1B</t>
  </si>
  <si>
    <t>D</t>
  </si>
  <si>
    <t>n</t>
  </si>
  <si>
    <t>Nominal diameter</t>
  </si>
  <si>
    <t>in</t>
  </si>
  <si>
    <t>/in</t>
  </si>
  <si>
    <t>Threads per inch</t>
  </si>
  <si>
    <t>At</t>
  </si>
  <si>
    <t>Tensile area of bolt thread</t>
  </si>
  <si>
    <t>in2</t>
  </si>
  <si>
    <t>ksi</t>
  </si>
  <si>
    <t>A286</t>
  </si>
  <si>
    <t>Material</t>
  </si>
  <si>
    <t xml:space="preserve">Material Properties </t>
  </si>
  <si>
    <t>Esmin</t>
  </si>
  <si>
    <t>Minimum pitch diameter of external thread</t>
  </si>
  <si>
    <t>Thread Properties</t>
  </si>
  <si>
    <t>Thread properties for uncoated, standard fasteners with cold-rolled threads</t>
  </si>
  <si>
    <t>Reference</t>
  </si>
  <si>
    <t>Thread</t>
  </si>
  <si>
    <t>External</t>
  </si>
  <si>
    <t>Internal</t>
  </si>
  <si>
    <t>Max major dia.</t>
  </si>
  <si>
    <t>Min major dia.</t>
  </si>
  <si>
    <t>Max minor dia.</t>
  </si>
  <si>
    <t>Min minor dia.</t>
  </si>
  <si>
    <t>Ref</t>
  </si>
  <si>
    <t>Reference column in thread properties table</t>
  </si>
  <si>
    <t>Blue cells require input values</t>
  </si>
  <si>
    <t>Stellalloy</t>
  </si>
  <si>
    <t>RT properties</t>
  </si>
  <si>
    <t>Tensile strength (ksi)</t>
  </si>
  <si>
    <t>Elastic modulus (Msi)</t>
  </si>
  <si>
    <r>
      <t>Thermal strain (</t>
    </r>
    <r>
      <rPr>
        <sz val="10"/>
        <rFont val="Symbol"/>
        <family val="1"/>
      </rPr>
      <t>me</t>
    </r>
    <r>
      <rPr>
        <sz val="10"/>
        <rFont val="Arial"/>
        <family val="2"/>
      </rPr>
      <t>)</t>
    </r>
  </si>
  <si>
    <t>Tensile strength of bolt material @ 293K</t>
  </si>
  <si>
    <t>Poisson's ratio</t>
  </si>
  <si>
    <t>80K properties</t>
  </si>
  <si>
    <t>MIL-HDBK-5H</t>
  </si>
  <si>
    <t>Material References</t>
  </si>
  <si>
    <t>Max pitch dia.</t>
  </si>
  <si>
    <t>Min pitch dia.</t>
  </si>
  <si>
    <t>ASTM A 453 Grade 660</t>
  </si>
  <si>
    <t>At1</t>
  </si>
  <si>
    <t>At2</t>
  </si>
  <si>
    <t>Equations</t>
  </si>
  <si>
    <t>Eq. 1</t>
  </si>
  <si>
    <t>Eq. 2</t>
  </si>
  <si>
    <t>For bolt strengths &lt;100ksi (Eq. 1)</t>
  </si>
  <si>
    <t>For bolt strengths &gt;100ksi (Eq. 2)</t>
  </si>
  <si>
    <t>Eq. 3</t>
  </si>
  <si>
    <t>Thread and material properties are entered in the tables.
Thread reference must be an ODD number for an external thread, even for an internal thread.</t>
  </si>
  <si>
    <t>Le</t>
  </si>
  <si>
    <t>Internal thread (hole) parameters - tapped hole</t>
  </si>
  <si>
    <t xml:space="preserve">For Class 2A external threads with coating (plating) the maximum major diameter is increased to the basic size </t>
  </si>
  <si>
    <t>which is the same value as Class 3A.</t>
  </si>
  <si>
    <t>Lookups are based on material selections in Column B</t>
  </si>
  <si>
    <t>External thread (bolt) parameters - A286 stud in tapped hole</t>
  </si>
  <si>
    <t>Knmax</t>
  </si>
  <si>
    <t>Max minor diameter of internal thread</t>
  </si>
  <si>
    <t>Shear area of external thread (Eq. 3)</t>
  </si>
  <si>
    <t>As</t>
  </si>
  <si>
    <t>Eq. 4</t>
  </si>
  <si>
    <t>An</t>
  </si>
  <si>
    <t>Shear area of internal thread (Eq. 4)</t>
  </si>
  <si>
    <t>Dsmin</t>
  </si>
  <si>
    <t>Enmax</t>
  </si>
  <si>
    <t>Max pitch diameter of internal thread</t>
  </si>
  <si>
    <t>1-1.5 is normal</t>
  </si>
  <si>
    <t>Le/D</t>
  </si>
  <si>
    <t>Eq. 5</t>
  </si>
  <si>
    <t>Tn</t>
  </si>
  <si>
    <t>Ts</t>
  </si>
  <si>
    <t>Tensile strength of flange material</t>
  </si>
  <si>
    <t>0.2% Yield strength (ksi)</t>
  </si>
  <si>
    <t>Bolt/stud material</t>
  </si>
  <si>
    <t>Flange material</t>
  </si>
  <si>
    <t>Min fastener engagement length - if stud and nut are the same material (Eq. 5)</t>
  </si>
  <si>
    <t>Fastener engagement length - set equal to nominal flange thickness for tapped hole - may be 1.5in with overcast</t>
  </si>
  <si>
    <t>Eq. 6</t>
  </si>
  <si>
    <t>J</t>
  </si>
  <si>
    <t>Q</t>
  </si>
  <si>
    <t>NCSX-CSPEC-141-03-14</t>
  </si>
  <si>
    <t>Eq. 7</t>
  </si>
  <si>
    <t>Relative strength of external and internal threads (Eq. 6)</t>
  </si>
  <si>
    <t>Required length of engagement (Eq. 7)</t>
  </si>
  <si>
    <t>Lemin</t>
  </si>
  <si>
    <t>Le/Q</t>
  </si>
  <si>
    <t>Minimum properties MCWF test data (F. Malinowski)</t>
  </si>
  <si>
    <t>If &lt;1, thread engagement inadequate to develop full strength of bolt</t>
  </si>
  <si>
    <t>F</t>
  </si>
  <si>
    <t>Force to break bolt</t>
  </si>
  <si>
    <t>Force to strip bolt threads</t>
  </si>
  <si>
    <t>Force to strip threads in tapped hole</t>
  </si>
  <si>
    <t>Proof strength (ksi)</t>
  </si>
  <si>
    <t>Eq. 8</t>
  </si>
  <si>
    <t>kips</t>
  </si>
  <si>
    <t>Eq. 9</t>
  </si>
  <si>
    <t>cu</t>
  </si>
  <si>
    <t>0.75 for reusable connections
0.90 for permanent connections</t>
  </si>
  <si>
    <t>Sps</t>
  </si>
  <si>
    <t>Proof strength of bolt material</t>
  </si>
  <si>
    <t>Spn</t>
  </si>
  <si>
    <t>Proof strength of flange material</t>
  </si>
  <si>
    <t>Force required to fail joint</t>
  </si>
  <si>
    <t>u</t>
  </si>
  <si>
    <t>Min major diameter of external thread</t>
  </si>
  <si>
    <t>Maximum preload based on avoiding permanent set in joint</t>
  </si>
  <si>
    <t>T</t>
  </si>
  <si>
    <t>Assumes thread engagement length is determined by the internal thread.</t>
  </si>
  <si>
    <t>Assumes ext/int threads have the same class, e.g, 1, 2, or 3.</t>
  </si>
  <si>
    <t>Bolt preloading</t>
  </si>
  <si>
    <t>Eq. 10</t>
  </si>
  <si>
    <t>Eq. 11</t>
  </si>
  <si>
    <t>P0nom</t>
  </si>
  <si>
    <t>P0max</t>
  </si>
  <si>
    <t>Prelax</t>
  </si>
  <si>
    <t>Preload uncertainty factor.  Typically,
0.15 for hydraulically tensioned bolts
0.10 where bolt tension is measured with UT.
Needs to be determined by testing.</t>
  </si>
  <si>
    <t>Typically 5%.  Needs to be determined by testing.</t>
  </si>
  <si>
    <t>P0min</t>
  </si>
  <si>
    <t>Used for evaluating performance</t>
  </si>
  <si>
    <t>Nominal applied preload</t>
  </si>
  <si>
    <t>Lg</t>
  </si>
  <si>
    <t>Bolted joint stiffness</t>
  </si>
  <si>
    <t>Bolt</t>
  </si>
  <si>
    <t>E</t>
  </si>
  <si>
    <t>A</t>
  </si>
  <si>
    <t>kb</t>
  </si>
  <si>
    <t>Msi</t>
  </si>
  <si>
    <t>kips/in</t>
  </si>
  <si>
    <t>Spherical washer set</t>
  </si>
  <si>
    <t>Load washer</t>
  </si>
  <si>
    <t>Insulating break</t>
  </si>
  <si>
    <t>Shim</t>
  </si>
  <si>
    <t>ID</t>
  </si>
  <si>
    <t>OD</t>
  </si>
  <si>
    <t>Ac</t>
  </si>
  <si>
    <t>L</t>
  </si>
  <si>
    <t>References</t>
  </si>
  <si>
    <t>1, 2</t>
  </si>
  <si>
    <t>G11CR</t>
  </si>
  <si>
    <t>Titanium</t>
  </si>
  <si>
    <t>SS316LN</t>
  </si>
  <si>
    <t>Elongation</t>
  </si>
  <si>
    <t>Handbook for SC Machinery</t>
  </si>
  <si>
    <t>Upper flange</t>
  </si>
  <si>
    <t>Lower flange (tapped hole)</t>
  </si>
  <si>
    <t>d</t>
  </si>
  <si>
    <t>db</t>
  </si>
  <si>
    <t>dj</t>
  </si>
  <si>
    <t>Inco718</t>
  </si>
  <si>
    <t>Male + female</t>
  </si>
  <si>
    <t>Male</t>
  </si>
  <si>
    <t>ITER handbook</t>
  </si>
  <si>
    <t>Insulating washer</t>
  </si>
  <si>
    <t>Kasen et al, "Mechanical, electrical, and thermal characterization of G-10CR and G-11CR…"</t>
  </si>
  <si>
    <t>G11CR through thickness properties, yield is in compression</t>
  </si>
  <si>
    <t>7, 8</t>
  </si>
  <si>
    <t>Roach, F. "Mechanical properties of insulation for structural analysis", TPX memo 14-12210.3-WSTC/JFROACH</t>
  </si>
  <si>
    <t>Circular equivalent</t>
  </si>
  <si>
    <t>Minus insulating break</t>
  </si>
  <si>
    <t>Same as shim</t>
  </si>
  <si>
    <t>Same as bolt</t>
  </si>
  <si>
    <t>From bottom of insulating washer mid-way
through lower flange</t>
  </si>
  <si>
    <t>Db</t>
  </si>
  <si>
    <t>OD of load washer</t>
  </si>
  <si>
    <t>Dh</t>
  </si>
  <si>
    <t>ID of upper flange</t>
  </si>
  <si>
    <t>Dj</t>
  </si>
  <si>
    <t>Equivalent OD of shim</t>
  </si>
  <si>
    <t>T/D</t>
  </si>
  <si>
    <t>Should be &lt;8 for the formulas used</t>
  </si>
  <si>
    <t>Ac1</t>
  </si>
  <si>
    <t>Ac2</t>
  </si>
  <si>
    <t>Effective area using equivalent cylinder approximation</t>
  </si>
  <si>
    <t>Use area from equivalent cylinder calculation</t>
  </si>
  <si>
    <t>EqOD</t>
  </si>
  <si>
    <t>OD from equivalent cylinder</t>
  </si>
  <si>
    <t>Use only half of thread engagement</t>
  </si>
  <si>
    <t>in/kip</t>
  </si>
  <si>
    <t>Deflection at nominal preload</t>
  </si>
  <si>
    <t>mils</t>
  </si>
  <si>
    <t>k</t>
  </si>
  <si>
    <t>Deflection under nominal preload</t>
  </si>
  <si>
    <t>Calculate area for equivalent cylinder (Bickford, pg. 152)</t>
  </si>
  <si>
    <t>Confirm with FEA and testing</t>
  </si>
  <si>
    <t>Calculate change in preload due to cooldown</t>
  </si>
  <si>
    <t>eth</t>
  </si>
  <si>
    <t>me</t>
  </si>
  <si>
    <t>Lg ethb</t>
  </si>
  <si>
    <t>Thermal strain in bolt</t>
  </si>
  <si>
    <t>Sum(Li ethi)</t>
  </si>
  <si>
    <t>Thermal strain in joint</t>
  </si>
  <si>
    <r>
      <t>D</t>
    </r>
    <r>
      <rPr>
        <sz val="10"/>
        <rFont val="Arial"/>
        <family val="2"/>
      </rPr>
      <t>P</t>
    </r>
  </si>
  <si>
    <t>kt</t>
  </si>
  <si>
    <t>Eq. 12</t>
  </si>
  <si>
    <t>Eq. 13</t>
  </si>
  <si>
    <t>Grip length from bottom of nut to half the thread engagement in the lower flange.  Ref. Eq. 13.</t>
  </si>
  <si>
    <t>Eq. 14</t>
  </si>
  <si>
    <t>Eq. 14. Use when Dj&lt;3Db</t>
  </si>
  <si>
    <t>Eq. 15. Use when Dj&gt;3Db</t>
  </si>
  <si>
    <t>Eq. 15</t>
  </si>
  <si>
    <t>Eq. 16</t>
  </si>
  <si>
    <t>Total stiffness, Eq. 17.</t>
  </si>
  <si>
    <t>Eq. 17</t>
  </si>
  <si>
    <t>Eq. 18</t>
  </si>
  <si>
    <t>Cooldown strain from RT to 80K, Eq. 18</t>
  </si>
  <si>
    <t>Change in preload due to thermal strain, Eq. 19</t>
  </si>
  <si>
    <t>Eq. 19</t>
  </si>
  <si>
    <t>G11 per SE140-192</t>
  </si>
  <si>
    <t>316L per SE140-193</t>
  </si>
  <si>
    <t>Inco625 per SE140-194</t>
  </si>
  <si>
    <t>316 per DS140-040</t>
  </si>
  <si>
    <t>G11 per DS140-040.  Thickness not specified.</t>
  </si>
  <si>
    <t>Calculate change in preload due to change in elasticity</t>
  </si>
  <si>
    <t>kb80</t>
  </si>
  <si>
    <t>E80</t>
  </si>
  <si>
    <t>k80</t>
  </si>
  <si>
    <t>Calculate effective stiffness through joint</t>
  </si>
  <si>
    <t>Joint stiffness at 80K</t>
  </si>
  <si>
    <t>kj80</t>
  </si>
  <si>
    <t>kt80</t>
  </si>
  <si>
    <t>Eq. 20</t>
  </si>
  <si>
    <t>Change in preload due to stiffness, Eq. 20</t>
  </si>
  <si>
    <t>Estimated</t>
  </si>
  <si>
    <t>1/kt</t>
  </si>
  <si>
    <t>kj</t>
  </si>
  <si>
    <t>Total stiffness at 80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</si>
</sst>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\ &quot;$&quot;;\-#,##0\ &quot;$&quot;"/>
    <numFmt numFmtId="170" formatCode="#,##0\ &quot;$&quot;;[Red]\-#,##0\ &quot;$&quot;"/>
    <numFmt numFmtId="171" formatCode="#,##0.00\ &quot;$&quot;;\-#,##0.00\ &quot;$&quot;"/>
    <numFmt numFmtId="172" formatCode="#,##0.00\ &quot;$&quot;;[Red]\-#,##0.00\ &quot;$&quot;"/>
    <numFmt numFmtId="173" formatCode="_-* #,##0\ &quot;$&quot;_-;\-* #,##0\ &quot;$&quot;_-;_-* &quot;-&quot;\ &quot;$&quot;_-;_-@_-"/>
    <numFmt numFmtId="174" formatCode="_-* #,##0\ _$_-;\-* #,##0\ _$_-;_-* &quot;-&quot;\ _$_-;_-@_-"/>
    <numFmt numFmtId="175" formatCode="_-* #,##0.00\ &quot;$&quot;_-;\-* #,##0.00\ &quot;$&quot;_-;_-* &quot;-&quot;??\ &quot;$&quot;_-;_-@_-"/>
    <numFmt numFmtId="176" formatCode="_-* #,##0.00\ _$_-;\-* #,##0.00\ _$_-;_-* &quot;-&quot;??\ _$_-;_-@_-"/>
    <numFmt numFmtId="177" formatCode="0.0000"/>
    <numFmt numFmtId="178" formatCode="0.000"/>
    <numFmt numFmtId="179" formatCode="0.000E+00"/>
    <numFmt numFmtId="180" formatCode="0.00000"/>
    <numFmt numFmtId="181" formatCode="0.000000"/>
    <numFmt numFmtId="182" formatCode="0.00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Symbol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0" fillId="0" borderId="3" xfId="0" applyFont="1" applyBorder="1" applyAlignment="1">
      <alignment horizontal="right" wrapText="1"/>
    </xf>
    <xf numFmtId="0" fontId="0" fillId="0" borderId="3" xfId="0" applyFont="1" applyFill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0" fontId="0" fillId="0" borderId="3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wrapText="1" indent="1"/>
    </xf>
    <xf numFmtId="1" fontId="0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2" fontId="0" fillId="0" borderId="0" xfId="0" applyNumberFormat="1" applyFont="1" applyAlignment="1">
      <alignment horizontal="right"/>
    </xf>
    <xf numFmtId="0" fontId="0" fillId="3" borderId="0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2" fontId="0" fillId="2" borderId="0" xfId="0" applyNumberFormat="1" applyFont="1" applyFill="1" applyAlignment="1">
      <alignment horizontal="right"/>
    </xf>
    <xf numFmtId="1" fontId="0" fillId="2" borderId="0" xfId="0" applyNumberFormat="1" applyFont="1" applyFill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9" fontId="0" fillId="0" borderId="1" xfId="21" applyFont="1" applyBorder="1" applyAlignment="1">
      <alignment horizontal="right"/>
    </xf>
    <xf numFmtId="9" fontId="0" fillId="0" borderId="0" xfId="21" applyFont="1" applyBorder="1" applyAlignment="1">
      <alignment horizontal="right"/>
    </xf>
    <xf numFmtId="9" fontId="0" fillId="0" borderId="0" xfId="21" applyFont="1" applyFill="1" applyBorder="1" applyAlignment="1">
      <alignment/>
    </xf>
    <xf numFmtId="9" fontId="0" fillId="0" borderId="0" xfId="21" applyFont="1" applyFill="1" applyBorder="1" applyAlignment="1">
      <alignment horizontal="right"/>
    </xf>
    <xf numFmtId="9" fontId="0" fillId="0" borderId="6" xfId="21" applyFont="1" applyFill="1" applyBorder="1" applyAlignment="1">
      <alignment horizontal="right"/>
    </xf>
    <xf numFmtId="9" fontId="0" fillId="0" borderId="0" xfId="21" applyFont="1" applyBorder="1" applyAlignment="1">
      <alignment/>
    </xf>
    <xf numFmtId="0" fontId="0" fillId="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68" fontId="0" fillId="4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/>
    </xf>
    <xf numFmtId="168" fontId="0" fillId="0" borderId="0" xfId="0" applyNumberFormat="1" applyFont="1" applyAlignment="1">
      <alignment horizontal="right"/>
    </xf>
    <xf numFmtId="0" fontId="0" fillId="4" borderId="0" xfId="0" applyFont="1" applyFill="1" applyAlignment="1">
      <alignment horizontal="right"/>
    </xf>
    <xf numFmtId="1" fontId="0" fillId="4" borderId="1" xfId="0" applyNumberFormat="1" applyFont="1" applyFill="1" applyBorder="1" applyAlignment="1">
      <alignment horizontal="right"/>
    </xf>
    <xf numFmtId="1" fontId="0" fillId="4" borderId="0" xfId="0" applyNumberFormat="1" applyFont="1" applyFill="1" applyBorder="1" applyAlignment="1">
      <alignment horizontal="right"/>
    </xf>
    <xf numFmtId="178" fontId="0" fillId="4" borderId="1" xfId="0" applyNumberFormat="1" applyFont="1" applyFill="1" applyBorder="1" applyAlignment="1">
      <alignment horizontal="right"/>
    </xf>
    <xf numFmtId="0" fontId="0" fillId="4" borderId="0" xfId="0" applyFont="1" applyFill="1" applyBorder="1" applyAlignment="1">
      <alignment/>
    </xf>
    <xf numFmtId="0" fontId="0" fillId="4" borderId="6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99CC"/>
        </patternFill>
      </fill>
      <border/>
    </dxf>
    <dxf>
      <fill>
        <patternFill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7.wmf" /><Relationship Id="rId6" Type="http://schemas.openxmlformats.org/officeDocument/2006/relationships/image" Target="../media/image8.wmf" /><Relationship Id="rId7" Type="http://schemas.openxmlformats.org/officeDocument/2006/relationships/image" Target="../media/image9.wmf" /><Relationship Id="rId8" Type="http://schemas.openxmlformats.org/officeDocument/2006/relationships/image" Target="../media/image5.wmf" /><Relationship Id="rId9" Type="http://schemas.openxmlformats.org/officeDocument/2006/relationships/image" Target="../media/image6.wmf" /><Relationship Id="rId10" Type="http://schemas.openxmlformats.org/officeDocument/2006/relationships/image" Target="../media/image11.wmf" /><Relationship Id="rId11" Type="http://schemas.openxmlformats.org/officeDocument/2006/relationships/image" Target="../media/image12.wmf" /><Relationship Id="rId12" Type="http://schemas.openxmlformats.org/officeDocument/2006/relationships/image" Target="../media/image10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8.wmf" /><Relationship Id="rId18" Type="http://schemas.openxmlformats.org/officeDocument/2006/relationships/image" Target="../media/image19.wmf" /><Relationship Id="rId19" Type="http://schemas.openxmlformats.org/officeDocument/2006/relationships/image" Target="../media/image20.wmf" /><Relationship Id="rId20" Type="http://schemas.openxmlformats.org/officeDocument/2006/relationships/image" Target="../media/image17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vmlDrawing" Target="../drawings/vmlDrawing1.vm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P170"/>
  <sheetViews>
    <sheetView tabSelected="1" workbookViewId="0" topLeftCell="A140">
      <selection activeCell="H164" sqref="H164"/>
    </sheetView>
  </sheetViews>
  <sheetFormatPr defaultColWidth="9.140625" defaultRowHeight="12.75"/>
  <cols>
    <col min="1" max="1" width="13.140625" style="7" customWidth="1"/>
    <col min="2" max="2" width="11.57421875" style="7" bestFit="1" customWidth="1"/>
    <col min="3" max="3" width="9.140625" style="8" customWidth="1"/>
    <col min="4" max="4" width="41.140625" style="31" customWidth="1"/>
    <col min="5" max="5" width="3.57421875" style="8" customWidth="1"/>
    <col min="6" max="6" width="23.28125" style="8" customWidth="1"/>
    <col min="7" max="7" width="9.140625" style="7" customWidth="1"/>
    <col min="8" max="9" width="9.140625" style="8" customWidth="1"/>
    <col min="10" max="10" width="8.57421875" style="8" bestFit="1" customWidth="1"/>
    <col min="11" max="11" width="8.00390625" style="7" bestFit="1" customWidth="1"/>
    <col min="12" max="12" width="8.8515625" style="7" bestFit="1" customWidth="1"/>
    <col min="13" max="16" width="6.8515625" style="7" customWidth="1"/>
    <col min="17" max="16384" width="9.140625" style="8" customWidth="1"/>
  </cols>
  <sheetData>
    <row r="2" spans="1:6" ht="12.75">
      <c r="A2" s="4" t="s">
        <v>34</v>
      </c>
      <c r="F2" s="5" t="s">
        <v>23</v>
      </c>
    </row>
    <row r="4" spans="1:7" ht="12.75">
      <c r="A4" s="3" t="s">
        <v>62</v>
      </c>
      <c r="B4" s="2"/>
      <c r="C4" s="1"/>
      <c r="D4" s="32"/>
      <c r="F4" s="1" t="s">
        <v>22</v>
      </c>
      <c r="G4" s="3"/>
    </row>
    <row r="5" spans="1:16" ht="51">
      <c r="A5" s="3"/>
      <c r="B5" s="2"/>
      <c r="C5" s="1"/>
      <c r="D5" s="30" t="s">
        <v>56</v>
      </c>
      <c r="F5" s="14" t="s">
        <v>24</v>
      </c>
      <c r="G5" s="14" t="s">
        <v>7</v>
      </c>
      <c r="H5" s="14" t="s">
        <v>8</v>
      </c>
      <c r="I5" s="14" t="s">
        <v>0</v>
      </c>
      <c r="J5" s="14" t="s">
        <v>25</v>
      </c>
      <c r="K5" s="15" t="s">
        <v>28</v>
      </c>
      <c r="L5" s="15" t="s">
        <v>29</v>
      </c>
      <c r="M5" s="15" t="s">
        <v>30</v>
      </c>
      <c r="N5" s="15" t="s">
        <v>31</v>
      </c>
      <c r="O5" s="14" t="s">
        <v>45</v>
      </c>
      <c r="P5" s="14" t="s">
        <v>46</v>
      </c>
    </row>
    <row r="6" spans="1:16" ht="12.75">
      <c r="A6" s="7" t="s">
        <v>32</v>
      </c>
      <c r="B6" s="17">
        <v>5</v>
      </c>
      <c r="D6" s="31" t="s">
        <v>33</v>
      </c>
      <c r="F6" s="69">
        <v>1</v>
      </c>
      <c r="G6" s="18">
        <v>1.375</v>
      </c>
      <c r="H6" s="18">
        <v>6</v>
      </c>
      <c r="I6" s="18" t="s">
        <v>5</v>
      </c>
      <c r="J6" s="11" t="s">
        <v>26</v>
      </c>
      <c r="K6" s="24">
        <v>1.3726</v>
      </c>
      <c r="L6" s="24">
        <v>1.3453</v>
      </c>
      <c r="M6" s="19"/>
      <c r="N6" s="19"/>
      <c r="O6" s="24">
        <v>1.2643</v>
      </c>
      <c r="P6" s="25">
        <v>1.2523</v>
      </c>
    </row>
    <row r="7" spans="1:16" ht="12.75">
      <c r="A7" s="7" t="s">
        <v>7</v>
      </c>
      <c r="B7" s="16">
        <f>VLOOKUP(B6,F6:P15,2,0)</f>
        <v>1.375</v>
      </c>
      <c r="C7" s="8" t="s">
        <v>10</v>
      </c>
      <c r="D7" s="31" t="s">
        <v>9</v>
      </c>
      <c r="F7" s="71">
        <f aca="true" t="shared" si="0" ref="F7:F13">F6+1</f>
        <v>2</v>
      </c>
      <c r="G7" s="20">
        <v>1.375</v>
      </c>
      <c r="H7" s="20">
        <v>6</v>
      </c>
      <c r="I7" s="20" t="s">
        <v>6</v>
      </c>
      <c r="J7" s="12" t="s">
        <v>27</v>
      </c>
      <c r="K7" s="21"/>
      <c r="L7" s="21"/>
      <c r="M7" s="26">
        <v>1.225</v>
      </c>
      <c r="N7" s="26">
        <v>1.195</v>
      </c>
      <c r="O7" s="26">
        <v>1.2822</v>
      </c>
      <c r="P7" s="27">
        <v>1.2667</v>
      </c>
    </row>
    <row r="8" spans="1:16" ht="12.75">
      <c r="A8" s="7" t="s">
        <v>8</v>
      </c>
      <c r="B8" s="16">
        <f>VLOOKUP(B6,F6:P15,3,0)</f>
        <v>6</v>
      </c>
      <c r="C8" s="8" t="s">
        <v>11</v>
      </c>
      <c r="D8" s="31" t="s">
        <v>12</v>
      </c>
      <c r="F8" s="71">
        <f t="shared" si="0"/>
        <v>3</v>
      </c>
      <c r="G8" s="12">
        <v>1.375</v>
      </c>
      <c r="H8" s="12">
        <v>6</v>
      </c>
      <c r="I8" s="12" t="s">
        <v>1</v>
      </c>
      <c r="J8" s="12" t="s">
        <v>26</v>
      </c>
      <c r="K8" s="26">
        <v>1.3726</v>
      </c>
      <c r="L8" s="26">
        <v>1.3544</v>
      </c>
      <c r="M8" s="21"/>
      <c r="N8" s="21"/>
      <c r="O8" s="26">
        <v>1.2643</v>
      </c>
      <c r="P8" s="27">
        <v>1.2563</v>
      </c>
    </row>
    <row r="9" spans="2:16" ht="12.75">
      <c r="B9" s="17" t="s">
        <v>17</v>
      </c>
      <c r="D9" s="31" t="s">
        <v>80</v>
      </c>
      <c r="F9" s="71">
        <f t="shared" si="0"/>
        <v>4</v>
      </c>
      <c r="G9" s="12">
        <v>1.375</v>
      </c>
      <c r="H9" s="12">
        <v>6</v>
      </c>
      <c r="I9" s="12" t="s">
        <v>2</v>
      </c>
      <c r="J9" s="12" t="s">
        <v>27</v>
      </c>
      <c r="K9" s="21"/>
      <c r="L9" s="21"/>
      <c r="M9" s="26">
        <v>1.225</v>
      </c>
      <c r="N9" s="26">
        <v>1.195</v>
      </c>
      <c r="O9" s="26">
        <v>1.2771</v>
      </c>
      <c r="P9" s="27">
        <v>1.2667</v>
      </c>
    </row>
    <row r="10" spans="1:16" ht="12.75">
      <c r="A10" s="7" t="s">
        <v>77</v>
      </c>
      <c r="B10" s="7">
        <f>HLOOKUP(B9,G22:L32,2,FALSE)</f>
        <v>130</v>
      </c>
      <c r="C10" s="8" t="s">
        <v>16</v>
      </c>
      <c r="D10" s="31" t="s">
        <v>40</v>
      </c>
      <c r="F10" s="71">
        <f t="shared" si="0"/>
        <v>5</v>
      </c>
      <c r="G10" s="39">
        <v>1.375</v>
      </c>
      <c r="H10" s="39">
        <v>6</v>
      </c>
      <c r="I10" s="39" t="s">
        <v>3</v>
      </c>
      <c r="J10" s="39" t="s">
        <v>26</v>
      </c>
      <c r="K10" s="40">
        <v>1.375</v>
      </c>
      <c r="L10" s="40">
        <v>1.3568</v>
      </c>
      <c r="M10" s="39"/>
      <c r="N10" s="39"/>
      <c r="O10" s="40">
        <v>1.2667</v>
      </c>
      <c r="P10" s="41">
        <v>1.2607</v>
      </c>
    </row>
    <row r="11" spans="1:16" ht="12.75">
      <c r="A11" s="7" t="s">
        <v>20</v>
      </c>
      <c r="B11" s="7">
        <f>VLOOKUP(B6,F6:P15,11,0)</f>
        <v>1.2607</v>
      </c>
      <c r="C11" s="8" t="s">
        <v>10</v>
      </c>
      <c r="D11" s="31" t="s">
        <v>21</v>
      </c>
      <c r="F11" s="71">
        <f t="shared" si="0"/>
        <v>6</v>
      </c>
      <c r="G11" s="39">
        <v>1.375</v>
      </c>
      <c r="H11" s="39">
        <v>6</v>
      </c>
      <c r="I11" s="39" t="s">
        <v>4</v>
      </c>
      <c r="J11" s="39" t="s">
        <v>27</v>
      </c>
      <c r="K11" s="39"/>
      <c r="L11" s="39"/>
      <c r="M11" s="40">
        <v>1.2146</v>
      </c>
      <c r="N11" s="40">
        <v>1.195</v>
      </c>
      <c r="O11" s="40">
        <v>1.2745</v>
      </c>
      <c r="P11" s="41">
        <v>1.2667</v>
      </c>
    </row>
    <row r="12" spans="1:16" ht="12.75">
      <c r="A12" s="7" t="s">
        <v>48</v>
      </c>
      <c r="B12" s="7">
        <f>PI()/4*(B7-0.9743/B8)^2</f>
        <v>1.1548802315778162</v>
      </c>
      <c r="C12" s="8" t="s">
        <v>15</v>
      </c>
      <c r="D12" s="31" t="s">
        <v>53</v>
      </c>
      <c r="F12" s="71">
        <f t="shared" si="0"/>
        <v>7</v>
      </c>
      <c r="G12" s="12">
        <v>1.375</v>
      </c>
      <c r="H12" s="12">
        <v>8</v>
      </c>
      <c r="I12" s="12" t="s">
        <v>1</v>
      </c>
      <c r="J12" s="12" t="s">
        <v>26</v>
      </c>
      <c r="K12" s="26">
        <v>1.3728</v>
      </c>
      <c r="L12" s="26">
        <v>1.3578</v>
      </c>
      <c r="M12" s="21"/>
      <c r="N12" s="21"/>
      <c r="O12" s="26">
        <v>1.2916</v>
      </c>
      <c r="P12" s="27">
        <v>1.2844</v>
      </c>
    </row>
    <row r="13" spans="1:16" ht="12.75">
      <c r="A13" s="7" t="s">
        <v>49</v>
      </c>
      <c r="B13" s="7">
        <f>PI()*(B11/2-0.16238/B8)^2</f>
        <v>1.143397732760433</v>
      </c>
      <c r="C13" s="8" t="s">
        <v>15</v>
      </c>
      <c r="D13" s="31" t="s">
        <v>54</v>
      </c>
      <c r="F13" s="71">
        <f t="shared" si="0"/>
        <v>8</v>
      </c>
      <c r="G13" s="12">
        <v>1.375</v>
      </c>
      <c r="H13" s="12">
        <v>8</v>
      </c>
      <c r="I13" s="12" t="s">
        <v>2</v>
      </c>
      <c r="J13" s="12" t="s">
        <v>27</v>
      </c>
      <c r="K13" s="21"/>
      <c r="L13" s="21"/>
      <c r="M13" s="26">
        <v>1.265</v>
      </c>
      <c r="N13" s="26">
        <v>1.24</v>
      </c>
      <c r="O13" s="26">
        <v>1.3031</v>
      </c>
      <c r="P13" s="27">
        <v>1.2938</v>
      </c>
    </row>
    <row r="14" spans="1:16" ht="12.75">
      <c r="A14" s="7" t="s">
        <v>13</v>
      </c>
      <c r="B14" s="7">
        <f>IF(B10&gt;100,B13,B12)</f>
        <v>1.143397732760433</v>
      </c>
      <c r="C14" s="8" t="s">
        <v>15</v>
      </c>
      <c r="D14" s="31" t="s">
        <v>14</v>
      </c>
      <c r="F14" s="72">
        <v>9</v>
      </c>
      <c r="G14" s="12">
        <v>1.375</v>
      </c>
      <c r="H14" s="12">
        <v>8</v>
      </c>
      <c r="I14" s="12" t="s">
        <v>3</v>
      </c>
      <c r="J14" s="12" t="s">
        <v>26</v>
      </c>
      <c r="K14" s="26">
        <v>1.375</v>
      </c>
      <c r="L14" s="26">
        <v>1.36</v>
      </c>
      <c r="M14" s="21"/>
      <c r="N14" s="21"/>
      <c r="O14" s="26">
        <v>1.2938</v>
      </c>
      <c r="P14" s="27">
        <v>1.2884</v>
      </c>
    </row>
    <row r="15" spans="1:16" ht="12.75">
      <c r="A15" s="7" t="s">
        <v>66</v>
      </c>
      <c r="B15" s="7">
        <f>PI()*B25*B27*(1/2+0.57735*B8*(B11-B27))</f>
        <v>3.461218742007938</v>
      </c>
      <c r="C15" s="8" t="s">
        <v>15</v>
      </c>
      <c r="D15" s="31" t="s">
        <v>65</v>
      </c>
      <c r="F15" s="73">
        <v>10</v>
      </c>
      <c r="G15" s="13">
        <v>1.375</v>
      </c>
      <c r="H15" s="13">
        <v>8</v>
      </c>
      <c r="I15" s="13" t="s">
        <v>4</v>
      </c>
      <c r="J15" s="13" t="s">
        <v>27</v>
      </c>
      <c r="K15" s="22"/>
      <c r="L15" s="22"/>
      <c r="M15" s="28">
        <v>1.2547</v>
      </c>
      <c r="N15" s="28">
        <v>1.24</v>
      </c>
      <c r="O15" s="28">
        <v>1.3008</v>
      </c>
      <c r="P15" s="29">
        <v>1.2938</v>
      </c>
    </row>
    <row r="16" spans="1:16" ht="12.75">
      <c r="A16" s="7" t="s">
        <v>70</v>
      </c>
      <c r="B16" s="7">
        <f>VLOOKUP(B6,F6:P15,7,0)</f>
        <v>1.3568</v>
      </c>
      <c r="C16" s="8" t="s">
        <v>10</v>
      </c>
      <c r="D16" s="8" t="s">
        <v>111</v>
      </c>
      <c r="F16" s="5" t="s">
        <v>59</v>
      </c>
      <c r="G16" s="12"/>
      <c r="H16" s="12"/>
      <c r="I16" s="12"/>
      <c r="J16" s="12"/>
      <c r="K16" s="21"/>
      <c r="L16" s="21"/>
      <c r="M16" s="26"/>
      <c r="N16" s="26"/>
      <c r="O16" s="26"/>
      <c r="P16" s="26"/>
    </row>
    <row r="17" spans="1:6" ht="12.75">
      <c r="A17" s="7" t="s">
        <v>95</v>
      </c>
      <c r="B17" s="35">
        <f>MIN(B18:B20)</f>
        <v>148.6417052588563</v>
      </c>
      <c r="C17" s="8" t="s">
        <v>101</v>
      </c>
      <c r="D17" s="31" t="s">
        <v>109</v>
      </c>
      <c r="F17" s="5" t="s">
        <v>60</v>
      </c>
    </row>
    <row r="18" spans="1:6" ht="12.75">
      <c r="A18" s="33"/>
      <c r="B18" s="36">
        <f>B10*B14</f>
        <v>148.6417052588563</v>
      </c>
      <c r="C18" s="5" t="s">
        <v>101</v>
      </c>
      <c r="D18" s="34" t="s">
        <v>96</v>
      </c>
      <c r="F18" s="5"/>
    </row>
    <row r="19" spans="1:16" s="1" customFormat="1" ht="12.75">
      <c r="A19" s="33"/>
      <c r="B19" s="36">
        <f>B15*B10/2</f>
        <v>224.97921823051595</v>
      </c>
      <c r="C19" s="5" t="s">
        <v>101</v>
      </c>
      <c r="D19" s="34" t="s">
        <v>97</v>
      </c>
      <c r="F19" s="5" t="s">
        <v>61</v>
      </c>
      <c r="G19" s="7"/>
      <c r="H19" s="8"/>
      <c r="I19" s="8"/>
      <c r="J19" s="8"/>
      <c r="K19" s="7"/>
      <c r="L19" s="7"/>
      <c r="M19" s="7"/>
      <c r="N19" s="7"/>
      <c r="O19" s="7"/>
      <c r="P19" s="7"/>
    </row>
    <row r="20" spans="1:4" ht="12.75">
      <c r="A20" s="33"/>
      <c r="B20" s="36">
        <f>B31*B29/2</f>
        <v>188.65777661663472</v>
      </c>
      <c r="C20" s="5" t="s">
        <v>101</v>
      </c>
      <c r="D20" s="34" t="s">
        <v>98</v>
      </c>
    </row>
    <row r="21" spans="6:16" ht="12.75">
      <c r="F21" s="1" t="s">
        <v>19</v>
      </c>
      <c r="G21" s="3" t="s">
        <v>36</v>
      </c>
      <c r="H21" s="1"/>
      <c r="I21" s="1"/>
      <c r="J21" s="1"/>
      <c r="K21" s="2"/>
      <c r="L21" s="2"/>
      <c r="M21" s="2"/>
      <c r="N21" s="2"/>
      <c r="O21" s="2"/>
      <c r="P21" s="2"/>
    </row>
    <row r="22" spans="1:12" ht="12.75">
      <c r="A22" s="3" t="s">
        <v>58</v>
      </c>
      <c r="F22" s="7" t="s">
        <v>18</v>
      </c>
      <c r="G22" s="69" t="s">
        <v>17</v>
      </c>
      <c r="H22" s="19" t="s">
        <v>35</v>
      </c>
      <c r="I22" s="19" t="s">
        <v>145</v>
      </c>
      <c r="J22" s="19" t="s">
        <v>155</v>
      </c>
      <c r="K22" s="19" t="s">
        <v>146</v>
      </c>
      <c r="L22" s="70" t="s">
        <v>147</v>
      </c>
    </row>
    <row r="23" spans="1:14" ht="25.5">
      <c r="A23" s="3"/>
      <c r="D23" s="30" t="s">
        <v>114</v>
      </c>
      <c r="F23" s="7" t="s">
        <v>37</v>
      </c>
      <c r="G23" s="9">
        <v>130</v>
      </c>
      <c r="H23" s="12">
        <v>82</v>
      </c>
      <c r="I23" s="46"/>
      <c r="J23" s="21">
        <v>190</v>
      </c>
      <c r="K23" s="21">
        <v>145</v>
      </c>
      <c r="L23" s="44">
        <v>90</v>
      </c>
      <c r="N23"/>
    </row>
    <row r="24" spans="1:12" ht="25.5">
      <c r="A24" s="7" t="s">
        <v>32</v>
      </c>
      <c r="B24" s="16">
        <f>B6+1</f>
        <v>6</v>
      </c>
      <c r="D24" s="30" t="s">
        <v>115</v>
      </c>
      <c r="F24" s="7" t="s">
        <v>79</v>
      </c>
      <c r="G24" s="9">
        <v>85</v>
      </c>
      <c r="H24" s="12">
        <v>35</v>
      </c>
      <c r="I24" s="46">
        <v>66</v>
      </c>
      <c r="J24" s="21">
        <v>157</v>
      </c>
      <c r="K24" s="21">
        <v>137</v>
      </c>
      <c r="L24" s="44">
        <v>40</v>
      </c>
    </row>
    <row r="25" spans="1:12" ht="38.25">
      <c r="A25" s="7" t="s">
        <v>57</v>
      </c>
      <c r="B25" s="17">
        <v>1.375</v>
      </c>
      <c r="C25" s="8" t="s">
        <v>10</v>
      </c>
      <c r="D25" s="31" t="s">
        <v>83</v>
      </c>
      <c r="F25" s="7" t="s">
        <v>99</v>
      </c>
      <c r="G25" s="64">
        <f>0.85*G24</f>
        <v>72.25</v>
      </c>
      <c r="H25" s="65">
        <f>0.85*H24</f>
        <v>29.75</v>
      </c>
      <c r="I25" s="65"/>
      <c r="J25" s="65">
        <f>0.85*J24</f>
        <v>133.45</v>
      </c>
      <c r="K25" s="65">
        <f>0.85*K24</f>
        <v>116.45</v>
      </c>
      <c r="L25" s="65">
        <f>0.85*L24</f>
        <v>34</v>
      </c>
    </row>
    <row r="26" spans="1:12" ht="12.75">
      <c r="A26" s="7" t="s">
        <v>74</v>
      </c>
      <c r="B26" s="16">
        <f>B25/B7</f>
        <v>1</v>
      </c>
      <c r="D26" s="31" t="s">
        <v>73</v>
      </c>
      <c r="F26" s="7" t="s">
        <v>38</v>
      </c>
      <c r="G26" s="9">
        <v>29.1</v>
      </c>
      <c r="H26" s="12">
        <v>21.6</v>
      </c>
      <c r="I26" s="46">
        <v>2.7</v>
      </c>
      <c r="J26" s="21">
        <v>29.6</v>
      </c>
      <c r="K26" s="21">
        <v>15.8</v>
      </c>
      <c r="L26" s="44">
        <v>28.2</v>
      </c>
    </row>
    <row r="27" spans="1:12" ht="12.75">
      <c r="A27" s="7" t="s">
        <v>63</v>
      </c>
      <c r="B27" s="7">
        <f>VLOOKUP(B24,F6:P15,8,0)</f>
        <v>1.2146</v>
      </c>
      <c r="C27" s="8" t="s">
        <v>10</v>
      </c>
      <c r="D27" s="8" t="s">
        <v>64</v>
      </c>
      <c r="F27" s="7" t="s">
        <v>39</v>
      </c>
      <c r="G27" s="9">
        <v>0</v>
      </c>
      <c r="H27" s="12">
        <v>0</v>
      </c>
      <c r="I27" s="46">
        <v>0</v>
      </c>
      <c r="J27" s="21">
        <v>0</v>
      </c>
      <c r="K27" s="21">
        <v>0</v>
      </c>
      <c r="L27" s="44">
        <v>0</v>
      </c>
    </row>
    <row r="28" spans="1:12" ht="12.75">
      <c r="A28" s="7" t="s">
        <v>71</v>
      </c>
      <c r="B28" s="7">
        <f>VLOOKUP(B24,F6:P15,10,0)</f>
        <v>1.2745</v>
      </c>
      <c r="C28" s="8" t="s">
        <v>10</v>
      </c>
      <c r="D28" s="8" t="s">
        <v>72</v>
      </c>
      <c r="F28" s="7" t="s">
        <v>41</v>
      </c>
      <c r="G28" s="9">
        <v>0.31</v>
      </c>
      <c r="H28" s="56">
        <f>L28</f>
        <v>0.294</v>
      </c>
      <c r="I28" s="46"/>
      <c r="J28" s="21">
        <v>0.308</v>
      </c>
      <c r="K28" s="21">
        <v>0.333</v>
      </c>
      <c r="L28" s="44">
        <v>0.294</v>
      </c>
    </row>
    <row r="29" spans="1:12" ht="12.75">
      <c r="A29" s="7" t="s">
        <v>68</v>
      </c>
      <c r="B29" s="7">
        <f>PI()*B25*B16*(0.5+0.57735*B8*(B16-B28))</f>
        <v>4.601409185771579</v>
      </c>
      <c r="C29" s="8" t="s">
        <v>15</v>
      </c>
      <c r="D29" s="31" t="s">
        <v>69</v>
      </c>
      <c r="F29" s="7" t="s">
        <v>148</v>
      </c>
      <c r="G29" s="50"/>
      <c r="H29" s="51"/>
      <c r="I29" s="52"/>
      <c r="J29" s="53">
        <v>0.2</v>
      </c>
      <c r="K29" s="53">
        <v>0.117</v>
      </c>
      <c r="L29" s="54">
        <v>0.56</v>
      </c>
    </row>
    <row r="30" spans="1:14" ht="12.75">
      <c r="A30" s="7" t="s">
        <v>18</v>
      </c>
      <c r="B30" s="17" t="s">
        <v>35</v>
      </c>
      <c r="D30" s="31" t="s">
        <v>81</v>
      </c>
      <c r="F30" s="7"/>
      <c r="G30" s="9"/>
      <c r="H30" s="12"/>
      <c r="I30" s="46"/>
      <c r="J30" s="21"/>
      <c r="K30" s="21"/>
      <c r="L30" s="44"/>
      <c r="N30"/>
    </row>
    <row r="31" spans="1:12" ht="12.75">
      <c r="A31" s="7" t="s">
        <v>76</v>
      </c>
      <c r="B31" s="7">
        <f>HLOOKUP(B30,G22:L32,2,FALSE)</f>
        <v>82</v>
      </c>
      <c r="C31" s="8" t="s">
        <v>16</v>
      </c>
      <c r="D31" s="31" t="s">
        <v>78</v>
      </c>
      <c r="F31" s="7"/>
      <c r="G31" s="9"/>
      <c r="H31" s="12"/>
      <c r="I31" s="46"/>
      <c r="J31" s="21"/>
      <c r="K31" s="21"/>
      <c r="L31" s="44"/>
    </row>
    <row r="32" spans="1:12" ht="12.75">
      <c r="A32" s="7" t="s">
        <v>107</v>
      </c>
      <c r="B32" s="7">
        <f>HLOOKUP(B30,G22:J32,4,FALSE)</f>
        <v>29.75</v>
      </c>
      <c r="C32" s="8" t="s">
        <v>16</v>
      </c>
      <c r="D32" s="31" t="s">
        <v>108</v>
      </c>
      <c r="F32" s="7" t="s">
        <v>143</v>
      </c>
      <c r="G32" s="10" t="s">
        <v>144</v>
      </c>
      <c r="H32" s="13">
        <v>4</v>
      </c>
      <c r="I32" s="47"/>
      <c r="J32" s="22">
        <v>5</v>
      </c>
      <c r="K32" s="22">
        <v>5</v>
      </c>
      <c r="L32" s="45">
        <v>6</v>
      </c>
    </row>
    <row r="33" spans="1:4" ht="25.5">
      <c r="A33" s="7" t="s">
        <v>91</v>
      </c>
      <c r="B33" s="7">
        <f>2*B14/PI()/B27/(0.5+0.57735*B8*(B11-B27))</f>
        <v>0.9084498841200309</v>
      </c>
      <c r="C33" s="8" t="s">
        <v>10</v>
      </c>
      <c r="D33" s="31" t="s">
        <v>82</v>
      </c>
    </row>
    <row r="34" spans="1:10" ht="25.5">
      <c r="A34" s="7" t="s">
        <v>85</v>
      </c>
      <c r="B34" s="7">
        <f>B15*B10/B29/B31</f>
        <v>1.192525546867272</v>
      </c>
      <c r="D34" s="31" t="s">
        <v>89</v>
      </c>
      <c r="F34" s="1" t="s">
        <v>19</v>
      </c>
      <c r="G34" s="3" t="s">
        <v>42</v>
      </c>
      <c r="H34" s="1"/>
      <c r="I34" s="1"/>
      <c r="J34" s="1"/>
    </row>
    <row r="35" spans="1:12" ht="12.75">
      <c r="A35" s="7" t="s">
        <v>86</v>
      </c>
      <c r="B35" s="7">
        <f>IF(B34&lt;1,B33,B33*B34)</f>
        <v>1.0833496948617498</v>
      </c>
      <c r="C35" s="8" t="s">
        <v>10</v>
      </c>
      <c r="D35" s="31" t="s">
        <v>90</v>
      </c>
      <c r="F35" s="7" t="s">
        <v>18</v>
      </c>
      <c r="G35" s="69" t="s">
        <v>17</v>
      </c>
      <c r="H35" s="19" t="s">
        <v>35</v>
      </c>
      <c r="I35" s="19" t="s">
        <v>145</v>
      </c>
      <c r="J35" s="19" t="s">
        <v>155</v>
      </c>
      <c r="K35" s="19" t="s">
        <v>146</v>
      </c>
      <c r="L35" s="70" t="s">
        <v>147</v>
      </c>
    </row>
    <row r="36" spans="1:12" ht="25.5">
      <c r="A36" s="7" t="s">
        <v>92</v>
      </c>
      <c r="B36" s="7">
        <f>B25/B35</f>
        <v>1.269211600392308</v>
      </c>
      <c r="D36" s="31" t="s">
        <v>94</v>
      </c>
      <c r="F36" s="7" t="s">
        <v>37</v>
      </c>
      <c r="G36" s="23">
        <f>1.28*G23</f>
        <v>166.4</v>
      </c>
      <c r="H36" s="12">
        <v>159</v>
      </c>
      <c r="I36" s="48"/>
      <c r="J36" s="21">
        <v>238</v>
      </c>
      <c r="K36" s="7">
        <v>226</v>
      </c>
      <c r="L36" s="44">
        <v>183</v>
      </c>
    </row>
    <row r="37" spans="6:12" ht="12.75">
      <c r="F37" s="7" t="s">
        <v>79</v>
      </c>
      <c r="G37" s="23">
        <f>1.14*G24</f>
        <v>96.89999999999999</v>
      </c>
      <c r="H37" s="12">
        <v>93</v>
      </c>
      <c r="I37" s="48">
        <v>115</v>
      </c>
      <c r="J37" s="21">
        <v>186</v>
      </c>
      <c r="K37" s="7">
        <v>218</v>
      </c>
      <c r="L37" s="44">
        <v>94</v>
      </c>
    </row>
    <row r="38" spans="1:12" ht="12.75">
      <c r="A38" s="3" t="s">
        <v>116</v>
      </c>
      <c r="F38" s="7" t="s">
        <v>99</v>
      </c>
      <c r="G38" s="64">
        <f>0.85*G37</f>
        <v>82.365</v>
      </c>
      <c r="H38" s="65">
        <f>0.85*H37</f>
        <v>79.05</v>
      </c>
      <c r="I38" s="67"/>
      <c r="J38" s="56">
        <f>0.85*J37</f>
        <v>158.1</v>
      </c>
      <c r="K38" s="65">
        <f>0.85*K37</f>
        <v>185.29999999999998</v>
      </c>
      <c r="L38" s="68">
        <v>80</v>
      </c>
    </row>
    <row r="39" spans="1:13" ht="25.5">
      <c r="A39" s="7" t="s">
        <v>103</v>
      </c>
      <c r="B39" s="42">
        <v>0.9</v>
      </c>
      <c r="D39" s="37" t="s">
        <v>104</v>
      </c>
      <c r="F39" s="7" t="s">
        <v>38</v>
      </c>
      <c r="G39" s="60">
        <f>G26*L39/L26</f>
        <v>31.060638297872345</v>
      </c>
      <c r="H39" s="12">
        <v>23.3</v>
      </c>
      <c r="I39" s="48">
        <v>3.5</v>
      </c>
      <c r="J39" s="21">
        <v>30.8</v>
      </c>
      <c r="K39" s="21">
        <v>17.1</v>
      </c>
      <c r="L39" s="44">
        <v>30.1</v>
      </c>
      <c r="M39" s="6"/>
    </row>
    <row r="40" spans="1:12" ht="12.75">
      <c r="A40" s="7" t="s">
        <v>105</v>
      </c>
      <c r="B40" s="38">
        <f>HLOOKUP(B9,G22:L32,4,FALSE)</f>
        <v>72.25</v>
      </c>
      <c r="C40" s="8" t="s">
        <v>16</v>
      </c>
      <c r="D40" s="37" t="s">
        <v>106</v>
      </c>
      <c r="F40" s="7" t="s">
        <v>39</v>
      </c>
      <c r="G40" s="61">
        <f>0.000013*(80-283)*1000000</f>
        <v>-2639</v>
      </c>
      <c r="H40" s="12">
        <v>-2834</v>
      </c>
      <c r="I40" s="48">
        <v>-5500</v>
      </c>
      <c r="J40" s="21">
        <v>-2150</v>
      </c>
      <c r="K40" s="21">
        <v>-1600</v>
      </c>
      <c r="L40" s="44">
        <v>-2760</v>
      </c>
    </row>
    <row r="41" spans="1:12" ht="25.5">
      <c r="A41" s="7" t="s">
        <v>120</v>
      </c>
      <c r="B41" s="35">
        <f>B39*B14*B40</f>
        <v>74.34943757274716</v>
      </c>
      <c r="C41" s="8" t="s">
        <v>101</v>
      </c>
      <c r="D41" s="37" t="s">
        <v>112</v>
      </c>
      <c r="F41" s="7" t="s">
        <v>41</v>
      </c>
      <c r="G41" s="66">
        <f>G28*L41/L28</f>
        <v>0.2984013605442177</v>
      </c>
      <c r="H41" s="56">
        <f>L41</f>
        <v>0.283</v>
      </c>
      <c r="I41" s="48"/>
      <c r="J41" s="21">
        <v>0.307</v>
      </c>
      <c r="K41" s="21">
        <v>0.327</v>
      </c>
      <c r="L41" s="44">
        <v>0.283</v>
      </c>
    </row>
    <row r="42" spans="1:12" ht="51">
      <c r="A42" s="7" t="s">
        <v>110</v>
      </c>
      <c r="B42" s="17">
        <v>0.1</v>
      </c>
      <c r="D42" s="31" t="s">
        <v>122</v>
      </c>
      <c r="F42" s="7" t="s">
        <v>148</v>
      </c>
      <c r="G42" s="50"/>
      <c r="H42" s="51"/>
      <c r="I42" s="55"/>
      <c r="J42" s="53"/>
      <c r="K42" s="53"/>
      <c r="L42" s="54">
        <v>0.6</v>
      </c>
    </row>
    <row r="43" spans="1:12" ht="12.75">
      <c r="A43" s="7" t="s">
        <v>119</v>
      </c>
      <c r="B43" s="35">
        <f>B41/(1+B42)</f>
        <v>67.59039779340651</v>
      </c>
      <c r="C43" s="8" t="s">
        <v>101</v>
      </c>
      <c r="D43" s="31" t="s">
        <v>126</v>
      </c>
      <c r="F43" s="7"/>
      <c r="G43" s="9"/>
      <c r="H43" s="12"/>
      <c r="I43" s="48"/>
      <c r="J43" s="21"/>
      <c r="K43" s="21"/>
      <c r="L43" s="44"/>
    </row>
    <row r="44" spans="1:12" ht="25.5">
      <c r="A44" s="7" t="s">
        <v>121</v>
      </c>
      <c r="B44" s="43">
        <f>0.05*B43</f>
        <v>3.3795198896703256</v>
      </c>
      <c r="C44" s="8" t="s">
        <v>101</v>
      </c>
      <c r="D44" s="31" t="s">
        <v>123</v>
      </c>
      <c r="F44" s="7"/>
      <c r="G44" s="9"/>
      <c r="H44" s="12"/>
      <c r="I44" s="48"/>
      <c r="J44" s="21"/>
      <c r="K44" s="21"/>
      <c r="L44" s="44"/>
    </row>
    <row r="45" spans="1:12" ht="12.75">
      <c r="A45" s="7" t="s">
        <v>124</v>
      </c>
      <c r="B45" s="35">
        <f>B43*(1-B42)-B44</f>
        <v>57.451838124395536</v>
      </c>
      <c r="C45" s="8" t="s">
        <v>101</v>
      </c>
      <c r="D45" s="31" t="s">
        <v>125</v>
      </c>
      <c r="F45" s="7" t="s">
        <v>143</v>
      </c>
      <c r="G45" s="10">
        <v>1</v>
      </c>
      <c r="H45" s="13">
        <v>4</v>
      </c>
      <c r="I45" s="49" t="s">
        <v>162</v>
      </c>
      <c r="J45" s="22">
        <v>5</v>
      </c>
      <c r="K45" s="22">
        <v>5</v>
      </c>
      <c r="L45" s="45">
        <v>6</v>
      </c>
    </row>
    <row r="46" spans="4:7" ht="12.75">
      <c r="D46"/>
      <c r="G46" s="8" t="s">
        <v>161</v>
      </c>
    </row>
    <row r="47" spans="1:7" ht="12.75">
      <c r="A47" s="3" t="s">
        <v>128</v>
      </c>
      <c r="G47" s="63" t="s">
        <v>229</v>
      </c>
    </row>
    <row r="48" spans="1:6" ht="12.75">
      <c r="A48" s="3" t="s">
        <v>129</v>
      </c>
      <c r="F48" s="1" t="s">
        <v>44</v>
      </c>
    </row>
    <row r="49" spans="1:7" ht="25.5">
      <c r="A49" s="7" t="s">
        <v>127</v>
      </c>
      <c r="B49" s="16">
        <f>SUM(B58,B70,B82,B94,B107,B120,B133)</f>
        <v>3.5925</v>
      </c>
      <c r="C49" s="8" t="s">
        <v>10</v>
      </c>
      <c r="D49" s="31" t="s">
        <v>202</v>
      </c>
      <c r="F49" s="8">
        <v>1</v>
      </c>
      <c r="G49" s="6" t="s">
        <v>43</v>
      </c>
    </row>
    <row r="50" spans="1:10" ht="12.75">
      <c r="A50" s="7" t="s">
        <v>130</v>
      </c>
      <c r="B50" s="7">
        <f>HLOOKUP(B30,G22:L32,5,FALSE)</f>
        <v>21.6</v>
      </c>
      <c r="C50" s="8" t="s">
        <v>133</v>
      </c>
      <c r="F50" s="8">
        <v>2</v>
      </c>
      <c r="G50" s="6" t="s">
        <v>47</v>
      </c>
      <c r="H50" s="7"/>
      <c r="I50" s="7"/>
      <c r="J50" s="7"/>
    </row>
    <row r="51" spans="1:14" ht="12.75">
      <c r="A51" s="7" t="s">
        <v>221</v>
      </c>
      <c r="B51" s="7">
        <f>HLOOKUP(B30,$G$35:$L$45,5,FALSE)</f>
        <v>23.3</v>
      </c>
      <c r="C51" s="8" t="s">
        <v>133</v>
      </c>
      <c r="F51" s="8">
        <v>3</v>
      </c>
      <c r="G51" s="6" t="s">
        <v>87</v>
      </c>
      <c r="H51" s="7"/>
      <c r="I51" s="7"/>
      <c r="J51" s="7"/>
      <c r="N51" s="16"/>
    </row>
    <row r="52" spans="1:10" ht="12.75">
      <c r="A52" s="7" t="s">
        <v>131</v>
      </c>
      <c r="B52" s="7">
        <f>PI()/4*B7^2</f>
        <v>1.4848934026733007</v>
      </c>
      <c r="C52" s="8" t="s">
        <v>15</v>
      </c>
      <c r="F52" s="8">
        <v>4</v>
      </c>
      <c r="G52" s="6" t="s">
        <v>93</v>
      </c>
      <c r="H52" s="7"/>
      <c r="I52" s="7"/>
      <c r="J52" s="7"/>
    </row>
    <row r="53" spans="1:10" ht="12.75">
      <c r="A53" s="7" t="s">
        <v>132</v>
      </c>
      <c r="B53" s="35">
        <f>1000*B50*B52/B49</f>
        <v>8927.960333401057</v>
      </c>
      <c r="C53" s="8" t="s">
        <v>134</v>
      </c>
      <c r="D53" s="31" t="s">
        <v>200</v>
      </c>
      <c r="F53" s="8">
        <v>5</v>
      </c>
      <c r="G53" s="6" t="s">
        <v>149</v>
      </c>
      <c r="H53" s="7"/>
      <c r="I53" s="7"/>
      <c r="J53" s="7"/>
    </row>
    <row r="54" spans="1:10" ht="12.75">
      <c r="A54" s="7" t="s">
        <v>220</v>
      </c>
      <c r="B54" s="35">
        <f>1000*B51*B52/B49</f>
        <v>9630.623878159473</v>
      </c>
      <c r="C54" s="8" t="s">
        <v>134</v>
      </c>
      <c r="F54" s="8">
        <v>6</v>
      </c>
      <c r="G54" s="6" t="s">
        <v>158</v>
      </c>
      <c r="H54" s="7"/>
      <c r="I54" s="7"/>
      <c r="J54" s="7"/>
    </row>
    <row r="55" spans="1:10" ht="12.75">
      <c r="A55" s="7" t="s">
        <v>153</v>
      </c>
      <c r="B55" s="35">
        <f>B43/B53*1000</f>
        <v>7.570642707779406</v>
      </c>
      <c r="C55" s="8" t="s">
        <v>186</v>
      </c>
      <c r="F55" s="8">
        <v>7</v>
      </c>
      <c r="G55" s="6" t="s">
        <v>160</v>
      </c>
      <c r="H55" s="7"/>
      <c r="I55" s="7"/>
      <c r="J55" s="7"/>
    </row>
    <row r="56" spans="1:10" ht="12.75">
      <c r="A56" s="7" t="s">
        <v>192</v>
      </c>
      <c r="B56" s="7">
        <f>HLOOKUP(B9,$G$35:$L$45,6,FALSE)</f>
        <v>-2639</v>
      </c>
      <c r="C56" s="58" t="s">
        <v>193</v>
      </c>
      <c r="D56" s="31" t="s">
        <v>211</v>
      </c>
      <c r="F56" s="8">
        <v>8</v>
      </c>
      <c r="G56" s="6" t="s">
        <v>163</v>
      </c>
      <c r="H56" s="7"/>
      <c r="I56" s="7"/>
      <c r="J56" s="7"/>
    </row>
    <row r="57" spans="1:10" ht="12.75">
      <c r="A57" s="3" t="s">
        <v>135</v>
      </c>
      <c r="G57" s="6"/>
      <c r="H57" s="7"/>
      <c r="I57" s="7"/>
      <c r="J57" s="7"/>
    </row>
    <row r="58" spans="1:10" ht="12.75">
      <c r="A58" s="7" t="s">
        <v>142</v>
      </c>
      <c r="B58" s="17">
        <v>0.5</v>
      </c>
      <c r="C58" s="8" t="s">
        <v>10</v>
      </c>
      <c r="D58" s="31" t="s">
        <v>156</v>
      </c>
      <c r="F58" s="1" t="s">
        <v>50</v>
      </c>
      <c r="H58" s="7"/>
      <c r="I58" s="7"/>
      <c r="J58" s="7"/>
    </row>
    <row r="59" spans="1:7" ht="12.75">
      <c r="A59" s="7" t="s">
        <v>18</v>
      </c>
      <c r="B59" s="17" t="s">
        <v>155</v>
      </c>
      <c r="D59" s="31" t="s">
        <v>216</v>
      </c>
      <c r="F59" s="7" t="s">
        <v>51</v>
      </c>
      <c r="G59" s="6"/>
    </row>
    <row r="60" spans="1:6" ht="12.75">
      <c r="A60" s="7" t="s">
        <v>130</v>
      </c>
      <c r="B60" s="7">
        <f>HLOOKUP(B59,G22:L32,5,FALSE)</f>
        <v>29.6</v>
      </c>
      <c r="C60" s="8" t="s">
        <v>133</v>
      </c>
      <c r="F60" s="7"/>
    </row>
    <row r="61" spans="1:6" ht="12.75">
      <c r="A61" s="7" t="s">
        <v>221</v>
      </c>
      <c r="B61" s="7">
        <f>HLOOKUP(B59,$G$35:$L$45,5,FALSE)</f>
        <v>30.8</v>
      </c>
      <c r="C61" s="8" t="s">
        <v>133</v>
      </c>
      <c r="F61" s="7"/>
    </row>
    <row r="62" spans="1:8" ht="12.75">
      <c r="A62" s="7" t="s">
        <v>139</v>
      </c>
      <c r="B62" s="17">
        <v>1.63</v>
      </c>
      <c r="C62" s="8" t="s">
        <v>10</v>
      </c>
      <c r="D62" s="31" t="s">
        <v>157</v>
      </c>
      <c r="F62" s="7"/>
      <c r="H62"/>
    </row>
    <row r="63" spans="1:6" ht="12.75">
      <c r="A63" s="7" t="s">
        <v>140</v>
      </c>
      <c r="B63" s="17">
        <v>2.88</v>
      </c>
      <c r="C63" s="8" t="s">
        <v>10</v>
      </c>
      <c r="D63" s="31" t="s">
        <v>157</v>
      </c>
      <c r="F63" s="7"/>
    </row>
    <row r="64" spans="1:6" ht="12.75">
      <c r="A64" s="7" t="s">
        <v>131</v>
      </c>
      <c r="B64" s="7">
        <f>PI()/4*(B63^2-B62^2)</f>
        <v>4.427682146153114</v>
      </c>
      <c r="C64" s="8" t="s">
        <v>15</v>
      </c>
      <c r="F64" s="7"/>
    </row>
    <row r="65" spans="1:6" ht="12.75">
      <c r="A65" s="7" t="s">
        <v>187</v>
      </c>
      <c r="B65" s="35">
        <f>B60*1000*B64/B58</f>
        <v>262118.78305226436</v>
      </c>
      <c r="C65" s="8" t="s">
        <v>134</v>
      </c>
      <c r="D65" s="31" t="s">
        <v>200</v>
      </c>
      <c r="F65" s="7" t="s">
        <v>52</v>
      </c>
    </row>
    <row r="66" spans="1:6" ht="12.75">
      <c r="A66" s="7" t="s">
        <v>222</v>
      </c>
      <c r="B66" s="35">
        <f>1000*B61*B64/B58</f>
        <v>272745.22020303184</v>
      </c>
      <c r="C66" s="8" t="s">
        <v>134</v>
      </c>
      <c r="F66" s="7"/>
    </row>
    <row r="67" spans="1:6" ht="12.75">
      <c r="A67" s="7" t="s">
        <v>152</v>
      </c>
      <c r="B67" s="38">
        <f>B$43/B65*1000</f>
        <v>0.2578617106578338</v>
      </c>
      <c r="C67" s="8" t="s">
        <v>186</v>
      </c>
      <c r="D67" s="31" t="s">
        <v>188</v>
      </c>
      <c r="F67" s="7"/>
    </row>
    <row r="68" spans="1:6" ht="12.75">
      <c r="A68" s="7" t="s">
        <v>192</v>
      </c>
      <c r="B68" s="7">
        <f>HLOOKUP(B59,$G$35:$L$45,6,FALSE)</f>
        <v>-2150</v>
      </c>
      <c r="C68" s="58" t="s">
        <v>193</v>
      </c>
      <c r="D68" s="31" t="s">
        <v>211</v>
      </c>
      <c r="F68" s="7"/>
    </row>
    <row r="69" spans="1:8" ht="12.75">
      <c r="A69" s="3" t="s">
        <v>136</v>
      </c>
      <c r="F69" s="7"/>
      <c r="H69"/>
    </row>
    <row r="70" spans="1:8" ht="12.75">
      <c r="A70" s="7" t="s">
        <v>142</v>
      </c>
      <c r="B70" s="17">
        <v>0.5</v>
      </c>
      <c r="C70" s="8" t="s">
        <v>10</v>
      </c>
      <c r="F70" s="7"/>
      <c r="H70"/>
    </row>
    <row r="71" spans="1:6" ht="12.75">
      <c r="A71" s="7" t="s">
        <v>18</v>
      </c>
      <c r="B71" s="17" t="s">
        <v>147</v>
      </c>
      <c r="D71" s="31" t="s">
        <v>215</v>
      </c>
      <c r="F71" s="7"/>
    </row>
    <row r="72" spans="1:6" ht="12.75">
      <c r="A72" s="7" t="s">
        <v>130</v>
      </c>
      <c r="B72" s="7">
        <f>HLOOKUP(B71,G22:L32,5,FALSE)</f>
        <v>28.2</v>
      </c>
      <c r="C72" s="8" t="s">
        <v>133</v>
      </c>
      <c r="F72" s="7"/>
    </row>
    <row r="73" spans="1:6" ht="12.75">
      <c r="A73" s="7" t="s">
        <v>221</v>
      </c>
      <c r="B73" s="7">
        <f>HLOOKUP(B71,$G$35:$L$45,5,FALSE)</f>
        <v>30.1</v>
      </c>
      <c r="C73" s="8" t="s">
        <v>133</v>
      </c>
      <c r="F73" s="7" t="s">
        <v>55</v>
      </c>
    </row>
    <row r="74" spans="1:6" ht="12.75">
      <c r="A74" s="7" t="s">
        <v>139</v>
      </c>
      <c r="B74" s="7">
        <f>B62</f>
        <v>1.63</v>
      </c>
      <c r="C74" s="8" t="s">
        <v>10</v>
      </c>
      <c r="F74" s="7"/>
    </row>
    <row r="75" spans="1:6" ht="12.75">
      <c r="A75" s="7" t="s">
        <v>140</v>
      </c>
      <c r="B75" s="7">
        <f>B63</f>
        <v>2.88</v>
      </c>
      <c r="C75" s="8" t="s">
        <v>10</v>
      </c>
      <c r="F75" s="7"/>
    </row>
    <row r="76" spans="1:6" ht="12.75">
      <c r="A76" s="7" t="s">
        <v>131</v>
      </c>
      <c r="B76" s="7">
        <f>PI()/4*(B75^2-B74^2)</f>
        <v>4.427682146153114</v>
      </c>
      <c r="C76" s="8" t="s">
        <v>15</v>
      </c>
      <c r="F76" s="7"/>
    </row>
    <row r="77" spans="1:9" ht="12.75">
      <c r="A77" s="7" t="s">
        <v>187</v>
      </c>
      <c r="B77" s="35">
        <f>B72*1000*B76/B70</f>
        <v>249721.27304303565</v>
      </c>
      <c r="C77" s="8" t="s">
        <v>134</v>
      </c>
      <c r="D77" s="31" t="s">
        <v>200</v>
      </c>
      <c r="F77" s="7"/>
      <c r="I77"/>
    </row>
    <row r="78" spans="1:6" ht="12.75">
      <c r="A78" s="7" t="s">
        <v>222</v>
      </c>
      <c r="B78" s="35">
        <f>1000*B73*B76/B70</f>
        <v>266546.4651984175</v>
      </c>
      <c r="C78" s="8" t="s">
        <v>134</v>
      </c>
      <c r="F78" s="7" t="s">
        <v>67</v>
      </c>
    </row>
    <row r="79" spans="1:6" ht="12.75">
      <c r="A79" s="7" t="s">
        <v>152</v>
      </c>
      <c r="B79" s="38">
        <f>B$43/B77*1000</f>
        <v>0.27066335586779716</v>
      </c>
      <c r="C79" s="8" t="s">
        <v>186</v>
      </c>
      <c r="D79" s="31" t="s">
        <v>188</v>
      </c>
      <c r="F79" s="7"/>
    </row>
    <row r="80" spans="1:6" ht="12.75">
      <c r="A80" s="7" t="s">
        <v>192</v>
      </c>
      <c r="B80" s="7">
        <f>HLOOKUP(B71,$G$35:$L$45,6,FALSE)</f>
        <v>-2760</v>
      </c>
      <c r="C80" s="58" t="s">
        <v>193</v>
      </c>
      <c r="D80" s="31" t="s">
        <v>211</v>
      </c>
      <c r="F80" s="7"/>
    </row>
    <row r="81" spans="1:11" ht="12.75">
      <c r="A81" s="3" t="s">
        <v>159</v>
      </c>
      <c r="F81" s="7"/>
      <c r="K81"/>
    </row>
    <row r="82" spans="1:6" ht="12.75">
      <c r="A82" s="7" t="s">
        <v>142</v>
      </c>
      <c r="B82" s="17">
        <v>0.03</v>
      </c>
      <c r="C82" s="8" t="s">
        <v>10</v>
      </c>
      <c r="F82" s="7"/>
    </row>
    <row r="83" spans="1:7" ht="12.75">
      <c r="A83" s="7" t="s">
        <v>18</v>
      </c>
      <c r="B83" s="17" t="s">
        <v>145</v>
      </c>
      <c r="D83" s="31" t="s">
        <v>214</v>
      </c>
      <c r="F83" s="7" t="s">
        <v>75</v>
      </c>
      <c r="G83"/>
    </row>
    <row r="84" spans="1:6" ht="12.75">
      <c r="A84" s="7" t="s">
        <v>130</v>
      </c>
      <c r="B84" s="7">
        <f>HLOOKUP(B83,G22:L32,5,FALSE)</f>
        <v>2.7</v>
      </c>
      <c r="C84" s="8" t="s">
        <v>133</v>
      </c>
      <c r="F84" s="7"/>
    </row>
    <row r="85" spans="1:6" ht="12.75">
      <c r="A85" s="7" t="s">
        <v>221</v>
      </c>
      <c r="B85" s="7">
        <f>HLOOKUP(B83,$G$35:$L$45,5,FALSE)</f>
        <v>3.5</v>
      </c>
      <c r="C85" s="8" t="s">
        <v>133</v>
      </c>
      <c r="F85" s="7"/>
    </row>
    <row r="86" spans="1:6" ht="12.75">
      <c r="A86" s="7" t="s">
        <v>139</v>
      </c>
      <c r="B86" s="7">
        <f>B74</f>
        <v>1.63</v>
      </c>
      <c r="C86" s="8" t="s">
        <v>10</v>
      </c>
      <c r="F86" s="7"/>
    </row>
    <row r="87" spans="1:6" ht="12.75">
      <c r="A87" s="7" t="s">
        <v>140</v>
      </c>
      <c r="B87" s="7">
        <f>B75</f>
        <v>2.88</v>
      </c>
      <c r="C87" s="8" t="s">
        <v>10</v>
      </c>
      <c r="F87" s="7"/>
    </row>
    <row r="88" spans="1:6" ht="12.75">
      <c r="A88" s="7" t="s">
        <v>131</v>
      </c>
      <c r="B88" s="7">
        <f>PI()/4*(B87^2-B86^2)</f>
        <v>4.427682146153114</v>
      </c>
      <c r="C88" s="8" t="s">
        <v>15</v>
      </c>
      <c r="F88" s="7"/>
    </row>
    <row r="89" spans="1:6" ht="12.75">
      <c r="A89" s="7" t="s">
        <v>187</v>
      </c>
      <c r="B89" s="35">
        <f>B84*1000*B88/B82</f>
        <v>398491.3931537803</v>
      </c>
      <c r="C89" s="8" t="s">
        <v>134</v>
      </c>
      <c r="D89" s="31" t="s">
        <v>200</v>
      </c>
      <c r="F89" s="7" t="s">
        <v>84</v>
      </c>
    </row>
    <row r="90" spans="1:7" ht="12.75">
      <c r="A90" s="7" t="s">
        <v>222</v>
      </c>
      <c r="B90" s="35">
        <f>1000*B85*B88/B82</f>
        <v>516562.9170511967</v>
      </c>
      <c r="C90" s="8" t="s">
        <v>134</v>
      </c>
      <c r="F90" s="7"/>
      <c r="G90"/>
    </row>
    <row r="91" spans="1:6" ht="12.75">
      <c r="A91" s="7" t="s">
        <v>152</v>
      </c>
      <c r="B91" s="38">
        <f>B$43/B89*1000</f>
        <v>0.16961570301048626</v>
      </c>
      <c r="C91" s="8" t="s">
        <v>186</v>
      </c>
      <c r="D91" s="31" t="s">
        <v>188</v>
      </c>
      <c r="F91" s="7"/>
    </row>
    <row r="92" spans="1:6" ht="12.75">
      <c r="A92" s="7" t="s">
        <v>192</v>
      </c>
      <c r="B92" s="7">
        <f>HLOOKUP(B83,$G$35:$L$45,6,FALSE)</f>
        <v>-5500</v>
      </c>
      <c r="C92" s="58" t="s">
        <v>193</v>
      </c>
      <c r="D92" s="31" t="s">
        <v>211</v>
      </c>
      <c r="F92" s="7"/>
    </row>
    <row r="93" spans="1:6" ht="12.75">
      <c r="A93" s="3" t="s">
        <v>150</v>
      </c>
      <c r="F93" s="7"/>
    </row>
    <row r="94" spans="1:6" ht="12.75">
      <c r="A94" s="7" t="s">
        <v>142</v>
      </c>
      <c r="B94" s="17">
        <v>1.375</v>
      </c>
      <c r="C94" s="8" t="s">
        <v>10</v>
      </c>
      <c r="F94" s="7" t="s">
        <v>88</v>
      </c>
    </row>
    <row r="95" spans="1:2" ht="12.75">
      <c r="A95" s="7" t="s">
        <v>18</v>
      </c>
      <c r="B95" s="17" t="s">
        <v>35</v>
      </c>
    </row>
    <row r="96" spans="1:7" ht="12.75">
      <c r="A96" s="7" t="s">
        <v>130</v>
      </c>
      <c r="B96" s="7">
        <f>HLOOKUP(B95,G22:L32,5,FALSE)</f>
        <v>21.6</v>
      </c>
      <c r="C96" s="8" t="s">
        <v>133</v>
      </c>
      <c r="G96"/>
    </row>
    <row r="97" spans="1:6" ht="12.75">
      <c r="A97" s="7" t="s">
        <v>221</v>
      </c>
      <c r="B97" s="7">
        <f>HLOOKUP(B95,$G$35:$L$45,5,FALSE)</f>
        <v>23.3</v>
      </c>
      <c r="C97" s="8" t="s">
        <v>133</v>
      </c>
      <c r="F97" s="7" t="s">
        <v>100</v>
      </c>
    </row>
    <row r="98" spans="1:7" ht="12.75">
      <c r="A98" s="7" t="s">
        <v>139</v>
      </c>
      <c r="B98" s="7">
        <f>B111</f>
        <v>1.88</v>
      </c>
      <c r="C98" s="8" t="s">
        <v>10</v>
      </c>
      <c r="D98" s="31" t="s">
        <v>166</v>
      </c>
      <c r="G98"/>
    </row>
    <row r="99" spans="1:4" ht="12.75">
      <c r="A99" s="7" t="s">
        <v>140</v>
      </c>
      <c r="B99" s="7">
        <f>B112</f>
        <v>4.684717215018538</v>
      </c>
      <c r="C99" s="8" t="s">
        <v>10</v>
      </c>
      <c r="D99" s="31" t="s">
        <v>166</v>
      </c>
    </row>
    <row r="100" spans="1:4" ht="12.75">
      <c r="A100" s="7" t="s">
        <v>141</v>
      </c>
      <c r="B100" s="7">
        <f>B154</f>
        <v>4.117868160678839</v>
      </c>
      <c r="C100" s="8" t="s">
        <v>15</v>
      </c>
      <c r="D100" s="30" t="s">
        <v>180</v>
      </c>
    </row>
    <row r="101" spans="1:4" ht="12.75">
      <c r="A101" s="7" t="s">
        <v>181</v>
      </c>
      <c r="B101" s="7">
        <f>SQRT(B100*4/PI()+B98^2)</f>
        <v>2.962673215557556</v>
      </c>
      <c r="C101" s="8" t="s">
        <v>10</v>
      </c>
      <c r="D101" s="30" t="s">
        <v>182</v>
      </c>
    </row>
    <row r="102" spans="1:6" ht="12.75">
      <c r="A102" s="7" t="s">
        <v>187</v>
      </c>
      <c r="B102" s="35">
        <f>1000*B96*B100/B94</f>
        <v>64687.96528775485</v>
      </c>
      <c r="C102" s="8" t="s">
        <v>134</v>
      </c>
      <c r="D102" s="31" t="s">
        <v>200</v>
      </c>
      <c r="F102" s="7" t="s">
        <v>102</v>
      </c>
    </row>
    <row r="103" spans="1:7" ht="12.75">
      <c r="A103" s="7" t="s">
        <v>222</v>
      </c>
      <c r="B103" s="35">
        <f>1000*B97*B100/B94</f>
        <v>69779.14774095778</v>
      </c>
      <c r="C103" s="8" t="s">
        <v>134</v>
      </c>
      <c r="G103"/>
    </row>
    <row r="104" spans="1:4" ht="12.75">
      <c r="A104" s="7" t="s">
        <v>152</v>
      </c>
      <c r="B104" s="38">
        <f>B$43/B102*1000</f>
        <v>1.0448681990960855</v>
      </c>
      <c r="C104" s="8" t="s">
        <v>186</v>
      </c>
      <c r="D104" s="31" t="s">
        <v>188</v>
      </c>
    </row>
    <row r="105" spans="1:7" ht="12.75">
      <c r="A105" s="7" t="s">
        <v>192</v>
      </c>
      <c r="B105" s="7">
        <f>HLOOKUP(B95,$G$35:$L$45,6,FALSE)</f>
        <v>-2834</v>
      </c>
      <c r="C105" s="58" t="s">
        <v>193</v>
      </c>
      <c r="D105" s="31" t="s">
        <v>211</v>
      </c>
      <c r="F105" s="7" t="s">
        <v>117</v>
      </c>
      <c r="G105"/>
    </row>
    <row r="106" spans="1:6" ht="12.75">
      <c r="A106" s="3" t="s">
        <v>138</v>
      </c>
      <c r="F106" s="7"/>
    </row>
    <row r="107" spans="1:6" ht="12.75">
      <c r="A107" s="7" t="s">
        <v>142</v>
      </c>
      <c r="B107" s="17">
        <f>0.5-B120</f>
        <v>0.47</v>
      </c>
      <c r="C107" s="8" t="s">
        <v>10</v>
      </c>
      <c r="D107" s="31" t="s">
        <v>165</v>
      </c>
      <c r="F107" s="7"/>
    </row>
    <row r="108" spans="1:6" ht="12.75">
      <c r="A108" s="7" t="s">
        <v>18</v>
      </c>
      <c r="B108" s="17" t="s">
        <v>147</v>
      </c>
      <c r="D108" s="31" t="s">
        <v>217</v>
      </c>
      <c r="F108" s="7" t="s">
        <v>118</v>
      </c>
    </row>
    <row r="109" spans="1:7" ht="12.75">
      <c r="A109" s="7" t="s">
        <v>130</v>
      </c>
      <c r="B109" s="7">
        <f>HLOOKUP(B108,G22:L32,5,FALSE)</f>
        <v>28.2</v>
      </c>
      <c r="C109" s="8" t="s">
        <v>133</v>
      </c>
      <c r="F109" s="7"/>
      <c r="G109"/>
    </row>
    <row r="110" spans="1:6" ht="12.75">
      <c r="A110" s="7" t="s">
        <v>221</v>
      </c>
      <c r="B110" s="7">
        <f>HLOOKUP(B108,$G$35:$L$45,5,FALSE)</f>
        <v>30.1</v>
      </c>
      <c r="C110" s="8" t="s">
        <v>133</v>
      </c>
      <c r="F110" s="7"/>
    </row>
    <row r="111" spans="1:6" ht="12.75">
      <c r="A111" s="7" t="s">
        <v>139</v>
      </c>
      <c r="B111" s="17">
        <v>1.88</v>
      </c>
      <c r="F111" s="7"/>
    </row>
    <row r="112" spans="1:7" ht="12.75">
      <c r="A112" s="7" t="s">
        <v>140</v>
      </c>
      <c r="B112" s="17">
        <f>SQRT((3.5+4.06)/2*4.56/PI())*2</f>
        <v>4.684717215018538</v>
      </c>
      <c r="D112" s="31" t="s">
        <v>164</v>
      </c>
      <c r="F112" s="7" t="s">
        <v>200</v>
      </c>
      <c r="G112"/>
    </row>
    <row r="113" spans="1:6" ht="12.75">
      <c r="A113" s="7" t="s">
        <v>141</v>
      </c>
      <c r="B113" s="7">
        <f>B154</f>
        <v>4.117868160678839</v>
      </c>
      <c r="C113" s="8" t="s">
        <v>15</v>
      </c>
      <c r="D113" s="30" t="s">
        <v>180</v>
      </c>
      <c r="F113" s="7"/>
    </row>
    <row r="114" spans="1:6" ht="12.75">
      <c r="A114" s="7" t="s">
        <v>181</v>
      </c>
      <c r="B114" s="7">
        <f>SQRT(B113*4/PI()+B111^2)</f>
        <v>2.962673215557556</v>
      </c>
      <c r="C114" s="8" t="s">
        <v>10</v>
      </c>
      <c r="D114" s="30" t="s">
        <v>182</v>
      </c>
      <c r="F114" s="7"/>
    </row>
    <row r="115" spans="1:6" ht="12.75">
      <c r="A115" s="7" t="s">
        <v>187</v>
      </c>
      <c r="B115" s="35">
        <f>1000*B109*B113/B107</f>
        <v>247072.08964073035</v>
      </c>
      <c r="C115" s="8" t="s">
        <v>134</v>
      </c>
      <c r="D115" s="31" t="s">
        <v>200</v>
      </c>
      <c r="F115" s="7"/>
    </row>
    <row r="116" spans="1:6" ht="12.75">
      <c r="A116" s="7" t="s">
        <v>222</v>
      </c>
      <c r="B116" s="35">
        <f>1000*B110*B113/B107</f>
        <v>263718.79071581503</v>
      </c>
      <c r="C116" s="8" t="s">
        <v>134</v>
      </c>
      <c r="F116" s="7" t="s">
        <v>201</v>
      </c>
    </row>
    <row r="117" spans="1:7" ht="12.75">
      <c r="A117" s="7" t="s">
        <v>152</v>
      </c>
      <c r="B117" s="38">
        <f>B$43/B115*1000</f>
        <v>0.2735654921269751</v>
      </c>
      <c r="C117" s="8" t="s">
        <v>186</v>
      </c>
      <c r="D117" s="31" t="s">
        <v>188</v>
      </c>
      <c r="F117" s="7"/>
      <c r="G117"/>
    </row>
    <row r="118" spans="1:4" ht="12.75">
      <c r="A118" s="7" t="s">
        <v>192</v>
      </c>
      <c r="B118" s="7">
        <f>HLOOKUP(B108,$G$35:$L$45,6,FALSE)</f>
        <v>-2760</v>
      </c>
      <c r="C118" s="58" t="s">
        <v>193</v>
      </c>
      <c r="D118" s="31" t="s">
        <v>211</v>
      </c>
    </row>
    <row r="119" spans="1:6" ht="12.75">
      <c r="A119" s="3" t="s">
        <v>137</v>
      </c>
      <c r="F119" s="7" t="s">
        <v>203</v>
      </c>
    </row>
    <row r="120" spans="1:7" ht="12.75">
      <c r="A120" s="7" t="s">
        <v>142</v>
      </c>
      <c r="B120" s="17">
        <f>0.03</f>
        <v>0.03</v>
      </c>
      <c r="C120" s="8" t="s">
        <v>10</v>
      </c>
      <c r="F120" s="7"/>
      <c r="G120"/>
    </row>
    <row r="121" spans="1:6" ht="12.75">
      <c r="A121" s="7" t="s">
        <v>18</v>
      </c>
      <c r="B121" s="17" t="s">
        <v>145</v>
      </c>
      <c r="D121" s="31" t="s">
        <v>218</v>
      </c>
      <c r="F121" s="7"/>
    </row>
    <row r="122" spans="1:6" ht="12.75">
      <c r="A122" s="7" t="s">
        <v>130</v>
      </c>
      <c r="B122" s="7">
        <f>HLOOKUP(B121,G22:L32,5,FALSE)</f>
        <v>2.7</v>
      </c>
      <c r="C122" s="8" t="s">
        <v>133</v>
      </c>
      <c r="F122" s="7"/>
    </row>
    <row r="123" spans="1:6" ht="12.75">
      <c r="A123" s="7" t="s">
        <v>221</v>
      </c>
      <c r="B123" s="7">
        <f>HLOOKUP(B121,$G$35:$L$45,5,FALSE)</f>
        <v>3.5</v>
      </c>
      <c r="C123" s="8" t="s">
        <v>133</v>
      </c>
      <c r="F123" s="7"/>
    </row>
    <row r="124" spans="1:7" ht="12.75">
      <c r="A124" s="7" t="s">
        <v>139</v>
      </c>
      <c r="B124" s="7">
        <f>B111</f>
        <v>1.88</v>
      </c>
      <c r="F124" s="7"/>
      <c r="G124"/>
    </row>
    <row r="125" spans="1:6" ht="12.75">
      <c r="A125" s="7" t="s">
        <v>140</v>
      </c>
      <c r="B125" s="7">
        <f>B112</f>
        <v>4.684717215018538</v>
      </c>
      <c r="F125" s="7" t="s">
        <v>206</v>
      </c>
    </row>
    <row r="126" spans="1:6" ht="12.75">
      <c r="A126" s="7" t="s">
        <v>141</v>
      </c>
      <c r="B126" s="7">
        <f>B154</f>
        <v>4.117868160678839</v>
      </c>
      <c r="C126" s="8" t="s">
        <v>15</v>
      </c>
      <c r="D126" s="30" t="s">
        <v>180</v>
      </c>
      <c r="F126" s="7"/>
    </row>
    <row r="127" spans="1:6" ht="12.75">
      <c r="A127" s="7" t="s">
        <v>181</v>
      </c>
      <c r="B127" s="7">
        <f>SQRT(B126*4/PI()+B124^2)</f>
        <v>2.962673215557556</v>
      </c>
      <c r="C127" s="8" t="s">
        <v>10</v>
      </c>
      <c r="D127" s="30" t="s">
        <v>182</v>
      </c>
      <c r="F127" s="7"/>
    </row>
    <row r="128" spans="1:6" ht="12.75">
      <c r="A128" s="7" t="s">
        <v>187</v>
      </c>
      <c r="B128" s="35">
        <f>1000*B122*B126/B120</f>
        <v>370608.1344610955</v>
      </c>
      <c r="C128" s="8" t="s">
        <v>134</v>
      </c>
      <c r="D128" s="31" t="s">
        <v>200</v>
      </c>
      <c r="F128" s="7"/>
    </row>
    <row r="129" spans="1:6" ht="12.75">
      <c r="A129" s="7" t="s">
        <v>222</v>
      </c>
      <c r="B129" s="35">
        <f>1000*B123*B126/B120</f>
        <v>480417.95207919786</v>
      </c>
      <c r="C129" s="8" t="s">
        <v>134</v>
      </c>
      <c r="F129" s="7"/>
    </row>
    <row r="130" spans="1:7" ht="12.75">
      <c r="A130" s="7" t="s">
        <v>152</v>
      </c>
      <c r="B130" s="38">
        <f>B$43/B128*1000</f>
        <v>0.18237699475131677</v>
      </c>
      <c r="C130" s="8" t="s">
        <v>186</v>
      </c>
      <c r="D130" s="31" t="s">
        <v>188</v>
      </c>
      <c r="F130" s="7"/>
      <c r="G130"/>
    </row>
    <row r="131" spans="1:6" ht="12.75">
      <c r="A131" s="7" t="s">
        <v>192</v>
      </c>
      <c r="B131" s="7">
        <f>HLOOKUP(B121,$G$35:$L$45,6,FALSE)</f>
        <v>-5500</v>
      </c>
      <c r="C131" s="58" t="s">
        <v>193</v>
      </c>
      <c r="D131" s="31" t="s">
        <v>211</v>
      </c>
      <c r="F131" s="7" t="s">
        <v>207</v>
      </c>
    </row>
    <row r="132" spans="1:6" ht="12.75">
      <c r="A132" s="3" t="s">
        <v>151</v>
      </c>
      <c r="F132" s="7"/>
    </row>
    <row r="133" spans="1:6" ht="12.75">
      <c r="A133" s="7" t="s">
        <v>142</v>
      </c>
      <c r="B133" s="17">
        <f>1.375/2</f>
        <v>0.6875</v>
      </c>
      <c r="C133" s="8" t="s">
        <v>10</v>
      </c>
      <c r="D133" s="30" t="s">
        <v>183</v>
      </c>
      <c r="F133" s="7"/>
    </row>
    <row r="134" spans="1:6" ht="12.75">
      <c r="A134" s="7" t="s">
        <v>18</v>
      </c>
      <c r="B134" s="17" t="s">
        <v>35</v>
      </c>
      <c r="F134" s="7"/>
    </row>
    <row r="135" spans="1:6" ht="12.75">
      <c r="A135" s="7" t="s">
        <v>130</v>
      </c>
      <c r="B135" s="7">
        <f>HLOOKUP(B134,G22:L32,5,FALSE)</f>
        <v>21.6</v>
      </c>
      <c r="C135" s="8" t="s">
        <v>133</v>
      </c>
      <c r="F135" s="7" t="s">
        <v>209</v>
      </c>
    </row>
    <row r="136" spans="1:8" ht="12.75">
      <c r="A136" s="7" t="s">
        <v>221</v>
      </c>
      <c r="B136" s="7">
        <f>HLOOKUP(B134,$G$35:$L$45,5,FALSE)</f>
        <v>23.3</v>
      </c>
      <c r="C136" s="8" t="s">
        <v>133</v>
      </c>
      <c r="F136" s="7"/>
      <c r="G136"/>
      <c r="H136"/>
    </row>
    <row r="137" spans="1:6" ht="12.75">
      <c r="A137" s="7" t="s">
        <v>139</v>
      </c>
      <c r="B137" s="7">
        <f>B7</f>
        <v>1.375</v>
      </c>
      <c r="C137" s="8" t="s">
        <v>10</v>
      </c>
      <c r="D137" s="31" t="s">
        <v>167</v>
      </c>
      <c r="F137" s="7"/>
    </row>
    <row r="138" spans="1:6" ht="12.75">
      <c r="A138" s="7" t="s">
        <v>140</v>
      </c>
      <c r="B138" s="7">
        <f>B112</f>
        <v>4.684717215018538</v>
      </c>
      <c r="C138" s="8" t="s">
        <v>10</v>
      </c>
      <c r="D138" s="31" t="s">
        <v>166</v>
      </c>
      <c r="F138" s="7"/>
    </row>
    <row r="139" spans="1:6" ht="12.75">
      <c r="A139" s="7" t="s">
        <v>141</v>
      </c>
      <c r="B139" s="7">
        <f>B154</f>
        <v>4.117868160678839</v>
      </c>
      <c r="C139" s="8" t="s">
        <v>15</v>
      </c>
      <c r="D139" s="30" t="s">
        <v>180</v>
      </c>
      <c r="F139" s="7"/>
    </row>
    <row r="140" spans="1:6" ht="12.75">
      <c r="A140" s="7" t="s">
        <v>181</v>
      </c>
      <c r="B140" s="7">
        <f>SQRT(B139*4/PI()+B137^2)</f>
        <v>2.6708907843979968</v>
      </c>
      <c r="C140" s="8" t="s">
        <v>10</v>
      </c>
      <c r="D140" s="30" t="s">
        <v>182</v>
      </c>
      <c r="F140" s="7" t="s">
        <v>210</v>
      </c>
    </row>
    <row r="141" spans="1:6" ht="12.75">
      <c r="A141" s="7" t="s">
        <v>187</v>
      </c>
      <c r="B141" s="35">
        <f>1000*B135*B139/B133</f>
        <v>129375.9305755097</v>
      </c>
      <c r="C141" s="8" t="s">
        <v>134</v>
      </c>
      <c r="D141" s="31" t="s">
        <v>200</v>
      </c>
      <c r="F141" s="7"/>
    </row>
    <row r="142" spans="1:7" ht="12.75">
      <c r="A142" s="7" t="s">
        <v>222</v>
      </c>
      <c r="B142" s="35">
        <f>1000*B136*B139/B133</f>
        <v>139558.29548191556</v>
      </c>
      <c r="C142" s="8" t="s">
        <v>134</v>
      </c>
      <c r="F142" s="7"/>
      <c r="G142"/>
    </row>
    <row r="143" spans="1:6" ht="12.75">
      <c r="A143" s="7" t="s">
        <v>152</v>
      </c>
      <c r="B143" s="38">
        <f>B$43/B141*1000</f>
        <v>0.5224340995480428</v>
      </c>
      <c r="C143" s="8" t="s">
        <v>186</v>
      </c>
      <c r="D143" s="31" t="s">
        <v>188</v>
      </c>
      <c r="F143" s="7"/>
    </row>
    <row r="144" spans="1:4" ht="12.75">
      <c r="A144" s="7" t="s">
        <v>192</v>
      </c>
      <c r="B144" s="7">
        <f>HLOOKUP(B134,$G$35:$L$45,6,FALSE)</f>
        <v>-2834</v>
      </c>
      <c r="C144" s="58" t="s">
        <v>193</v>
      </c>
      <c r="D144" s="31" t="s">
        <v>211</v>
      </c>
    </row>
    <row r="145" spans="6:8" ht="12.75">
      <c r="F145" s="7" t="s">
        <v>213</v>
      </c>
      <c r="H145"/>
    </row>
    <row r="146" spans="1:6" ht="12.75">
      <c r="A146" s="3" t="s">
        <v>189</v>
      </c>
      <c r="F146" s="7"/>
    </row>
    <row r="147" spans="1:4" ht="25.5">
      <c r="A147" s="7" t="s">
        <v>113</v>
      </c>
      <c r="B147" s="7">
        <f>B94+B107+B120+B133</f>
        <v>2.5625</v>
      </c>
      <c r="D147" s="57" t="s">
        <v>168</v>
      </c>
    </row>
    <row r="148" spans="1:6" ht="12.75">
      <c r="A148" s="7" t="s">
        <v>171</v>
      </c>
      <c r="B148" s="7">
        <f>B98</f>
        <v>1.88</v>
      </c>
      <c r="D148" s="57" t="s">
        <v>172</v>
      </c>
      <c r="F148" s="7" t="s">
        <v>227</v>
      </c>
    </row>
    <row r="149" spans="1:4" ht="12.75">
      <c r="A149" s="7" t="s">
        <v>169</v>
      </c>
      <c r="B149" s="7">
        <f>B75</f>
        <v>2.88</v>
      </c>
      <c r="D149" s="31" t="s">
        <v>170</v>
      </c>
    </row>
    <row r="150" spans="1:8" ht="12.75">
      <c r="A150" s="7" t="s">
        <v>173</v>
      </c>
      <c r="B150" s="7">
        <f>B112</f>
        <v>4.684717215018538</v>
      </c>
      <c r="D150" s="31" t="s">
        <v>174</v>
      </c>
      <c r="H150"/>
    </row>
    <row r="151" spans="1:4" ht="12.75">
      <c r="A151" s="7" t="s">
        <v>175</v>
      </c>
      <c r="B151" s="38">
        <f>B147/B7</f>
        <v>1.8636363636363635</v>
      </c>
      <c r="D151" s="30" t="s">
        <v>176</v>
      </c>
    </row>
    <row r="152" spans="1:4" ht="12.75">
      <c r="A152" s="7" t="s">
        <v>177</v>
      </c>
      <c r="B152" s="7">
        <f>PI()/4*(B149^2-B148^2)+PI()/8*(B150/B149-1)*(B149*B147/5+B147^2/100)</f>
        <v>4.117868160678839</v>
      </c>
      <c r="D152" s="30" t="s">
        <v>204</v>
      </c>
    </row>
    <row r="153" spans="1:4" ht="12.75">
      <c r="A153" s="7" t="s">
        <v>178</v>
      </c>
      <c r="B153" s="7">
        <f>PI()/4*((B149+B147/10)^2-B148^2)</f>
        <v>4.949315381035203</v>
      </c>
      <c r="D153" s="30" t="s">
        <v>205</v>
      </c>
    </row>
    <row r="154" spans="1:4" ht="25.5">
      <c r="A154" s="7" t="s">
        <v>141</v>
      </c>
      <c r="B154" s="7">
        <f>IF(B150&gt;3*B149,B153,B152)</f>
        <v>4.117868160678839</v>
      </c>
      <c r="D154" s="31" t="s">
        <v>179</v>
      </c>
    </row>
    <row r="155" ht="12.75">
      <c r="I155"/>
    </row>
    <row r="156" ht="12.75">
      <c r="A156" s="3" t="s">
        <v>223</v>
      </c>
    </row>
    <row r="157" spans="1:4" ht="12.75">
      <c r="A157" s="7" t="s">
        <v>230</v>
      </c>
      <c r="B157" s="7">
        <f>1/B65+1/B77+1/B89+1/B102+1/B115+1/B141+1/B128</f>
        <v>4.0262901889948786E-05</v>
      </c>
      <c r="C157" s="8" t="s">
        <v>184</v>
      </c>
      <c r="D157" s="31" t="s">
        <v>207</v>
      </c>
    </row>
    <row r="158" spans="1:4" ht="12.75">
      <c r="A158" s="7" t="s">
        <v>231</v>
      </c>
      <c r="B158" s="35">
        <f>1/B157</f>
        <v>24836.759226478895</v>
      </c>
      <c r="C158" s="8" t="s">
        <v>134</v>
      </c>
      <c r="D158" s="30" t="s">
        <v>190</v>
      </c>
    </row>
    <row r="159" spans="1:4" ht="12.75">
      <c r="A159" s="7" t="s">
        <v>154</v>
      </c>
      <c r="B159" s="38">
        <f>B43/B158*1000</f>
        <v>2.721385555058537</v>
      </c>
      <c r="C159" s="8" t="s">
        <v>186</v>
      </c>
      <c r="D159" s="31" t="s">
        <v>185</v>
      </c>
    </row>
    <row r="160" ht="12.75">
      <c r="B160" s="38"/>
    </row>
    <row r="161" ht="12.75">
      <c r="A161" s="3" t="s">
        <v>191</v>
      </c>
    </row>
    <row r="162" spans="1:4" ht="12.75">
      <c r="A162" s="7" t="s">
        <v>194</v>
      </c>
      <c r="B162" s="38">
        <f>B49*B56*0.001</f>
        <v>-9.4806075</v>
      </c>
      <c r="C162" s="8" t="s">
        <v>186</v>
      </c>
      <c r="D162" s="31" t="s">
        <v>195</v>
      </c>
    </row>
    <row r="163" spans="1:4" ht="12.75">
      <c r="A163" s="7" t="s">
        <v>196</v>
      </c>
      <c r="B163" s="38">
        <f>(B58*B68+B70*B80+B82*B92+B94*B105+B107*B118+B120*B131+B133*B144)*0.001</f>
        <v>-9.927325000000002</v>
      </c>
      <c r="C163" s="8" t="s">
        <v>186</v>
      </c>
      <c r="D163" s="31" t="s">
        <v>197</v>
      </c>
    </row>
    <row r="164" spans="1:4" ht="12.75">
      <c r="A164" s="7" t="s">
        <v>199</v>
      </c>
      <c r="B164" s="35">
        <f>1/(1/B158+1/B53)</f>
        <v>6567.257305098869</v>
      </c>
      <c r="C164" s="8" t="s">
        <v>134</v>
      </c>
      <c r="D164" s="31" t="s">
        <v>208</v>
      </c>
    </row>
    <row r="165" spans="1:4" ht="12.75">
      <c r="A165" s="59" t="s">
        <v>198</v>
      </c>
      <c r="B165" s="62">
        <f>B164*(B163-B162)/1000</f>
        <v>-2.933708765190517</v>
      </c>
      <c r="C165" s="8" t="s">
        <v>101</v>
      </c>
      <c r="D165" s="31" t="s">
        <v>212</v>
      </c>
    </row>
    <row r="167" ht="12.75">
      <c r="A167" s="3" t="s">
        <v>219</v>
      </c>
    </row>
    <row r="168" spans="1:4" ht="12.75">
      <c r="A168" s="7" t="s">
        <v>225</v>
      </c>
      <c r="B168" s="35">
        <f>1/(1/B66+1/B78+1/B90+1/B103+1/B116+1/B129+1/B142)</f>
        <v>27230.281869831502</v>
      </c>
      <c r="C168" s="8" t="s">
        <v>134</v>
      </c>
      <c r="D168" s="31" t="s">
        <v>224</v>
      </c>
    </row>
    <row r="169" spans="1:4" ht="12.75">
      <c r="A169" s="7" t="s">
        <v>226</v>
      </c>
      <c r="B169" s="35">
        <f>1/(1/B168+1/B54)</f>
        <v>7114.437300524156</v>
      </c>
      <c r="C169" s="8" t="s">
        <v>134</v>
      </c>
      <c r="D169" s="31" t="s">
        <v>232</v>
      </c>
    </row>
    <row r="170" spans="1:4" ht="12.75">
      <c r="A170" s="59" t="s">
        <v>198</v>
      </c>
      <c r="B170" s="62">
        <f>B43*(B169/B164-1)</f>
        <v>5.631591977776579</v>
      </c>
      <c r="C170" s="8" t="s">
        <v>101</v>
      </c>
      <c r="D170" s="31" t="s">
        <v>228</v>
      </c>
    </row>
  </sheetData>
  <conditionalFormatting sqref="B151">
    <cfRule type="cellIs" priority="1" dxfId="0" operator="greaterThan" stopIfTrue="1">
      <formula>8</formula>
    </cfRule>
  </conditionalFormatting>
  <conditionalFormatting sqref="B24">
    <cfRule type="expression" priority="2" dxfId="0" stopIfTrue="1">
      <formula>MOD($B$24,2)=1</formula>
    </cfRule>
  </conditionalFormatting>
  <conditionalFormatting sqref="B36">
    <cfRule type="cellIs" priority="3" dxfId="0" operator="lessThan" stopIfTrue="1">
      <formula>1</formula>
    </cfRule>
  </conditionalFormatting>
  <conditionalFormatting sqref="B6">
    <cfRule type="expression" priority="4" dxfId="1" stopIfTrue="1">
      <formula>MOD(B6,2)=0</formula>
    </cfRule>
  </conditionalFormatting>
  <printOptions/>
  <pageMargins left="0.75" right="0.75" top="1" bottom="1" header="0.5" footer="0.5"/>
  <pageSetup fitToHeight="0" fitToWidth="1" horizontalDpi="600" verticalDpi="600" orientation="landscape" scale="67" r:id="rId22"/>
  <legacyDrawing r:id="rId21"/>
  <oleObjects>
    <oleObject progId="Equation.3" shapeId="6061707" r:id="rId1"/>
    <oleObject progId="Equation.3" shapeId="6065881" r:id="rId2"/>
    <oleObject progId="Equation.3" shapeId="6080658" r:id="rId3"/>
    <oleObject progId="Equation.3" shapeId="6324883" r:id="rId4"/>
    <oleObject progId="Equation.3" shapeId="7550833" r:id="rId5"/>
    <oleObject progId="Equation.3" shapeId="7680373" r:id="rId6"/>
    <oleObject progId="Equation.3" shapeId="7682517" r:id="rId7"/>
    <oleObject progId="Equation.3" shapeId="8413138" r:id="rId8"/>
    <oleObject progId="Equation.3" shapeId="12730344" r:id="rId9"/>
    <oleObject progId="Equation.3" shapeId="12732472" r:id="rId10"/>
    <oleObject progId="Equation.3" shapeId="12757377" r:id="rId11"/>
    <oleObject progId="Equation.3" shapeId="29819143" r:id="rId12"/>
    <oleObject progId="Equation.3" shapeId="29826508" r:id="rId13"/>
    <oleObject progId="Equation.3" shapeId="29829703" r:id="rId14"/>
    <oleObject progId="Equation.3" shapeId="29833177" r:id="rId15"/>
    <oleObject progId="Equation.3" shapeId="29834729" r:id="rId16"/>
    <oleObject progId="Equation.3" shapeId="29842829" r:id="rId17"/>
    <oleObject progId="Equation.3" shapeId="33354595" r:id="rId18"/>
    <oleObject progId="Equation.3" shapeId="34853471" r:id="rId19"/>
    <oleObject progId="Equation.3" shapeId="34879743" r:id="rId2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reiersen</dc:creator>
  <cp:keywords/>
  <dc:description/>
  <cp:lastModifiedBy>reiersen</cp:lastModifiedBy>
  <cp:lastPrinted>2007-02-20T14:39:36Z</cp:lastPrinted>
  <dcterms:created xsi:type="dcterms:W3CDTF">2007-02-14T19:09:33Z</dcterms:created>
  <dcterms:modified xsi:type="dcterms:W3CDTF">2007-02-20T21:21:34Z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