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'Sheet1'!$A$1:$AB$23</definedName>
  </definedNames>
  <calcPr fullCalcOnLoad="1"/>
</workbook>
</file>

<file path=xl/sharedStrings.xml><?xml version="1.0" encoding="utf-8"?>
<sst xmlns="http://schemas.openxmlformats.org/spreadsheetml/2006/main" count="106" uniqueCount="79">
  <si>
    <t>Vdo = 3*(6^0.50)*Eln/PI</t>
  </si>
  <si>
    <t>Unit</t>
  </si>
  <si>
    <t>Sl# of Trmr</t>
  </si>
  <si>
    <t>KVA</t>
  </si>
  <si>
    <t>%Z</t>
  </si>
  <si>
    <t>Vsec no load L-L</t>
  </si>
  <si>
    <t>T1</t>
  </si>
  <si>
    <t>T2</t>
  </si>
  <si>
    <t>T3</t>
  </si>
  <si>
    <t>T4</t>
  </si>
  <si>
    <t>DF</t>
  </si>
  <si>
    <t>IF</t>
  </si>
  <si>
    <t>86-1258</t>
  </si>
  <si>
    <t>86-1264</t>
  </si>
  <si>
    <t>86-1260</t>
  </si>
  <si>
    <t>86-1262</t>
  </si>
  <si>
    <t>86-1259</t>
  </si>
  <si>
    <t>86-1263</t>
  </si>
  <si>
    <t>86-1261</t>
  </si>
  <si>
    <t>86-1265</t>
  </si>
  <si>
    <t>86-1256</t>
  </si>
  <si>
    <t>86-1257</t>
  </si>
  <si>
    <t>86-1175</t>
  </si>
  <si>
    <t>86-1176</t>
  </si>
  <si>
    <t>03/23/1987 by NWL</t>
  </si>
  <si>
    <t>Vpri - 3ph.L to L</t>
  </si>
  <si>
    <t>Pri Res. (mOhm)</t>
  </si>
  <si>
    <t>Sec. Res. (mOhm)</t>
  </si>
  <si>
    <t>Ideal DC no load Volts</t>
  </si>
  <si>
    <t>Ip in Cont</t>
  </si>
  <si>
    <t>Ip in pulsed</t>
  </si>
  <si>
    <t>Rated DC Volts</t>
  </si>
  <si>
    <t>Rated pulsed DC Current-kA</t>
  </si>
  <si>
    <t>1.35*E Line to Line</t>
  </si>
  <si>
    <t>2.34* E Line to Neutral</t>
  </si>
  <si>
    <t>% Impedance =( IZ/V)*100</t>
  </si>
  <si>
    <t>L</t>
  </si>
  <si>
    <t>Z= %Z*((V/I)/100)</t>
  </si>
  <si>
    <t>Z base (Ohms)</t>
  </si>
  <si>
    <t>Z sec side</t>
  </si>
  <si>
    <t>L/2</t>
  </si>
  <si>
    <t>OR</t>
  </si>
  <si>
    <t>Z/Zbase</t>
  </si>
  <si>
    <t>Volt Drop</t>
  </si>
  <si>
    <t>Is  RMS Cont</t>
  </si>
  <si>
    <t xml:space="preserve">Is RMS pulsed </t>
  </si>
  <si>
    <t>Calculated from kVA (Idc=Is*(m^0.5)) - Amps</t>
  </si>
  <si>
    <t>Total Res. (seen from Sec)(mOhm)</t>
  </si>
  <si>
    <t>X Sec side</t>
  </si>
  <si>
    <t>Is = Idc/(m^0.5)</t>
  </si>
  <si>
    <t>Zbase</t>
  </si>
  <si>
    <t>Zpu</t>
  </si>
  <si>
    <t>Zohms</t>
  </si>
  <si>
    <t>Rc</t>
  </si>
  <si>
    <t>X/R</t>
  </si>
  <si>
    <t>Lc</t>
  </si>
  <si>
    <t>Xpu</t>
  </si>
  <si>
    <t>6fLc</t>
  </si>
  <si>
    <t>2Rc</t>
  </si>
  <si>
    <t>Vnl</t>
  </si>
  <si>
    <t>Ifl</t>
  </si>
  <si>
    <t>Vfl</t>
  </si>
  <si>
    <t>%reg</t>
  </si>
  <si>
    <t>Pri Res. (mOhm) referred to each secondary</t>
  </si>
  <si>
    <t>Percent drop</t>
  </si>
  <si>
    <t>Kimbark = 6fLc</t>
  </si>
  <si>
    <t>Drop = I*(Kimbark+Res.)</t>
  </si>
  <si>
    <t>Revised spreadsheet including the resistance</t>
  </si>
  <si>
    <t>CN's verification</t>
  </si>
  <si>
    <t>Total Equivalent Resistance - ohms</t>
  </si>
  <si>
    <t>Re*</t>
  </si>
  <si>
    <t>* Equivalent Resistance</t>
  </si>
  <si>
    <t>Summary of the equivalent resistance to compute voltage drop</t>
  </si>
  <si>
    <t>Volt drop on full load</t>
  </si>
  <si>
    <t>Kimbark 6fL</t>
  </si>
  <si>
    <t>Average Drop</t>
  </si>
  <si>
    <t>Average Re</t>
  </si>
  <si>
    <t>Volts</t>
  </si>
  <si>
    <t>Ohms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</si>
</sst>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"/>
    <numFmt numFmtId="168" formatCode="0.0%"/>
    <numFmt numFmtId="169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" fontId="0" fillId="0" borderId="8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wrapText="1"/>
    </xf>
    <xf numFmtId="166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wrapText="1"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2" fillId="0" borderId="11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8" xfId="0" applyNumberFormat="1" applyBorder="1" applyAlignment="1">
      <alignment/>
    </xf>
    <xf numFmtId="169" fontId="0" fillId="0" borderId="2" xfId="0" applyNumberFormat="1" applyBorder="1" applyAlignment="1">
      <alignment wrapText="1"/>
    </xf>
    <xf numFmtId="169" fontId="0" fillId="0" borderId="5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2" xfId="0" applyFill="1" applyBorder="1" applyAlignment="1">
      <alignment wrapText="1"/>
    </xf>
    <xf numFmtId="169" fontId="0" fillId="0" borderId="3" xfId="0" applyNumberFormat="1" applyBorder="1" applyAlignment="1">
      <alignment wrapText="1"/>
    </xf>
    <xf numFmtId="169" fontId="0" fillId="0" borderId="6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 topLeftCell="A1">
      <selection activeCell="T27" sqref="T27"/>
    </sheetView>
  </sheetViews>
  <sheetFormatPr defaultColWidth="9.140625" defaultRowHeight="12.75"/>
  <cols>
    <col min="3" max="3" width="7.00390625" style="0" customWidth="1"/>
    <col min="4" max="4" width="7.28125" style="0" customWidth="1"/>
    <col min="5" max="5" width="9.7109375" style="0" customWidth="1"/>
    <col min="6" max="6" width="8.00390625" style="22" customWidth="1"/>
    <col min="7" max="7" width="9.8515625" style="44" customWidth="1"/>
    <col min="8" max="8" width="7.140625" style="0" customWidth="1"/>
    <col min="9" max="9" width="7.7109375" style="0" customWidth="1"/>
    <col min="10" max="10" width="7.57421875" style="19" customWidth="1"/>
    <col min="11" max="11" width="7.7109375" style="0" customWidth="1"/>
    <col min="12" max="12" width="9.421875" style="26" customWidth="1"/>
    <col min="13" max="13" width="8.421875" style="0" customWidth="1"/>
    <col min="14" max="14" width="8.00390625" style="26" customWidth="1"/>
    <col min="15" max="15" width="7.8515625" style="25" customWidth="1"/>
    <col min="16" max="16" width="6.421875" style="0" customWidth="1"/>
    <col min="17" max="17" width="9.7109375" style="0" customWidth="1"/>
    <col min="22" max="22" width="12.421875" style="0" bestFit="1" customWidth="1"/>
    <col min="23" max="23" width="10.421875" style="0" bestFit="1" customWidth="1"/>
    <col min="25" max="25" width="10.28125" style="0" customWidth="1"/>
    <col min="29" max="29" width="12.421875" style="0" bestFit="1" customWidth="1"/>
  </cols>
  <sheetData>
    <row r="1" spans="1:7" ht="12.75">
      <c r="A1" t="s">
        <v>0</v>
      </c>
      <c r="D1" t="s">
        <v>33</v>
      </c>
      <c r="G1" s="44" t="s">
        <v>34</v>
      </c>
    </row>
    <row r="2" spans="4:8" ht="12.75">
      <c r="D2" t="s">
        <v>35</v>
      </c>
      <c r="G2" s="44" t="s">
        <v>41</v>
      </c>
      <c r="H2" t="s">
        <v>42</v>
      </c>
    </row>
    <row r="3" spans="1:4" ht="12.75">
      <c r="A3" s="1"/>
      <c r="D3" t="s">
        <v>37</v>
      </c>
    </row>
    <row r="4" ht="12.75">
      <c r="A4" t="s">
        <v>49</v>
      </c>
    </row>
    <row r="5" spans="1:3" ht="12.75">
      <c r="A5" t="s">
        <v>65</v>
      </c>
      <c r="C5" t="s">
        <v>66</v>
      </c>
    </row>
    <row r="6" ht="12.75">
      <c r="A6" t="s">
        <v>24</v>
      </c>
    </row>
    <row r="8" spans="1:28" ht="13.5" thickBot="1">
      <c r="A8" s="9" t="s">
        <v>67</v>
      </c>
      <c r="B8" s="10"/>
      <c r="C8" s="10"/>
      <c r="D8" s="10"/>
      <c r="E8" s="10"/>
      <c r="F8" s="24"/>
      <c r="G8" s="45"/>
      <c r="H8" s="10"/>
      <c r="I8" s="10"/>
      <c r="J8" s="21"/>
      <c r="K8" s="10"/>
      <c r="L8" s="29"/>
      <c r="M8" s="10"/>
      <c r="N8" s="29"/>
      <c r="O8" s="32"/>
      <c r="P8" s="10"/>
      <c r="Q8" s="10"/>
      <c r="R8" s="10"/>
      <c r="S8" s="10"/>
      <c r="T8" s="10"/>
      <c r="U8" s="10"/>
      <c r="V8" s="10"/>
      <c r="W8" s="16"/>
      <c r="X8" s="16"/>
      <c r="Y8" s="16"/>
      <c r="Z8" s="16"/>
      <c r="AA8" s="16"/>
      <c r="AB8" s="11"/>
    </row>
    <row r="9" spans="1:28" s="2" customFormat="1" ht="77.25" thickTop="1">
      <c r="A9" s="3" t="s">
        <v>1</v>
      </c>
      <c r="B9" s="4" t="s">
        <v>2</v>
      </c>
      <c r="C9" s="4" t="s">
        <v>3</v>
      </c>
      <c r="D9" s="4" t="s">
        <v>4</v>
      </c>
      <c r="E9" s="4" t="s">
        <v>25</v>
      </c>
      <c r="F9" s="23" t="s">
        <v>29</v>
      </c>
      <c r="G9" s="46" t="s">
        <v>30</v>
      </c>
      <c r="H9" s="4" t="s">
        <v>5</v>
      </c>
      <c r="I9" s="4" t="s">
        <v>44</v>
      </c>
      <c r="J9" s="20" t="s">
        <v>45</v>
      </c>
      <c r="K9" s="4" t="s">
        <v>26</v>
      </c>
      <c r="L9" s="27" t="s">
        <v>63</v>
      </c>
      <c r="M9" s="4" t="s">
        <v>27</v>
      </c>
      <c r="N9" s="27" t="s">
        <v>47</v>
      </c>
      <c r="O9" s="30" t="s">
        <v>28</v>
      </c>
      <c r="P9" s="4" t="s">
        <v>31</v>
      </c>
      <c r="Q9" s="4" t="s">
        <v>46</v>
      </c>
      <c r="R9" s="4" t="s">
        <v>32</v>
      </c>
      <c r="S9" s="4" t="s">
        <v>38</v>
      </c>
      <c r="T9" s="4" t="s">
        <v>39</v>
      </c>
      <c r="U9" s="4" t="s">
        <v>48</v>
      </c>
      <c r="V9" s="4" t="s">
        <v>36</v>
      </c>
      <c r="W9" s="13" t="s">
        <v>40</v>
      </c>
      <c r="X9" s="13" t="s">
        <v>74</v>
      </c>
      <c r="Y9" s="13" t="s">
        <v>69</v>
      </c>
      <c r="Z9" s="13" t="s">
        <v>43</v>
      </c>
      <c r="AA9" s="13" t="s">
        <v>64</v>
      </c>
      <c r="AB9" s="5"/>
    </row>
    <row r="10" spans="1:28" ht="12.75">
      <c r="A10" s="6"/>
      <c r="B10" s="7"/>
      <c r="C10" s="7"/>
      <c r="D10" s="7"/>
      <c r="E10" s="7"/>
      <c r="F10" s="18"/>
      <c r="G10" s="47"/>
      <c r="H10" s="7"/>
      <c r="I10" s="7"/>
      <c r="J10" s="17"/>
      <c r="K10" s="7"/>
      <c r="L10" s="28"/>
      <c r="M10" s="7"/>
      <c r="N10" s="28"/>
      <c r="O10" s="31"/>
      <c r="P10" s="7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8"/>
    </row>
    <row r="11" spans="1:28" ht="12.75">
      <c r="A11" s="6" t="s">
        <v>6</v>
      </c>
      <c r="B11" s="7" t="s">
        <v>12</v>
      </c>
      <c r="C11" s="7">
        <v>225</v>
      </c>
      <c r="D11" s="7">
        <v>6.07</v>
      </c>
      <c r="E11" s="7">
        <v>4160</v>
      </c>
      <c r="F11" s="18">
        <f>C11*1000/3^0.5/E11</f>
        <v>31.22687754030428</v>
      </c>
      <c r="G11" s="47">
        <f>4*F11</f>
        <v>124.90751016121712</v>
      </c>
      <c r="H11" s="7">
        <v>255</v>
      </c>
      <c r="I11" s="7">
        <f>F11*E11/H11</f>
        <v>509.42670810849336</v>
      </c>
      <c r="J11" s="17">
        <f>I11*4</f>
        <v>2037.7068324339734</v>
      </c>
      <c r="K11" s="7">
        <v>838</v>
      </c>
      <c r="L11" s="28">
        <f>K11*(H11/E11)^2/2</f>
        <v>1.5743733242418638</v>
      </c>
      <c r="M11" s="7">
        <v>1.64</v>
      </c>
      <c r="N11" s="28">
        <f>L11+M11</f>
        <v>3.2143733242418637</v>
      </c>
      <c r="O11" s="31">
        <f>(3/PI())*H11*2^0.5</f>
        <v>344.3709909300931</v>
      </c>
      <c r="P11" s="7">
        <v>300</v>
      </c>
      <c r="Q11" s="7">
        <f>J11*6^0.5</f>
        <v>4991.341984846218</v>
      </c>
      <c r="R11" s="7">
        <v>5</v>
      </c>
      <c r="S11" s="7">
        <f>H11/3^0.5/I11</f>
        <v>0.289</v>
      </c>
      <c r="T11" s="7">
        <f aca="true" t="shared" si="0" ref="T11:T22">(D11/100)*S11</f>
        <v>0.0175423</v>
      </c>
      <c r="U11" s="7">
        <f>(T11^2-(N11/1000)^2)^0.5</f>
        <v>0.017245291920475057</v>
      </c>
      <c r="V11" s="12">
        <f>U11/(2*PI()*60)</f>
        <v>4.5744557570105505E-05</v>
      </c>
      <c r="W11" s="15">
        <f>V11/2</f>
        <v>2.2872278785052752E-05</v>
      </c>
      <c r="X11" s="15">
        <f>6*60*V11</f>
        <v>0.01646804072523798</v>
      </c>
      <c r="Y11" s="43">
        <f>(X11+N11/1000)</f>
        <v>0.019682414049479846</v>
      </c>
      <c r="Z11" s="15">
        <f>(X11+N11/1000)*R11*1000/2</f>
        <v>49.206035123699614</v>
      </c>
      <c r="AA11" s="15">
        <f>Z11*100/O11</f>
        <v>14.288670189902371</v>
      </c>
      <c r="AB11" s="8"/>
    </row>
    <row r="12" spans="1:28" ht="12.75">
      <c r="A12" s="6" t="s">
        <v>6</v>
      </c>
      <c r="B12" s="7" t="s">
        <v>13</v>
      </c>
      <c r="C12" s="7">
        <v>225</v>
      </c>
      <c r="D12" s="7">
        <v>6.23</v>
      </c>
      <c r="E12" s="7">
        <v>4160</v>
      </c>
      <c r="F12" s="18">
        <f aca="true" t="shared" si="1" ref="F12:F22">C12*1000/3^0.5/E12</f>
        <v>31.22687754030428</v>
      </c>
      <c r="G12" s="47">
        <f aca="true" t="shared" si="2" ref="G12:G22">4*F12</f>
        <v>124.90751016121712</v>
      </c>
      <c r="H12" s="7">
        <v>255</v>
      </c>
      <c r="I12" s="7">
        <f aca="true" t="shared" si="3" ref="I12:I18">F12*E12/H12</f>
        <v>509.42670810849336</v>
      </c>
      <c r="J12" s="17">
        <f aca="true" t="shared" si="4" ref="J12:J22">I12*4</f>
        <v>2037.7068324339734</v>
      </c>
      <c r="K12" s="7">
        <v>832</v>
      </c>
      <c r="L12" s="28">
        <f aca="true" t="shared" si="5" ref="L12:L22">K12*(H12/E12)^2/2</f>
        <v>1.5631009615384615</v>
      </c>
      <c r="M12" s="7">
        <v>1.68</v>
      </c>
      <c r="N12" s="28">
        <f aca="true" t="shared" si="6" ref="N12:N22">L12+M12</f>
        <v>3.2431009615384614</v>
      </c>
      <c r="O12" s="31">
        <f aca="true" t="shared" si="7" ref="O12:O22">(3/PI())*H12*2^0.5</f>
        <v>344.3709909300931</v>
      </c>
      <c r="P12" s="7">
        <v>300</v>
      </c>
      <c r="Q12" s="7">
        <f aca="true" t="shared" si="8" ref="Q12:Q22">J12*6^0.5</f>
        <v>4991.341984846218</v>
      </c>
      <c r="R12" s="7">
        <v>5</v>
      </c>
      <c r="S12" s="7">
        <f aca="true" t="shared" si="9" ref="S12:S22">H12/3^0.5/I12</f>
        <v>0.289</v>
      </c>
      <c r="T12" s="7">
        <f t="shared" si="0"/>
        <v>0.0180047</v>
      </c>
      <c r="U12" s="7">
        <f aca="true" t="shared" si="10" ref="U12:U22">(T12^2-(N12/1000)^2)^0.5</f>
        <v>0.017710209435330467</v>
      </c>
      <c r="V12" s="12">
        <f aca="true" t="shared" si="11" ref="V12:V22">U12/(2*PI()*60)</f>
        <v>4.697778958042614E-05</v>
      </c>
      <c r="W12" s="15">
        <f aca="true" t="shared" si="12" ref="W12:W22">V12/2</f>
        <v>2.348889479021307E-05</v>
      </c>
      <c r="X12" s="15">
        <f aca="true" t="shared" si="13" ref="X12:X22">6*60*V12</f>
        <v>0.01691200424895341</v>
      </c>
      <c r="Y12" s="43">
        <f aca="true" t="shared" si="14" ref="Y12:Y22">(X12+N12/1000)</f>
        <v>0.020155105210491873</v>
      </c>
      <c r="Z12" s="15">
        <f aca="true" t="shared" si="15" ref="Z12:Z22">(X12+N12/1000)*R12*1000/2</f>
        <v>50.387763026229685</v>
      </c>
      <c r="AA12" s="15">
        <f aca="true" t="shared" si="16" ref="AA12:AA22">Z12*100/O12</f>
        <v>14.631825662823713</v>
      </c>
      <c r="AB12" s="8"/>
    </row>
    <row r="13" spans="1:28" ht="12.75">
      <c r="A13" s="6" t="s">
        <v>7</v>
      </c>
      <c r="B13" s="7" t="s">
        <v>14</v>
      </c>
      <c r="C13" s="7">
        <v>225</v>
      </c>
      <c r="D13" s="7">
        <v>5.91</v>
      </c>
      <c r="E13" s="7">
        <v>4160</v>
      </c>
      <c r="F13" s="18">
        <f t="shared" si="1"/>
        <v>31.22687754030428</v>
      </c>
      <c r="G13" s="47">
        <f t="shared" si="2"/>
        <v>124.90751016121712</v>
      </c>
      <c r="H13" s="7">
        <v>255</v>
      </c>
      <c r="I13" s="7">
        <f t="shared" si="3"/>
        <v>509.42670810849336</v>
      </c>
      <c r="J13" s="17">
        <f t="shared" si="4"/>
        <v>2037.7068324339734</v>
      </c>
      <c r="K13" s="7">
        <v>841</v>
      </c>
      <c r="L13" s="28">
        <f t="shared" si="5"/>
        <v>1.580009505593565</v>
      </c>
      <c r="M13" s="7">
        <v>1.66</v>
      </c>
      <c r="N13" s="28">
        <f t="shared" si="6"/>
        <v>3.240009505593565</v>
      </c>
      <c r="O13" s="31">
        <f t="shared" si="7"/>
        <v>344.3709909300931</v>
      </c>
      <c r="P13" s="7">
        <v>300</v>
      </c>
      <c r="Q13" s="7">
        <f t="shared" si="8"/>
        <v>4991.341984846218</v>
      </c>
      <c r="R13" s="7">
        <v>5</v>
      </c>
      <c r="S13" s="7">
        <f t="shared" si="9"/>
        <v>0.289</v>
      </c>
      <c r="T13" s="7">
        <f t="shared" si="0"/>
        <v>0.0170799</v>
      </c>
      <c r="U13" s="7">
        <f t="shared" si="10"/>
        <v>0.016769774071634456</v>
      </c>
      <c r="V13" s="12">
        <f t="shared" si="11"/>
        <v>4.448320730058207E-05</v>
      </c>
      <c r="W13" s="15">
        <f t="shared" si="12"/>
        <v>2.2241603650291035E-05</v>
      </c>
      <c r="X13" s="15">
        <f t="shared" si="13"/>
        <v>0.016013954628209544</v>
      </c>
      <c r="Y13" s="43">
        <f t="shared" si="14"/>
        <v>0.01925396413380311</v>
      </c>
      <c r="Z13" s="15">
        <f t="shared" si="15"/>
        <v>48.13491033450777</v>
      </c>
      <c r="AA13" s="15">
        <f t="shared" si="16"/>
        <v>13.97763214738349</v>
      </c>
      <c r="AB13" s="8"/>
    </row>
    <row r="14" spans="1:28" ht="12.75">
      <c r="A14" s="6" t="s">
        <v>7</v>
      </c>
      <c r="B14" s="7" t="s">
        <v>15</v>
      </c>
      <c r="C14" s="7">
        <v>225</v>
      </c>
      <c r="D14" s="7">
        <v>6.12</v>
      </c>
      <c r="E14" s="7">
        <v>4160</v>
      </c>
      <c r="F14" s="18">
        <f t="shared" si="1"/>
        <v>31.22687754030428</v>
      </c>
      <c r="G14" s="47">
        <f t="shared" si="2"/>
        <v>124.90751016121712</v>
      </c>
      <c r="H14" s="7">
        <v>255</v>
      </c>
      <c r="I14" s="7">
        <f t="shared" si="3"/>
        <v>509.42670810849336</v>
      </c>
      <c r="J14" s="17">
        <f t="shared" si="4"/>
        <v>2037.7068324339734</v>
      </c>
      <c r="K14" s="7">
        <v>831</v>
      </c>
      <c r="L14" s="28">
        <f t="shared" si="5"/>
        <v>1.5612222344212277</v>
      </c>
      <c r="M14" s="7">
        <v>1.76</v>
      </c>
      <c r="N14" s="28">
        <f t="shared" si="6"/>
        <v>3.321222234421228</v>
      </c>
      <c r="O14" s="31">
        <f t="shared" si="7"/>
        <v>344.3709909300931</v>
      </c>
      <c r="P14" s="7">
        <v>300</v>
      </c>
      <c r="Q14" s="7">
        <f t="shared" si="8"/>
        <v>4991.341984846218</v>
      </c>
      <c r="R14" s="7">
        <v>5</v>
      </c>
      <c r="S14" s="7">
        <f t="shared" si="9"/>
        <v>0.289</v>
      </c>
      <c r="T14" s="7">
        <f t="shared" si="0"/>
        <v>0.0176868</v>
      </c>
      <c r="U14" s="7">
        <f t="shared" si="10"/>
        <v>0.01737217249251187</v>
      </c>
      <c r="V14" s="12">
        <f t="shared" si="11"/>
        <v>4.6081118740471945E-05</v>
      </c>
      <c r="W14" s="15">
        <f t="shared" si="12"/>
        <v>2.3040559370235972E-05</v>
      </c>
      <c r="X14" s="15">
        <f t="shared" si="13"/>
        <v>0.0165892027465699</v>
      </c>
      <c r="Y14" s="43">
        <f t="shared" si="14"/>
        <v>0.019910424980991128</v>
      </c>
      <c r="Z14" s="15">
        <f t="shared" si="15"/>
        <v>49.776062452477824</v>
      </c>
      <c r="AA14" s="15">
        <f t="shared" si="16"/>
        <v>14.454197294040457</v>
      </c>
      <c r="AB14" s="8"/>
    </row>
    <row r="15" spans="1:28" ht="12.75">
      <c r="A15" s="6" t="s">
        <v>8</v>
      </c>
      <c r="B15" s="7" t="s">
        <v>16</v>
      </c>
      <c r="C15" s="7">
        <v>225</v>
      </c>
      <c r="D15" s="7">
        <v>5.99</v>
      </c>
      <c r="E15" s="7">
        <v>4160</v>
      </c>
      <c r="F15" s="18">
        <f t="shared" si="1"/>
        <v>31.22687754030428</v>
      </c>
      <c r="G15" s="47">
        <f t="shared" si="2"/>
        <v>124.90751016121712</v>
      </c>
      <c r="H15" s="7">
        <v>255</v>
      </c>
      <c r="I15" s="7">
        <f t="shared" si="3"/>
        <v>509.42670810849336</v>
      </c>
      <c r="J15" s="17">
        <f t="shared" si="4"/>
        <v>2037.7068324339734</v>
      </c>
      <c r="K15" s="7">
        <v>837</v>
      </c>
      <c r="L15" s="28">
        <f t="shared" si="5"/>
        <v>1.57249459712463</v>
      </c>
      <c r="M15" s="7">
        <v>1.66</v>
      </c>
      <c r="N15" s="28">
        <f t="shared" si="6"/>
        <v>3.2324945971246297</v>
      </c>
      <c r="O15" s="31">
        <f t="shared" si="7"/>
        <v>344.3709909300931</v>
      </c>
      <c r="P15" s="7">
        <v>300</v>
      </c>
      <c r="Q15" s="7">
        <f t="shared" si="8"/>
        <v>4991.341984846218</v>
      </c>
      <c r="R15" s="7">
        <v>5</v>
      </c>
      <c r="S15" s="7">
        <f t="shared" si="9"/>
        <v>0.289</v>
      </c>
      <c r="T15" s="7">
        <f t="shared" si="0"/>
        <v>0.0173111</v>
      </c>
      <c r="U15" s="7">
        <f t="shared" si="10"/>
        <v>0.017006621119127693</v>
      </c>
      <c r="V15" s="12">
        <f t="shared" si="11"/>
        <v>4.5111463606669895E-05</v>
      </c>
      <c r="W15" s="15">
        <f t="shared" si="12"/>
        <v>2.2555731803334947E-05</v>
      </c>
      <c r="X15" s="15">
        <f t="shared" si="13"/>
        <v>0.016240126898401163</v>
      </c>
      <c r="Y15" s="43">
        <f t="shared" si="14"/>
        <v>0.019472621495525793</v>
      </c>
      <c r="Z15" s="15">
        <f t="shared" si="15"/>
        <v>48.681553738814486</v>
      </c>
      <c r="AA15" s="15">
        <f t="shared" si="16"/>
        <v>14.13636892217114</v>
      </c>
      <c r="AB15" s="8"/>
    </row>
    <row r="16" spans="1:28" ht="12.75">
      <c r="A16" s="6" t="s">
        <v>8</v>
      </c>
      <c r="B16" s="7" t="s">
        <v>17</v>
      </c>
      <c r="C16" s="7">
        <v>225</v>
      </c>
      <c r="D16" s="7">
        <v>5.95</v>
      </c>
      <c r="E16" s="7">
        <v>4160</v>
      </c>
      <c r="F16" s="18">
        <f t="shared" si="1"/>
        <v>31.22687754030428</v>
      </c>
      <c r="G16" s="47">
        <f t="shared" si="2"/>
        <v>124.90751016121712</v>
      </c>
      <c r="H16" s="7">
        <v>255</v>
      </c>
      <c r="I16" s="7">
        <f t="shared" si="3"/>
        <v>509.42670810849336</v>
      </c>
      <c r="J16" s="17">
        <f t="shared" si="4"/>
        <v>2037.7068324339734</v>
      </c>
      <c r="K16" s="7">
        <v>830</v>
      </c>
      <c r="L16" s="28">
        <f t="shared" si="5"/>
        <v>1.559343507303994</v>
      </c>
      <c r="M16" s="7">
        <v>1.67</v>
      </c>
      <c r="N16" s="28">
        <f t="shared" si="6"/>
        <v>3.229343507303994</v>
      </c>
      <c r="O16" s="31">
        <f t="shared" si="7"/>
        <v>344.3709909300931</v>
      </c>
      <c r="P16" s="7">
        <v>300</v>
      </c>
      <c r="Q16" s="7">
        <f t="shared" si="8"/>
        <v>4991.341984846218</v>
      </c>
      <c r="R16" s="7">
        <v>5</v>
      </c>
      <c r="S16" s="7">
        <f t="shared" si="9"/>
        <v>0.289</v>
      </c>
      <c r="T16" s="7">
        <f t="shared" si="0"/>
        <v>0.0171955</v>
      </c>
      <c r="U16" s="7">
        <f t="shared" si="10"/>
        <v>0.016889539980764232</v>
      </c>
      <c r="V16" s="12">
        <f t="shared" si="11"/>
        <v>4.480089624144705E-05</v>
      </c>
      <c r="W16" s="15">
        <f t="shared" si="12"/>
        <v>2.2400448120723524E-05</v>
      </c>
      <c r="X16" s="15">
        <f t="shared" si="13"/>
        <v>0.016128322646920937</v>
      </c>
      <c r="Y16" s="43">
        <f t="shared" si="14"/>
        <v>0.01935766615422493</v>
      </c>
      <c r="Z16" s="15">
        <f t="shared" si="15"/>
        <v>48.39416538556233</v>
      </c>
      <c r="AA16" s="15">
        <f t="shared" si="16"/>
        <v>14.052915797250265</v>
      </c>
      <c r="AB16" s="8"/>
    </row>
    <row r="17" spans="1:28" ht="12.75">
      <c r="A17" s="6" t="s">
        <v>9</v>
      </c>
      <c r="B17" s="7" t="s">
        <v>18</v>
      </c>
      <c r="C17" s="7">
        <v>225</v>
      </c>
      <c r="D17" s="7">
        <v>6.25</v>
      </c>
      <c r="E17" s="7">
        <v>4160</v>
      </c>
      <c r="F17" s="18">
        <f t="shared" si="1"/>
        <v>31.22687754030428</v>
      </c>
      <c r="G17" s="47">
        <f t="shared" si="2"/>
        <v>124.90751016121712</v>
      </c>
      <c r="H17" s="7">
        <v>255</v>
      </c>
      <c r="I17" s="7">
        <f t="shared" si="3"/>
        <v>509.42670810849336</v>
      </c>
      <c r="J17" s="17">
        <f t="shared" si="4"/>
        <v>2037.7068324339734</v>
      </c>
      <c r="K17" s="7">
        <v>836</v>
      </c>
      <c r="L17" s="28">
        <f t="shared" si="5"/>
        <v>1.5706158700073964</v>
      </c>
      <c r="M17" s="7">
        <v>1.65</v>
      </c>
      <c r="N17" s="28">
        <f t="shared" si="6"/>
        <v>3.2206158700073964</v>
      </c>
      <c r="O17" s="31">
        <f t="shared" si="7"/>
        <v>344.3709909300931</v>
      </c>
      <c r="P17" s="7">
        <v>300</v>
      </c>
      <c r="Q17" s="7">
        <f t="shared" si="8"/>
        <v>4991.341984846218</v>
      </c>
      <c r="R17" s="7">
        <v>5</v>
      </c>
      <c r="S17" s="7">
        <f t="shared" si="9"/>
        <v>0.289</v>
      </c>
      <c r="T17" s="7">
        <f t="shared" si="0"/>
        <v>0.0180625</v>
      </c>
      <c r="U17" s="7">
        <f t="shared" si="10"/>
        <v>0.017773056565145356</v>
      </c>
      <c r="V17" s="12">
        <f t="shared" si="11"/>
        <v>4.714449676991244E-05</v>
      </c>
      <c r="W17" s="15">
        <f t="shared" si="12"/>
        <v>2.357224838495622E-05</v>
      </c>
      <c r="X17" s="15">
        <f t="shared" si="13"/>
        <v>0.01697201883716848</v>
      </c>
      <c r="Y17" s="43">
        <f t="shared" si="14"/>
        <v>0.020192634707175874</v>
      </c>
      <c r="Z17" s="15">
        <f t="shared" si="15"/>
        <v>50.48158676793969</v>
      </c>
      <c r="AA17" s="15">
        <f t="shared" si="16"/>
        <v>14.659070623688912</v>
      </c>
      <c r="AB17" s="8"/>
    </row>
    <row r="18" spans="1:28" ht="12.75">
      <c r="A18" s="6" t="s">
        <v>9</v>
      </c>
      <c r="B18" s="7" t="s">
        <v>19</v>
      </c>
      <c r="C18" s="7">
        <v>225</v>
      </c>
      <c r="D18" s="7">
        <v>6.15</v>
      </c>
      <c r="E18" s="7">
        <v>4160</v>
      </c>
      <c r="F18" s="18">
        <f t="shared" si="1"/>
        <v>31.22687754030428</v>
      </c>
      <c r="G18" s="47">
        <f t="shared" si="2"/>
        <v>124.90751016121712</v>
      </c>
      <c r="H18" s="7">
        <v>255</v>
      </c>
      <c r="I18" s="7">
        <f t="shared" si="3"/>
        <v>509.42670810849336</v>
      </c>
      <c r="J18" s="17">
        <f t="shared" si="4"/>
        <v>2037.7068324339734</v>
      </c>
      <c r="K18" s="7">
        <v>834</v>
      </c>
      <c r="L18" s="28">
        <f t="shared" si="5"/>
        <v>1.5668584157729288</v>
      </c>
      <c r="M18" s="7">
        <v>1.74</v>
      </c>
      <c r="N18" s="28">
        <f t="shared" si="6"/>
        <v>3.306858415772929</v>
      </c>
      <c r="O18" s="31">
        <f t="shared" si="7"/>
        <v>344.3709909300931</v>
      </c>
      <c r="P18" s="7">
        <v>300</v>
      </c>
      <c r="Q18" s="7">
        <f t="shared" si="8"/>
        <v>4991.341984846218</v>
      </c>
      <c r="R18" s="7">
        <v>5</v>
      </c>
      <c r="S18" s="7">
        <f t="shared" si="9"/>
        <v>0.289</v>
      </c>
      <c r="T18" s="7">
        <f t="shared" si="0"/>
        <v>0.0177735</v>
      </c>
      <c r="U18" s="7">
        <f t="shared" si="10"/>
        <v>0.017463160930027297</v>
      </c>
      <c r="V18" s="12">
        <f t="shared" si="11"/>
        <v>4.632247306705175E-05</v>
      </c>
      <c r="W18" s="15">
        <f t="shared" si="12"/>
        <v>2.3161236533525873E-05</v>
      </c>
      <c r="X18" s="15">
        <f t="shared" si="13"/>
        <v>0.01667609030413863</v>
      </c>
      <c r="Y18" s="43">
        <f t="shared" si="14"/>
        <v>0.019982948719911558</v>
      </c>
      <c r="Z18" s="15">
        <f t="shared" si="15"/>
        <v>49.9573717997789</v>
      </c>
      <c r="AA18" s="15">
        <f t="shared" si="16"/>
        <v>14.506846719246505</v>
      </c>
      <c r="AB18" s="8"/>
    </row>
    <row r="19" spans="1:28" ht="12.75">
      <c r="A19" s="6" t="s">
        <v>10</v>
      </c>
      <c r="B19" s="7" t="s">
        <v>20</v>
      </c>
      <c r="C19" s="7">
        <v>300</v>
      </c>
      <c r="D19" s="7">
        <v>6.85</v>
      </c>
      <c r="E19" s="7">
        <v>4160</v>
      </c>
      <c r="F19" s="18">
        <f t="shared" si="1"/>
        <v>41.635836720405706</v>
      </c>
      <c r="G19" s="47">
        <f t="shared" si="2"/>
        <v>166.54334688162282</v>
      </c>
      <c r="H19" s="7">
        <v>170</v>
      </c>
      <c r="I19" s="7">
        <f>F19*E19/H19</f>
        <v>1018.8534162169867</v>
      </c>
      <c r="J19" s="17">
        <f t="shared" si="4"/>
        <v>4075.413664867947</v>
      </c>
      <c r="K19" s="7">
        <v>625</v>
      </c>
      <c r="L19" s="28">
        <f t="shared" si="5"/>
        <v>0.5218686436760355</v>
      </c>
      <c r="M19" s="7">
        <v>0.594</v>
      </c>
      <c r="N19" s="28">
        <f t="shared" si="6"/>
        <v>1.1158686436760354</v>
      </c>
      <c r="O19" s="31">
        <f t="shared" si="7"/>
        <v>229.58066062006205</v>
      </c>
      <c r="P19" s="7">
        <v>200</v>
      </c>
      <c r="Q19" s="7">
        <f t="shared" si="8"/>
        <v>9982.683969692436</v>
      </c>
      <c r="R19" s="7">
        <v>10</v>
      </c>
      <c r="S19" s="7">
        <f t="shared" si="9"/>
        <v>0.09633333333333333</v>
      </c>
      <c r="T19" s="7">
        <f t="shared" si="0"/>
        <v>0.006598833333333332</v>
      </c>
      <c r="U19" s="7">
        <f t="shared" si="10"/>
        <v>0.006503801852084033</v>
      </c>
      <c r="V19" s="12">
        <f t="shared" si="11"/>
        <v>1.7251870227489964E-05</v>
      </c>
      <c r="W19" s="15">
        <f t="shared" si="12"/>
        <v>8.625935113744982E-06</v>
      </c>
      <c r="X19" s="15">
        <f t="shared" si="13"/>
        <v>0.006210673281896387</v>
      </c>
      <c r="Y19" s="43">
        <f t="shared" si="14"/>
        <v>0.007326541925572423</v>
      </c>
      <c r="Z19" s="15">
        <f t="shared" si="15"/>
        <v>36.63270962786211</v>
      </c>
      <c r="AA19" s="15">
        <f t="shared" si="16"/>
        <v>15.956356920013558</v>
      </c>
      <c r="AB19" s="8"/>
    </row>
    <row r="20" spans="1:28" ht="12.75">
      <c r="A20" s="6" t="s">
        <v>10</v>
      </c>
      <c r="B20" s="7" t="s">
        <v>21</v>
      </c>
      <c r="C20" s="7">
        <v>300</v>
      </c>
      <c r="D20" s="7">
        <v>6.92</v>
      </c>
      <c r="E20" s="7">
        <v>4160</v>
      </c>
      <c r="F20" s="18">
        <f t="shared" si="1"/>
        <v>41.635836720405706</v>
      </c>
      <c r="G20" s="47">
        <f t="shared" si="2"/>
        <v>166.54334688162282</v>
      </c>
      <c r="H20" s="7">
        <v>170</v>
      </c>
      <c r="I20" s="7">
        <f>F20*E20/H20</f>
        <v>1018.8534162169867</v>
      </c>
      <c r="J20" s="17">
        <f t="shared" si="4"/>
        <v>4075.413664867947</v>
      </c>
      <c r="K20" s="7">
        <v>632</v>
      </c>
      <c r="L20" s="28">
        <f t="shared" si="5"/>
        <v>0.5277135724852071</v>
      </c>
      <c r="M20" s="7">
        <v>0.578</v>
      </c>
      <c r="N20" s="28">
        <f t="shared" si="6"/>
        <v>1.105713572485207</v>
      </c>
      <c r="O20" s="31">
        <f t="shared" si="7"/>
        <v>229.58066062006205</v>
      </c>
      <c r="P20" s="7">
        <v>200</v>
      </c>
      <c r="Q20" s="7">
        <f t="shared" si="8"/>
        <v>9982.683969692436</v>
      </c>
      <c r="R20" s="7">
        <v>10</v>
      </c>
      <c r="S20" s="7">
        <f t="shared" si="9"/>
        <v>0.09633333333333333</v>
      </c>
      <c r="T20" s="7">
        <f t="shared" si="0"/>
        <v>0.006666266666666666</v>
      </c>
      <c r="U20" s="7">
        <f t="shared" si="10"/>
        <v>0.0065739264345391875</v>
      </c>
      <c r="V20" s="12">
        <f t="shared" si="11"/>
        <v>1.7437881459656516E-05</v>
      </c>
      <c r="W20" s="15">
        <f t="shared" si="12"/>
        <v>8.718940729828258E-06</v>
      </c>
      <c r="X20" s="15">
        <f t="shared" si="13"/>
        <v>0.0062776373254763455</v>
      </c>
      <c r="Y20" s="43">
        <f t="shared" si="14"/>
        <v>0.007383350897961553</v>
      </c>
      <c r="Z20" s="15">
        <f t="shared" si="15"/>
        <v>36.91675448980776</v>
      </c>
      <c r="AA20" s="15">
        <f t="shared" si="16"/>
        <v>16.080080260289034</v>
      </c>
      <c r="AB20" s="8"/>
    </row>
    <row r="21" spans="1:28" ht="12.75">
      <c r="A21" s="6" t="s">
        <v>11</v>
      </c>
      <c r="B21" s="7" t="s">
        <v>22</v>
      </c>
      <c r="C21" s="7">
        <v>1505</v>
      </c>
      <c r="D21" s="7">
        <v>5.96</v>
      </c>
      <c r="E21" s="7">
        <v>4160</v>
      </c>
      <c r="F21" s="18">
        <f t="shared" si="1"/>
        <v>208.8731142140353</v>
      </c>
      <c r="G21" s="47">
        <f t="shared" si="2"/>
        <v>835.4924568561412</v>
      </c>
      <c r="H21" s="7">
        <v>426</v>
      </c>
      <c r="I21" s="7">
        <f>F21*E21/H21</f>
        <v>2039.6998946722695</v>
      </c>
      <c r="J21" s="17">
        <f t="shared" si="4"/>
        <v>8158.799578689078</v>
      </c>
      <c r="K21" s="7">
        <v>50.3</v>
      </c>
      <c r="L21" s="28">
        <f t="shared" si="5"/>
        <v>0.2637366748335798</v>
      </c>
      <c r="M21" s="7">
        <v>0.714</v>
      </c>
      <c r="N21" s="28">
        <f t="shared" si="6"/>
        <v>0.9777366748335798</v>
      </c>
      <c r="O21" s="31">
        <f t="shared" si="7"/>
        <v>575.3021260243908</v>
      </c>
      <c r="P21" s="7">
        <v>500</v>
      </c>
      <c r="Q21" s="7">
        <f t="shared" si="8"/>
        <v>19984.89588142261</v>
      </c>
      <c r="R21" s="7">
        <v>20</v>
      </c>
      <c r="S21" s="7">
        <f t="shared" si="9"/>
        <v>0.12058205980066446</v>
      </c>
      <c r="T21" s="7">
        <f t="shared" si="0"/>
        <v>0.007186690764119602</v>
      </c>
      <c r="U21" s="7">
        <f t="shared" si="10"/>
        <v>0.0071198704436083214</v>
      </c>
      <c r="V21" s="12">
        <f t="shared" si="11"/>
        <v>1.8886042921235835E-05</v>
      </c>
      <c r="W21" s="15">
        <f t="shared" si="12"/>
        <v>9.443021460617918E-06</v>
      </c>
      <c r="X21" s="15">
        <f t="shared" si="13"/>
        <v>0.006798975451644901</v>
      </c>
      <c r="Y21" s="43">
        <f t="shared" si="14"/>
        <v>0.00777671212647848</v>
      </c>
      <c r="Z21" s="15">
        <f t="shared" si="15"/>
        <v>77.7671212647848</v>
      </c>
      <c r="AA21" s="15">
        <f t="shared" si="16"/>
        <v>13.517614092997068</v>
      </c>
      <c r="AB21" s="8"/>
    </row>
    <row r="22" spans="1:28" ht="12.75">
      <c r="A22" s="6" t="s">
        <v>11</v>
      </c>
      <c r="B22" s="7" t="s">
        <v>23</v>
      </c>
      <c r="C22" s="7">
        <v>1505</v>
      </c>
      <c r="D22" s="7">
        <v>5.72</v>
      </c>
      <c r="E22" s="7">
        <v>4160</v>
      </c>
      <c r="F22" s="18">
        <f t="shared" si="1"/>
        <v>208.8731142140353</v>
      </c>
      <c r="G22" s="47">
        <f t="shared" si="2"/>
        <v>835.4924568561412</v>
      </c>
      <c r="H22" s="7">
        <v>426</v>
      </c>
      <c r="I22" s="7">
        <f>F22*E22/H22</f>
        <v>2039.6998946722695</v>
      </c>
      <c r="J22" s="17">
        <f t="shared" si="4"/>
        <v>8158.799578689078</v>
      </c>
      <c r="K22" s="7">
        <v>50.6</v>
      </c>
      <c r="L22" s="28">
        <f t="shared" si="5"/>
        <v>0.2653096569896449</v>
      </c>
      <c r="M22" s="7">
        <v>0.706</v>
      </c>
      <c r="N22" s="28">
        <f t="shared" si="6"/>
        <v>0.9713096569896449</v>
      </c>
      <c r="O22" s="31">
        <f t="shared" si="7"/>
        <v>575.3021260243908</v>
      </c>
      <c r="P22" s="7">
        <v>500</v>
      </c>
      <c r="Q22" s="7">
        <f t="shared" si="8"/>
        <v>19984.89588142261</v>
      </c>
      <c r="R22" s="7">
        <v>20</v>
      </c>
      <c r="S22" s="7">
        <f t="shared" si="9"/>
        <v>0.12058205980066446</v>
      </c>
      <c r="T22" s="7">
        <f t="shared" si="0"/>
        <v>0.006897293820598007</v>
      </c>
      <c r="U22" s="7">
        <f t="shared" si="10"/>
        <v>0.0068285591157943495</v>
      </c>
      <c r="V22" s="12">
        <f t="shared" si="11"/>
        <v>1.8113315624564883E-05</v>
      </c>
      <c r="W22" s="15">
        <f t="shared" si="12"/>
        <v>9.056657812282441E-06</v>
      </c>
      <c r="X22" s="15">
        <f t="shared" si="13"/>
        <v>0.006520793624843358</v>
      </c>
      <c r="Y22" s="43">
        <f t="shared" si="14"/>
        <v>0.007492103281833003</v>
      </c>
      <c r="Z22" s="15">
        <f t="shared" si="15"/>
        <v>74.92103281833003</v>
      </c>
      <c r="AA22" s="15">
        <f t="shared" si="16"/>
        <v>13.022902129020403</v>
      </c>
      <c r="AB22" s="42"/>
    </row>
    <row r="23" spans="1:28" ht="13.5" thickBot="1">
      <c r="A23" s="9"/>
      <c r="B23" s="10"/>
      <c r="C23" s="10"/>
      <c r="D23" s="10"/>
      <c r="E23" s="10"/>
      <c r="F23" s="24"/>
      <c r="G23" s="45"/>
      <c r="H23" s="10"/>
      <c r="I23" s="10"/>
      <c r="J23" s="21"/>
      <c r="K23" s="10"/>
      <c r="L23" s="29"/>
      <c r="M23" s="10"/>
      <c r="N23" s="29"/>
      <c r="O23" s="32"/>
      <c r="P23" s="10"/>
      <c r="Q23" s="10"/>
      <c r="R23" s="10"/>
      <c r="S23" s="10"/>
      <c r="T23" s="10"/>
      <c r="U23" s="10"/>
      <c r="V23" s="10"/>
      <c r="W23" s="16"/>
      <c r="X23" s="16"/>
      <c r="Y23" s="16"/>
      <c r="Z23" s="16"/>
      <c r="AA23" s="16"/>
      <c r="AB23" s="41"/>
    </row>
    <row r="24" ht="13.5" thickTop="1"/>
    <row r="25" ht="12.75">
      <c r="A25" t="s">
        <v>68</v>
      </c>
    </row>
    <row r="26" spans="1:28" ht="12.75">
      <c r="A26" s="33"/>
      <c r="B26" s="34"/>
      <c r="C26" s="34"/>
      <c r="D26" s="34"/>
      <c r="E26" s="34"/>
      <c r="F26" s="34"/>
      <c r="G26" s="48"/>
      <c r="H26" s="34"/>
      <c r="I26" s="34"/>
      <c r="J26" s="34"/>
      <c r="K26" s="34"/>
      <c r="L26" s="34"/>
      <c r="M26" s="34"/>
      <c r="N26" s="34"/>
      <c r="O26" s="34" t="s">
        <v>50</v>
      </c>
      <c r="P26" s="34" t="s">
        <v>51</v>
      </c>
      <c r="Q26" s="34" t="s">
        <v>52</v>
      </c>
      <c r="R26" s="34" t="s">
        <v>53</v>
      </c>
      <c r="S26" s="34" t="s">
        <v>54</v>
      </c>
      <c r="T26" s="34" t="s">
        <v>55</v>
      </c>
      <c r="U26" s="34" t="s">
        <v>56</v>
      </c>
      <c r="V26" s="34" t="s">
        <v>57</v>
      </c>
      <c r="W26" s="34" t="s">
        <v>58</v>
      </c>
      <c r="X26" s="34" t="s">
        <v>59</v>
      </c>
      <c r="Y26" s="34"/>
      <c r="Z26" s="34" t="s">
        <v>60</v>
      </c>
      <c r="AA26" s="34" t="s">
        <v>61</v>
      </c>
      <c r="AB26" s="35" t="s">
        <v>62</v>
      </c>
    </row>
    <row r="27" spans="1:28" ht="12.75">
      <c r="A27" s="36"/>
      <c r="B27" s="37"/>
      <c r="C27" s="37"/>
      <c r="D27" s="37"/>
      <c r="E27" s="37"/>
      <c r="F27" s="37"/>
      <c r="G27" s="49"/>
      <c r="H27" s="37">
        <f>(K11/2)*(H11/E11)^2/1000</f>
        <v>0.0015743733242418638</v>
      </c>
      <c r="I27" s="37"/>
      <c r="J27" s="37"/>
      <c r="K27" s="37"/>
      <c r="L27" s="37"/>
      <c r="M27" s="37"/>
      <c r="N27" s="37"/>
      <c r="O27" s="37">
        <f>H11^2/C11/1000</f>
        <v>0.289</v>
      </c>
      <c r="P27" s="37">
        <f>D11/100</f>
        <v>0.060700000000000004</v>
      </c>
      <c r="Q27" s="37">
        <f>O27*D11/100</f>
        <v>0.0175423</v>
      </c>
      <c r="R27" s="37">
        <f>(M11+K11/2*(H11/E11)^2)/1000</f>
        <v>0.003214373324241864</v>
      </c>
      <c r="S27" s="37">
        <f>2*PI()*60*T27/R27</f>
        <v>5.365055698545065</v>
      </c>
      <c r="T27" s="37">
        <f>SQRT(Q27^2-R27^2)/2/PI()/60</f>
        <v>4.5744557570105505E-05</v>
      </c>
      <c r="U27" s="37">
        <f>T27*2*PI()*60/O27</f>
        <v>0.05967229038226665</v>
      </c>
      <c r="V27" s="37">
        <f>6*60*T27</f>
        <v>0.01646804072523798</v>
      </c>
      <c r="W27" s="37">
        <f>2*R27</f>
        <v>0.006428746648483728</v>
      </c>
      <c r="X27" s="37">
        <f>3/PI()*H11*SQRT(2)</f>
        <v>344.3709909300931</v>
      </c>
      <c r="Y27" s="37"/>
      <c r="Z27" s="37">
        <f>R11*1000/2</f>
        <v>2500</v>
      </c>
      <c r="AA27" s="37">
        <f>X27-Z27*(V27+R27)</f>
        <v>295.1649558063935</v>
      </c>
      <c r="AB27" s="38">
        <f>(X27-AA27)/X27</f>
        <v>0.14288670189902372</v>
      </c>
    </row>
    <row r="28" spans="1:28" ht="12.75">
      <c r="A28" s="36"/>
      <c r="B28" s="37"/>
      <c r="C28" s="37"/>
      <c r="D28" s="37"/>
      <c r="E28" s="37"/>
      <c r="F28" s="37"/>
      <c r="G28" s="4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9"/>
    </row>
    <row r="30" ht="12.75">
      <c r="A30" s="54" t="s">
        <v>72</v>
      </c>
    </row>
    <row r="31" ht="13.5" thickBot="1"/>
    <row r="32" spans="1:7" ht="39" thickTop="1">
      <c r="A32" s="4" t="s">
        <v>1</v>
      </c>
      <c r="B32" s="4" t="s">
        <v>2</v>
      </c>
      <c r="C32" s="4" t="s">
        <v>3</v>
      </c>
      <c r="D32" s="50" t="s">
        <v>73</v>
      </c>
      <c r="E32" s="50" t="s">
        <v>70</v>
      </c>
      <c r="F32" s="23" t="s">
        <v>75</v>
      </c>
      <c r="G32" s="51" t="s">
        <v>76</v>
      </c>
    </row>
    <row r="33" spans="1:7" ht="12.75">
      <c r="A33" s="7"/>
      <c r="B33" s="7"/>
      <c r="C33" s="7"/>
      <c r="D33" s="7"/>
      <c r="E33" s="7"/>
      <c r="F33" s="18" t="s">
        <v>77</v>
      </c>
      <c r="G33" s="52" t="s">
        <v>78</v>
      </c>
    </row>
    <row r="34" spans="1:7" ht="12.75">
      <c r="A34" s="55" t="s">
        <v>6</v>
      </c>
      <c r="B34" s="7" t="s">
        <v>12</v>
      </c>
      <c r="C34" s="7">
        <v>225</v>
      </c>
      <c r="D34" s="7">
        <f>2500*E34</f>
        <v>49.205000000000005</v>
      </c>
      <c r="E34" s="7">
        <v>0.019682</v>
      </c>
      <c r="F34" s="57">
        <f>(D34+D35)/2</f>
        <v>49.79625</v>
      </c>
      <c r="G34" s="58">
        <f>(E34+E35)/2</f>
        <v>0.0199185</v>
      </c>
    </row>
    <row r="35" spans="1:7" ht="12.75">
      <c r="A35" s="56"/>
      <c r="B35" s="7" t="s">
        <v>13</v>
      </c>
      <c r="C35" s="7">
        <v>225</v>
      </c>
      <c r="D35" s="7">
        <f aca="true" t="shared" si="17" ref="D35:D41">2500*E35</f>
        <v>50.387499999999996</v>
      </c>
      <c r="E35" s="7">
        <v>0.020155</v>
      </c>
      <c r="F35" s="57"/>
      <c r="G35" s="58"/>
    </row>
    <row r="36" spans="1:7" ht="12.75">
      <c r="A36" s="55" t="s">
        <v>7</v>
      </c>
      <c r="B36" s="7" t="s">
        <v>14</v>
      </c>
      <c r="C36" s="7">
        <v>225</v>
      </c>
      <c r="D36" s="7">
        <f t="shared" si="17"/>
        <v>48.135</v>
      </c>
      <c r="E36" s="7">
        <v>0.019254</v>
      </c>
      <c r="F36" s="57">
        <f>(D36+D37)/2</f>
        <v>48.955</v>
      </c>
      <c r="G36" s="58">
        <f>(E36+E37)/2</f>
        <v>0.019582000000000002</v>
      </c>
    </row>
    <row r="37" spans="1:7" ht="12.75">
      <c r="A37" s="56"/>
      <c r="B37" s="7" t="s">
        <v>15</v>
      </c>
      <c r="C37" s="7">
        <v>225</v>
      </c>
      <c r="D37" s="7">
        <f t="shared" si="17"/>
        <v>49.775</v>
      </c>
      <c r="E37" s="7">
        <v>0.01991</v>
      </c>
      <c r="F37" s="57"/>
      <c r="G37" s="58"/>
    </row>
    <row r="38" spans="1:7" ht="12.75">
      <c r="A38" s="55" t="s">
        <v>8</v>
      </c>
      <c r="B38" s="7" t="s">
        <v>16</v>
      </c>
      <c r="C38" s="7">
        <v>225</v>
      </c>
      <c r="D38" s="7">
        <f t="shared" si="17"/>
        <v>48.682500000000005</v>
      </c>
      <c r="E38" s="7">
        <v>0.019473</v>
      </c>
      <c r="F38" s="57">
        <f>(D38+D39)/2</f>
        <v>48.53875000000001</v>
      </c>
      <c r="G38" s="58">
        <f>(E38+E39)/2</f>
        <v>0.019415500000000002</v>
      </c>
    </row>
    <row r="39" spans="1:7" ht="12.75">
      <c r="A39" s="56"/>
      <c r="B39" s="7" t="s">
        <v>17</v>
      </c>
      <c r="C39" s="7">
        <v>225</v>
      </c>
      <c r="D39" s="7">
        <f t="shared" si="17"/>
        <v>48.395</v>
      </c>
      <c r="E39" s="7">
        <v>0.019358</v>
      </c>
      <c r="F39" s="57"/>
      <c r="G39" s="58"/>
    </row>
    <row r="40" spans="1:7" ht="12.75">
      <c r="A40" s="55" t="s">
        <v>9</v>
      </c>
      <c r="B40" s="7" t="s">
        <v>18</v>
      </c>
      <c r="C40" s="7">
        <v>225</v>
      </c>
      <c r="D40" s="7">
        <f t="shared" si="17"/>
        <v>50.482499999999995</v>
      </c>
      <c r="E40" s="7">
        <v>0.020193</v>
      </c>
      <c r="F40" s="57">
        <f>(D40+D41)/2</f>
        <v>50.22</v>
      </c>
      <c r="G40" s="58">
        <f>(E40+E41)/2</f>
        <v>0.020088</v>
      </c>
    </row>
    <row r="41" spans="1:7" ht="12.75">
      <c r="A41" s="56"/>
      <c r="B41" s="7" t="s">
        <v>19</v>
      </c>
      <c r="C41" s="7">
        <v>225</v>
      </c>
      <c r="D41" s="7">
        <f t="shared" si="17"/>
        <v>49.9575</v>
      </c>
      <c r="E41" s="7">
        <v>0.019983</v>
      </c>
      <c r="F41" s="57"/>
      <c r="G41" s="58"/>
    </row>
    <row r="42" spans="1:7" ht="12.75">
      <c r="A42" s="55" t="s">
        <v>10</v>
      </c>
      <c r="B42" s="7" t="s">
        <v>20</v>
      </c>
      <c r="C42" s="7">
        <v>300</v>
      </c>
      <c r="D42" s="7">
        <f>5000*E42</f>
        <v>36.635</v>
      </c>
      <c r="E42" s="7">
        <v>0.007327</v>
      </c>
      <c r="F42" s="57">
        <f>(D42+D43)/2</f>
        <v>36.775</v>
      </c>
      <c r="G42" s="58">
        <f>(E42+E43)/2</f>
        <v>0.007355</v>
      </c>
    </row>
    <row r="43" spans="1:7" ht="12.75">
      <c r="A43" s="56"/>
      <c r="B43" s="7" t="s">
        <v>21</v>
      </c>
      <c r="C43" s="7">
        <v>300</v>
      </c>
      <c r="D43" s="7">
        <f>5000*E43</f>
        <v>36.915</v>
      </c>
      <c r="E43" s="7">
        <v>0.007383</v>
      </c>
      <c r="F43" s="57"/>
      <c r="G43" s="58"/>
    </row>
    <row r="44" spans="1:7" ht="12.75">
      <c r="A44" s="55" t="s">
        <v>11</v>
      </c>
      <c r="B44" s="7" t="s">
        <v>22</v>
      </c>
      <c r="C44" s="7">
        <v>1505</v>
      </c>
      <c r="D44" s="7">
        <f>10000*E44</f>
        <v>77.77</v>
      </c>
      <c r="E44" s="7">
        <v>0.007777</v>
      </c>
      <c r="F44" s="57">
        <f>(D44+D45)/2</f>
        <v>76.345</v>
      </c>
      <c r="G44" s="58">
        <f>(E44+E45)/2</f>
        <v>0.007634500000000001</v>
      </c>
    </row>
    <row r="45" spans="1:7" ht="12.75">
      <c r="A45" s="56"/>
      <c r="B45" s="7" t="s">
        <v>23</v>
      </c>
      <c r="C45" s="7">
        <v>1505</v>
      </c>
      <c r="D45" s="7">
        <f>10000*E45</f>
        <v>74.92</v>
      </c>
      <c r="E45" s="7">
        <v>0.007492</v>
      </c>
      <c r="F45" s="57"/>
      <c r="G45" s="58"/>
    </row>
    <row r="46" spans="1:7" ht="13.5" thickBot="1">
      <c r="A46" s="10"/>
      <c r="B46" s="10"/>
      <c r="C46" s="10"/>
      <c r="D46" s="10"/>
      <c r="E46" s="10"/>
      <c r="F46" s="24"/>
      <c r="G46" s="53"/>
    </row>
    <row r="47" ht="13.5" thickTop="1">
      <c r="A47" s="40" t="s">
        <v>71</v>
      </c>
    </row>
  </sheetData>
  <mergeCells count="18">
    <mergeCell ref="F38:F39"/>
    <mergeCell ref="F40:F41"/>
    <mergeCell ref="F42:F43"/>
    <mergeCell ref="F44:F45"/>
    <mergeCell ref="G34:G35"/>
    <mergeCell ref="G36:G37"/>
    <mergeCell ref="G38:G39"/>
    <mergeCell ref="G40:G41"/>
    <mergeCell ref="G42:G43"/>
    <mergeCell ref="G44:G45"/>
    <mergeCell ref="F34:F35"/>
    <mergeCell ref="F36:F37"/>
    <mergeCell ref="A42:A43"/>
    <mergeCell ref="A44:A45"/>
    <mergeCell ref="A34:A35"/>
    <mergeCell ref="A36:A37"/>
    <mergeCell ref="A38:A39"/>
    <mergeCell ref="A40:A41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reiersen</cp:lastModifiedBy>
  <cp:lastPrinted>2005-08-17T14:10:11Z</cp:lastPrinted>
  <dcterms:created xsi:type="dcterms:W3CDTF">2005-06-14T12:52:54Z</dcterms:created>
  <dcterms:modified xsi:type="dcterms:W3CDTF">2005-11-10T18:24:21Z</dcterms:modified>
  <cp:category/>
  <cp:version/>
  <cp:contentType/>
  <cp:contentStatus/>
</cp:coreProperties>
</file>