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8670" windowHeight="70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'Sheet1'!$A$2:$AB$61</definedName>
  </definedNames>
  <calcPr fullCalcOnLoad="1"/>
</workbook>
</file>

<file path=xl/sharedStrings.xml><?xml version="1.0" encoding="utf-8"?>
<sst xmlns="http://schemas.openxmlformats.org/spreadsheetml/2006/main" count="198" uniqueCount="146">
  <si>
    <t>Unit</t>
  </si>
  <si>
    <t>Sl# of Trmr</t>
  </si>
  <si>
    <t>KVA</t>
  </si>
  <si>
    <t>%Z</t>
  </si>
  <si>
    <t>Vsec no load L-L</t>
  </si>
  <si>
    <t>T1</t>
  </si>
  <si>
    <t>T2</t>
  </si>
  <si>
    <t>T3</t>
  </si>
  <si>
    <t>T4</t>
  </si>
  <si>
    <t>DF</t>
  </si>
  <si>
    <t>IF</t>
  </si>
  <si>
    <t>86-1258</t>
  </si>
  <si>
    <t>86-1264</t>
  </si>
  <si>
    <t>86-1260</t>
  </si>
  <si>
    <t>86-1262</t>
  </si>
  <si>
    <t>86-1259</t>
  </si>
  <si>
    <t>86-1263</t>
  </si>
  <si>
    <t>86-1261</t>
  </si>
  <si>
    <t>86-1265</t>
  </si>
  <si>
    <t>86-1256</t>
  </si>
  <si>
    <t>86-1257</t>
  </si>
  <si>
    <t>86-1175</t>
  </si>
  <si>
    <t>86-1176</t>
  </si>
  <si>
    <t>Vpri - 3ph.L to L</t>
  </si>
  <si>
    <t>Pri Res. (mOhm)</t>
  </si>
  <si>
    <t>Sec. Res. (mOhm)</t>
  </si>
  <si>
    <t>Ideal DC no load Volts</t>
  </si>
  <si>
    <t>Ip in Cont</t>
  </si>
  <si>
    <t>Ip in pulsed</t>
  </si>
  <si>
    <t>Rated DC Volts</t>
  </si>
  <si>
    <t>Rated pulsed DC Current-kA</t>
  </si>
  <si>
    <t>L</t>
  </si>
  <si>
    <t>Z base (Ohms)</t>
  </si>
  <si>
    <t>Z sec side</t>
  </si>
  <si>
    <t>L/2</t>
  </si>
  <si>
    <t>Volt Drop</t>
  </si>
  <si>
    <t>Is  RMS Cont</t>
  </si>
  <si>
    <t xml:space="preserve">Is RMS pulsed </t>
  </si>
  <si>
    <t>X Sec side</t>
  </si>
  <si>
    <t>Percent drop</t>
  </si>
  <si>
    <t>Re*</t>
  </si>
  <si>
    <t>Summary of the equivalent resistance to compute voltage drop</t>
  </si>
  <si>
    <t>Volt drop on full load</t>
  </si>
  <si>
    <t>Kimbark 6fL</t>
  </si>
  <si>
    <t>Average Drop</t>
  </si>
  <si>
    <t>Volts</t>
  </si>
  <si>
    <t>Ohms</t>
  </si>
  <si>
    <t>Note: The drop in the Interphase transformer is not included in the above.</t>
  </si>
  <si>
    <t>Vdo = 3*(6^0.50)*Eln/PI</t>
  </si>
  <si>
    <t>1.35*E Line to Line</t>
  </si>
  <si>
    <t>2.34* E Line to Neutral</t>
  </si>
  <si>
    <t>OR</t>
  </si>
  <si>
    <t>Z/Zbase</t>
  </si>
  <si>
    <t>Z= %Z*((V/I)/100)</t>
  </si>
  <si>
    <t>Is = Idc/(m^0.5)</t>
  </si>
  <si>
    <t>Kimbark = 6fLc</t>
  </si>
  <si>
    <t>Drop = I*(Kimbark+Res.)</t>
  </si>
  <si>
    <t>* Equivalent Resistance Re per tmfr.</t>
  </si>
  <si>
    <t>5kA</t>
  </si>
  <si>
    <t>50mV=  2.5 kA</t>
  </si>
  <si>
    <t>50mV=    5 kA</t>
  </si>
  <si>
    <t>50mV=  1.5 kA</t>
  </si>
  <si>
    <t>Pri Res. (mOhm) referred to secondary</t>
  </si>
  <si>
    <t>Total Eq. Resis - ohms</t>
  </si>
  <si>
    <t>Rec per CKT; Rec=Re/2</t>
  </si>
  <si>
    <t>Load Coil</t>
  </si>
  <si>
    <t>Supply</t>
  </si>
  <si>
    <t xml:space="preserve">DF  </t>
  </si>
  <si>
    <t xml:space="preserve">IF </t>
  </si>
  <si>
    <t>Amp max</t>
  </si>
  <si>
    <t>Cable#</t>
  </si>
  <si>
    <t>Shunt in Supply</t>
  </si>
  <si>
    <t>Total Resis. mohms</t>
  </si>
  <si>
    <t>Volt drop</t>
  </si>
  <si>
    <t>Ideal Volts</t>
  </si>
  <si>
    <t>1.5kA</t>
  </si>
  <si>
    <t>2.5kA</t>
  </si>
  <si>
    <t>Forcing Volt for coil</t>
  </si>
  <si>
    <t>Adjusted Resis*. mohms</t>
  </si>
  <si>
    <t>* Adjusted (12%) to compensate for temp. - arbitrary</t>
  </si>
  <si>
    <t>Cabling Loop resis.</t>
  </si>
  <si>
    <t>Load assignment</t>
  </si>
  <si>
    <t>PF4</t>
  </si>
  <si>
    <t>PF6</t>
  </si>
  <si>
    <t>M1</t>
  </si>
  <si>
    <t>M2+M3</t>
  </si>
  <si>
    <t>PF1a</t>
  </si>
  <si>
    <t>PEI</t>
  </si>
  <si>
    <t>kVA</t>
  </si>
  <si>
    <t>Impedance</t>
  </si>
  <si>
    <t>WYE</t>
  </si>
  <si>
    <t>DELTA</t>
  </si>
  <si>
    <t xml:space="preserve">PEI TRANSFORMER DATA FROM EARNIE SCHOOP </t>
  </si>
  <si>
    <t>JANUARY 04 2006</t>
  </si>
  <si>
    <t>2500MW (pulsed) power supply at 500V dc- PEI part# 11345; PEI Job# 90-027 S/N 01</t>
  </si>
  <si>
    <t>Three winding transformer with Delta primary comprising of two parallel windings and WYE &amp; DELTA secondaries</t>
  </si>
  <si>
    <t>kW</t>
  </si>
  <si>
    <t>DC Voltage (open circuit)</t>
  </si>
  <si>
    <t>V</t>
  </si>
  <si>
    <t>(Calculated from data furnished)</t>
  </si>
  <si>
    <t>(Based on nameplate?)</t>
  </si>
  <si>
    <t>kVA -RMS</t>
  </si>
  <si>
    <t>kVA -Pulsed</t>
  </si>
  <si>
    <t>Primary Voltage</t>
  </si>
  <si>
    <t>(+/- 5%)</t>
  </si>
  <si>
    <t>Voltage Ratio</t>
  </si>
  <si>
    <t>%</t>
  </si>
  <si>
    <t>Note: The primary voltage required to inject full RMS current in both secondaries is 49.76V with the secondaries shorted.</t>
  </si>
  <si>
    <t>Primary Current</t>
  </si>
  <si>
    <t>A</t>
  </si>
  <si>
    <t>in each of the two parallel primary windiings</t>
  </si>
  <si>
    <t>Primary Line current</t>
  </si>
  <si>
    <t>mOhms</t>
  </si>
  <si>
    <t>per phase</t>
  </si>
  <si>
    <t>Insulation tests: primary to ground at 10kV; Primary to Secondary at 10kV; Secondary (Wye) to ground at 2.5kV</t>
  </si>
  <si>
    <t>% Impedance =( IZ/V)*100=(V^2*Z/VA)*100</t>
  </si>
  <si>
    <t>Delta</t>
  </si>
  <si>
    <t>Wye</t>
  </si>
  <si>
    <t>T1 ╢T4</t>
  </si>
  <si>
    <t xml:space="preserve">T2 </t>
  </si>
  <si>
    <t>50mV=     1.5 kA</t>
  </si>
  <si>
    <t>41856CA</t>
  </si>
  <si>
    <t>41875CA</t>
  </si>
  <si>
    <t>41805CA</t>
  </si>
  <si>
    <t>41816CA</t>
  </si>
  <si>
    <t>41826CA</t>
  </si>
  <si>
    <t>PEI**</t>
  </si>
  <si>
    <t>Primary Resis.- Parallel 1</t>
  </si>
  <si>
    <t>Primary Resis.- Parallel 2</t>
  </si>
  <si>
    <t>Pri. Resis.(both parallels)</t>
  </si>
  <si>
    <t xml:space="preserve">                        Secondary (Delta) to Ground at 2.5kV; Also passed induced voltage tests</t>
  </si>
  <si>
    <t>Eff.Loop resis.to coil term.</t>
  </si>
  <si>
    <t>Total Res*.(ref. Sec)(mOhm)</t>
  </si>
  <si>
    <t>kVA (Idc=Is*(m^0.5)) - Amps</t>
  </si>
  <si>
    <t>DC Volt (Pulse Loaded)</t>
  </si>
  <si>
    <t>Secondary Volt - Delta</t>
  </si>
  <si>
    <t>Secondary Volt - Wye</t>
  </si>
  <si>
    <t>Sec. Line Current-Delta</t>
  </si>
  <si>
    <t>Sec. Line Current-Wye</t>
  </si>
  <si>
    <t>Secondary Delta Resis.</t>
  </si>
  <si>
    <t>Secondary Wye Resis.</t>
  </si>
  <si>
    <t>Power delivered (Pulsed)</t>
  </si>
  <si>
    <t>Av. Re per tmfr or wdg(PEI)</t>
  </si>
  <si>
    <t>** Assumed cable loop resistance of 4.87mOhms;   Design should be such that the T3 supply can be connected to feed &amp; test TF</t>
  </si>
  <si>
    <t>GENERAL</t>
  </si>
  <si>
    <t>C-Site Rectifiers - Voltage drop calculations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</si>
</sst>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0"/>
    <numFmt numFmtId="166" formatCode="0.0"/>
    <numFmt numFmtId="167" formatCode="0.0000"/>
    <numFmt numFmtId="168" formatCode="0.0%"/>
    <numFmt numFmtId="169" formatCode="0.00000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u val="single"/>
      <sz val="10"/>
      <name val="Arial"/>
      <family val="2"/>
    </font>
    <font>
      <sz val="12"/>
      <name val="Times"/>
      <family val="1"/>
    </font>
    <font>
      <sz val="10"/>
      <name val="Times"/>
      <family val="1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n"/>
      <right style="thick"/>
      <top style="thin"/>
      <bottom style="thick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 style="thin"/>
      <bottom style="thick"/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 style="thin"/>
      <top>
        <color indexed="63"/>
      </top>
      <bottom style="thick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ck"/>
    </border>
    <border>
      <left style="thick"/>
      <right style="thick"/>
      <top style="thin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5" xfId="0" applyFill="1" applyBorder="1" applyAlignment="1">
      <alignment/>
    </xf>
    <xf numFmtId="0" fontId="0" fillId="0" borderId="9" xfId="0" applyBorder="1" applyAlignment="1">
      <alignment wrapText="1"/>
    </xf>
    <xf numFmtId="0" fontId="0" fillId="0" borderId="10" xfId="0" applyFill="1" applyBorder="1" applyAlignment="1">
      <alignment/>
    </xf>
    <xf numFmtId="1" fontId="0" fillId="0" borderId="5" xfId="0" applyNumberFormat="1" applyBorder="1" applyAlignment="1">
      <alignment/>
    </xf>
    <xf numFmtId="166" fontId="0" fillId="0" borderId="5" xfId="0" applyNumberFormat="1" applyBorder="1" applyAlignment="1">
      <alignment/>
    </xf>
    <xf numFmtId="1" fontId="0" fillId="0" borderId="0" xfId="0" applyNumberFormat="1" applyAlignment="1">
      <alignment/>
    </xf>
    <xf numFmtId="1" fontId="0" fillId="0" borderId="2" xfId="0" applyNumberFormat="1" applyBorder="1" applyAlignment="1">
      <alignment wrapText="1"/>
    </xf>
    <xf numFmtId="166" fontId="0" fillId="0" borderId="0" xfId="0" applyNumberFormat="1" applyAlignment="1">
      <alignment/>
    </xf>
    <xf numFmtId="166" fontId="0" fillId="0" borderId="2" xfId="0" applyNumberFormat="1" applyBorder="1" applyAlignment="1">
      <alignment wrapText="1"/>
    </xf>
    <xf numFmtId="2" fontId="0" fillId="0" borderId="0" xfId="0" applyNumberFormat="1" applyAlignment="1">
      <alignment/>
    </xf>
    <xf numFmtId="167" fontId="0" fillId="0" borderId="0" xfId="0" applyNumberFormat="1" applyAlignment="1">
      <alignment/>
    </xf>
    <xf numFmtId="167" fontId="0" fillId="0" borderId="2" xfId="0" applyNumberFormat="1" applyBorder="1" applyAlignment="1">
      <alignment wrapText="1"/>
    </xf>
    <xf numFmtId="167" fontId="0" fillId="0" borderId="5" xfId="0" applyNumberFormat="1" applyBorder="1" applyAlignment="1">
      <alignment/>
    </xf>
    <xf numFmtId="2" fontId="0" fillId="0" borderId="2" xfId="0" applyNumberFormat="1" applyBorder="1" applyAlignment="1">
      <alignment wrapText="1"/>
    </xf>
    <xf numFmtId="2" fontId="0" fillId="0" borderId="5" xfId="0" applyNumberFormat="1" applyBorder="1" applyAlignment="1">
      <alignment/>
    </xf>
    <xf numFmtId="2" fontId="0" fillId="0" borderId="8" xfId="0" applyNumberFormat="1" applyBorder="1" applyAlignment="1">
      <alignment/>
    </xf>
    <xf numFmtId="165" fontId="2" fillId="0" borderId="10" xfId="0" applyNumberFormat="1" applyFont="1" applyFill="1" applyBorder="1" applyAlignment="1">
      <alignment/>
    </xf>
    <xf numFmtId="0" fontId="0" fillId="0" borderId="2" xfId="0" applyFill="1" applyBorder="1" applyAlignment="1">
      <alignment wrapText="1"/>
    </xf>
    <xf numFmtId="0" fontId="5" fillId="0" borderId="0" xfId="0" applyFont="1" applyAlignment="1">
      <alignment/>
    </xf>
    <xf numFmtId="165" fontId="0" fillId="0" borderId="5" xfId="0" applyNumberFormat="1" applyBorder="1" applyAlignment="1">
      <alignment/>
    </xf>
    <xf numFmtId="2" fontId="0" fillId="0" borderId="3" xfId="0" applyNumberFormat="1" applyBorder="1" applyAlignment="1">
      <alignment wrapText="1"/>
    </xf>
    <xf numFmtId="2" fontId="0" fillId="0" borderId="6" xfId="0" applyNumberFormat="1" applyBorder="1" applyAlignment="1">
      <alignment/>
    </xf>
    <xf numFmtId="2" fontId="0" fillId="0" borderId="9" xfId="0" applyNumberFormat="1" applyBorder="1" applyAlignment="1">
      <alignment wrapText="1"/>
    </xf>
    <xf numFmtId="2" fontId="0" fillId="0" borderId="10" xfId="0" applyNumberFormat="1" applyFill="1" applyBorder="1" applyAlignment="1">
      <alignment/>
    </xf>
    <xf numFmtId="0" fontId="0" fillId="0" borderId="11" xfId="0" applyBorder="1" applyAlignment="1">
      <alignment/>
    </xf>
    <xf numFmtId="2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2" fontId="0" fillId="0" borderId="12" xfId="0" applyNumberFormat="1" applyBorder="1" applyAlignment="1">
      <alignment/>
    </xf>
    <xf numFmtId="0" fontId="0" fillId="0" borderId="4" xfId="0" applyBorder="1" applyAlignment="1">
      <alignment horizontal="center" vertical="center"/>
    </xf>
    <xf numFmtId="0" fontId="0" fillId="0" borderId="13" xfId="0" applyBorder="1" applyAlignment="1">
      <alignment/>
    </xf>
    <xf numFmtId="166" fontId="0" fillId="0" borderId="11" xfId="0" applyNumberFormat="1" applyBorder="1" applyAlignment="1">
      <alignment/>
    </xf>
    <xf numFmtId="166" fontId="0" fillId="0" borderId="12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166" fontId="0" fillId="0" borderId="2" xfId="0" applyNumberFormat="1" applyBorder="1" applyAlignment="1">
      <alignment/>
    </xf>
    <xf numFmtId="2" fontId="0" fillId="0" borderId="2" xfId="0" applyNumberFormat="1" applyBorder="1" applyAlignment="1">
      <alignment/>
    </xf>
    <xf numFmtId="1" fontId="0" fillId="0" borderId="0" xfId="0" applyNumberFormat="1" applyBorder="1" applyAlignment="1">
      <alignment/>
    </xf>
    <xf numFmtId="0" fontId="0" fillId="0" borderId="3" xfId="0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Border="1" applyAlignment="1">
      <alignment/>
    </xf>
    <xf numFmtId="2" fontId="0" fillId="0" borderId="1" xfId="0" applyNumberFormat="1" applyBorder="1" applyAlignment="1">
      <alignment/>
    </xf>
    <xf numFmtId="1" fontId="0" fillId="0" borderId="2" xfId="0" applyNumberFormat="1" applyBorder="1" applyAlignment="1">
      <alignment/>
    </xf>
    <xf numFmtId="167" fontId="0" fillId="0" borderId="2" xfId="0" applyNumberFormat="1" applyBorder="1" applyAlignment="1">
      <alignment/>
    </xf>
    <xf numFmtId="2" fontId="0" fillId="0" borderId="4" xfId="0" applyNumberFormat="1" applyBorder="1" applyAlignment="1">
      <alignment/>
    </xf>
    <xf numFmtId="2" fontId="0" fillId="0" borderId="5" xfId="0" applyNumberFormat="1" applyBorder="1" applyAlignment="1">
      <alignment horizontal="center" vertical="center"/>
    </xf>
    <xf numFmtId="1" fontId="0" fillId="0" borderId="8" xfId="0" applyNumberFormat="1" applyBorder="1" applyAlignment="1">
      <alignment/>
    </xf>
    <xf numFmtId="167" fontId="0" fillId="0" borderId="8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1" fontId="0" fillId="0" borderId="13" xfId="0" applyNumberFormat="1" applyBorder="1" applyAlignment="1">
      <alignment/>
    </xf>
    <xf numFmtId="1" fontId="0" fillId="0" borderId="11" xfId="0" applyNumberFormat="1" applyBorder="1" applyAlignment="1">
      <alignment/>
    </xf>
    <xf numFmtId="1" fontId="0" fillId="0" borderId="12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20" xfId="0" applyFill="1" applyBorder="1" applyAlignment="1">
      <alignment/>
    </xf>
    <xf numFmtId="2" fontId="8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21" xfId="0" applyBorder="1" applyAlignment="1">
      <alignment/>
    </xf>
    <xf numFmtId="14" fontId="0" fillId="0" borderId="0" xfId="0" applyNumberFormat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2" fontId="0" fillId="0" borderId="6" xfId="0" applyNumberFormat="1" applyFill="1" applyBorder="1" applyAlignment="1">
      <alignment/>
    </xf>
    <xf numFmtId="166" fontId="0" fillId="0" borderId="8" xfId="0" applyNumberFormat="1" applyBorder="1" applyAlignment="1">
      <alignment/>
    </xf>
    <xf numFmtId="0" fontId="0" fillId="0" borderId="8" xfId="0" applyFill="1" applyBorder="1" applyAlignment="1">
      <alignment/>
    </xf>
    <xf numFmtId="0" fontId="0" fillId="0" borderId="21" xfId="0" applyFill="1" applyBorder="1" applyAlignment="1">
      <alignment/>
    </xf>
    <xf numFmtId="165" fontId="2" fillId="0" borderId="21" xfId="0" applyNumberFormat="1" applyFont="1" applyFill="1" applyBorder="1" applyAlignment="1">
      <alignment/>
    </xf>
    <xf numFmtId="2" fontId="0" fillId="0" borderId="21" xfId="0" applyNumberFormat="1" applyFill="1" applyBorder="1" applyAlignment="1">
      <alignment/>
    </xf>
    <xf numFmtId="2" fontId="0" fillId="0" borderId="16" xfId="0" applyNumberFormat="1" applyFill="1" applyBorder="1" applyAlignment="1">
      <alignment/>
    </xf>
    <xf numFmtId="0" fontId="0" fillId="0" borderId="4" xfId="0" applyBorder="1" applyAlignment="1">
      <alignment wrapText="1"/>
    </xf>
    <xf numFmtId="0" fontId="0" fillId="0" borderId="24" xfId="0" applyBorder="1" applyAlignment="1">
      <alignment/>
    </xf>
    <xf numFmtId="0" fontId="0" fillId="0" borderId="14" xfId="0" applyBorder="1" applyAlignment="1">
      <alignment/>
    </xf>
    <xf numFmtId="2" fontId="0" fillId="0" borderId="25" xfId="0" applyNumberForma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8" fillId="0" borderId="0" xfId="0" applyFont="1" applyAlignment="1">
      <alignment/>
    </xf>
    <xf numFmtId="2" fontId="0" fillId="0" borderId="28" xfId="0" applyNumberForma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 wrapText="1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2" fontId="0" fillId="0" borderId="17" xfId="0" applyNumberFormat="1" applyBorder="1" applyAlignment="1">
      <alignment horizontal="center" vertical="center" wrapText="1"/>
    </xf>
    <xf numFmtId="2" fontId="0" fillId="0" borderId="37" xfId="0" applyNumberFormat="1" applyBorder="1" applyAlignment="1">
      <alignment horizontal="center" vertical="center" wrapText="1"/>
    </xf>
    <xf numFmtId="2" fontId="0" fillId="0" borderId="13" xfId="0" applyNumberFormat="1" applyBorder="1" applyAlignment="1">
      <alignment horizontal="center" vertical="center" wrapText="1"/>
    </xf>
    <xf numFmtId="2" fontId="0" fillId="0" borderId="36" xfId="0" applyNumberFormat="1" applyBorder="1" applyAlignment="1">
      <alignment horizontal="center" vertical="center" wrapText="1"/>
    </xf>
    <xf numFmtId="2" fontId="0" fillId="0" borderId="20" xfId="0" applyNumberFormat="1" applyBorder="1" applyAlignment="1">
      <alignment horizontal="center" vertical="center" wrapText="1"/>
    </xf>
    <xf numFmtId="2" fontId="0" fillId="0" borderId="19" xfId="0" applyNumberFormat="1" applyBorder="1" applyAlignment="1">
      <alignment horizontal="center" vertical="center" wrapText="1"/>
    </xf>
    <xf numFmtId="2" fontId="0" fillId="0" borderId="18" xfId="0" applyNumberFormat="1" applyBorder="1" applyAlignment="1">
      <alignment horizontal="center" vertical="center" wrapText="1"/>
    </xf>
    <xf numFmtId="2" fontId="0" fillId="0" borderId="13" xfId="0" applyNumberFormat="1" applyBorder="1" applyAlignment="1">
      <alignment horizontal="center" vertical="center"/>
    </xf>
    <xf numFmtId="2" fontId="0" fillId="0" borderId="36" xfId="0" applyNumberForma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2" fontId="0" fillId="0" borderId="35" xfId="0" applyNumberFormat="1" applyBorder="1" applyAlignment="1">
      <alignment horizontal="center" vertical="center" wrapText="1"/>
    </xf>
    <xf numFmtId="165" fontId="0" fillId="0" borderId="6" xfId="0" applyNumberFormat="1" applyBorder="1" applyAlignment="1">
      <alignment/>
    </xf>
    <xf numFmtId="2" fontId="0" fillId="0" borderId="4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166" fontId="0" fillId="0" borderId="5" xfId="0" applyNumberFormat="1" applyBorder="1" applyAlignment="1">
      <alignment/>
    </xf>
    <xf numFmtId="0" fontId="0" fillId="0" borderId="42" xfId="0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1"/>
  <sheetViews>
    <sheetView tabSelected="1" view="pageBreakPreview" zoomScale="60" zoomScaleNormal="50" workbookViewId="0" topLeftCell="A1">
      <selection activeCell="O46" sqref="O46"/>
    </sheetView>
  </sheetViews>
  <sheetFormatPr defaultColWidth="9.140625" defaultRowHeight="12.75"/>
  <cols>
    <col min="1" max="1" width="20.8515625" style="0" customWidth="1"/>
    <col min="2" max="2" width="11.57421875" style="0" bestFit="1" customWidth="1"/>
    <col min="3" max="3" width="8.28125" style="15" customWidth="1"/>
    <col min="4" max="4" width="8.28125" style="0" customWidth="1"/>
    <col min="5" max="5" width="10.421875" style="0" customWidth="1"/>
    <col min="6" max="6" width="8.28125" style="17" customWidth="1"/>
    <col min="7" max="7" width="10.00390625" style="19" customWidth="1"/>
    <col min="8" max="9" width="11.8515625" style="0" customWidth="1"/>
    <col min="10" max="10" width="9.140625" style="19" customWidth="1"/>
    <col min="11" max="11" width="8.28125" style="15" customWidth="1"/>
    <col min="12" max="12" width="9.421875" style="0" customWidth="1"/>
    <col min="13" max="13" width="9.7109375" style="20" customWidth="1"/>
    <col min="14" max="14" width="8.28125" style="0" customWidth="1"/>
    <col min="15" max="15" width="8.28125" style="20" customWidth="1"/>
    <col min="16" max="16" width="8.28125" style="19" customWidth="1"/>
    <col min="17" max="18" width="8.28125" style="0" customWidth="1"/>
    <col min="19" max="19" width="9.28125" style="0" customWidth="1"/>
    <col min="20" max="20" width="8.28125" style="0" customWidth="1"/>
    <col min="21" max="21" width="9.57421875" style="0" customWidth="1"/>
    <col min="22" max="25" width="8.28125" style="0" customWidth="1"/>
    <col min="26" max="26" width="12.421875" style="0" customWidth="1"/>
    <col min="27" max="28" width="8.28125" style="19" customWidth="1"/>
    <col min="29" max="16384" width="8.28125" style="0" customWidth="1"/>
  </cols>
  <sheetData>
    <row r="1" ht="13.5" thickBot="1">
      <c r="A1" t="s">
        <v>145</v>
      </c>
    </row>
    <row r="2" spans="1:28" s="1" customFormat="1" ht="55.5" customHeight="1" thickTop="1">
      <c r="A2" s="2" t="s">
        <v>0</v>
      </c>
      <c r="B2" s="3" t="s">
        <v>1</v>
      </c>
      <c r="C2" s="16" t="s">
        <v>2</v>
      </c>
      <c r="D2" s="3" t="s">
        <v>3</v>
      </c>
      <c r="E2" s="3" t="s">
        <v>23</v>
      </c>
      <c r="F2" s="18" t="s">
        <v>27</v>
      </c>
      <c r="G2" s="23" t="s">
        <v>28</v>
      </c>
      <c r="H2" s="3" t="s">
        <v>4</v>
      </c>
      <c r="I2" s="3"/>
      <c r="J2" s="23" t="s">
        <v>36</v>
      </c>
      <c r="K2" s="16" t="s">
        <v>37</v>
      </c>
      <c r="L2" s="3" t="s">
        <v>24</v>
      </c>
      <c r="M2" s="21" t="s">
        <v>62</v>
      </c>
      <c r="N2" s="3" t="s">
        <v>25</v>
      </c>
      <c r="O2" s="21" t="s">
        <v>132</v>
      </c>
      <c r="P2" s="23" t="s">
        <v>26</v>
      </c>
      <c r="Q2" s="3" t="s">
        <v>29</v>
      </c>
      <c r="R2" s="3" t="s">
        <v>133</v>
      </c>
      <c r="S2" s="3" t="s">
        <v>30</v>
      </c>
      <c r="T2" s="3" t="s">
        <v>32</v>
      </c>
      <c r="U2" s="3" t="s">
        <v>33</v>
      </c>
      <c r="V2" s="3" t="s">
        <v>38</v>
      </c>
      <c r="W2" s="3" t="s">
        <v>31</v>
      </c>
      <c r="X2" s="11" t="s">
        <v>34</v>
      </c>
      <c r="Y2" s="11" t="s">
        <v>43</v>
      </c>
      <c r="Z2" s="11" t="s">
        <v>63</v>
      </c>
      <c r="AA2" s="32" t="s">
        <v>35</v>
      </c>
      <c r="AB2" s="30" t="s">
        <v>39</v>
      </c>
    </row>
    <row r="3" spans="1:28" ht="12.75">
      <c r="A3" s="38" t="s">
        <v>5</v>
      </c>
      <c r="B3" s="6" t="s">
        <v>11</v>
      </c>
      <c r="C3" s="13">
        <v>225</v>
      </c>
      <c r="D3" s="6">
        <v>6.07</v>
      </c>
      <c r="E3" s="6">
        <v>4160</v>
      </c>
      <c r="F3" s="14">
        <f>C3*1000/3^0.5/E3</f>
        <v>31.22687754030428</v>
      </c>
      <c r="G3" s="24">
        <f>4*F3</f>
        <v>124.90751016121712</v>
      </c>
      <c r="H3" s="6">
        <v>255</v>
      </c>
      <c r="I3" s="6"/>
      <c r="J3" s="24">
        <f>F3*E3/H3</f>
        <v>509.42670810849336</v>
      </c>
      <c r="K3" s="13">
        <f>J3*4</f>
        <v>2037.7068324339734</v>
      </c>
      <c r="L3" s="6">
        <v>838</v>
      </c>
      <c r="M3" s="22">
        <f>L3*(H3/E3)^2</f>
        <v>3.1487466484837277</v>
      </c>
      <c r="N3" s="6">
        <v>1.64</v>
      </c>
      <c r="O3" s="22">
        <f>1.12*(M3+N3)</f>
        <v>5.363396246301775</v>
      </c>
      <c r="P3" s="24">
        <f>(3/PI())*H3*2^0.5</f>
        <v>344.3709909300931</v>
      </c>
      <c r="Q3" s="6">
        <v>300</v>
      </c>
      <c r="R3" s="6">
        <f>K3*6^0.5</f>
        <v>4991.341984846218</v>
      </c>
      <c r="S3" s="6">
        <v>5</v>
      </c>
      <c r="T3" s="6">
        <f>H3/3^0.5/J3</f>
        <v>0.289</v>
      </c>
      <c r="U3" s="6">
        <f aca="true" t="shared" si="0" ref="U3:U14">(D3/100)*T3</f>
        <v>0.0175423</v>
      </c>
      <c r="V3" s="6">
        <f aca="true" t="shared" si="1" ref="V3:V14">(U3^2-(O3/1000)^2)^0.5</f>
        <v>0.016702283376687034</v>
      </c>
      <c r="W3" s="10">
        <f>V3/(2*PI()*60)</f>
        <v>4.4304182672022245E-05</v>
      </c>
      <c r="X3" s="12">
        <f>W3/2</f>
        <v>2.2152091336011122E-05</v>
      </c>
      <c r="Y3" s="12">
        <f>6*60*W3</f>
        <v>0.01594950576192801</v>
      </c>
      <c r="Z3" s="26">
        <f aca="true" t="shared" si="2" ref="Z3:Z14">(Y3+O3/1000)</f>
        <v>0.021312902008229787</v>
      </c>
      <c r="AA3" s="33">
        <f aca="true" t="shared" si="3" ref="AA3:AA14">(Y3+O3/1000)*S3*1000/2</f>
        <v>53.28225502057447</v>
      </c>
      <c r="AB3" s="73">
        <f aca="true" t="shared" si="4" ref="AB3:AB14">AA3*100/P3</f>
        <v>15.472341290033544</v>
      </c>
    </row>
    <row r="4" spans="1:28" ht="12.75">
      <c r="A4" s="38" t="s">
        <v>5</v>
      </c>
      <c r="B4" s="6" t="s">
        <v>12</v>
      </c>
      <c r="C4" s="13">
        <v>225</v>
      </c>
      <c r="D4" s="6">
        <v>6.23</v>
      </c>
      <c r="E4" s="6">
        <v>4160</v>
      </c>
      <c r="F4" s="14">
        <f aca="true" t="shared" si="5" ref="F4:F14">C4*1000/3^0.5/E4</f>
        <v>31.22687754030428</v>
      </c>
      <c r="G4" s="24">
        <f aca="true" t="shared" si="6" ref="G4:G14">4*F4</f>
        <v>124.90751016121712</v>
      </c>
      <c r="H4" s="6">
        <v>255</v>
      </c>
      <c r="I4" s="6"/>
      <c r="J4" s="24">
        <f aca="true" t="shared" si="7" ref="J4:J10">F4*E4/H4</f>
        <v>509.42670810849336</v>
      </c>
      <c r="K4" s="13">
        <f aca="true" t="shared" si="8" ref="K4:K14">J4*4</f>
        <v>2037.7068324339734</v>
      </c>
      <c r="L4" s="6">
        <v>832</v>
      </c>
      <c r="M4" s="22">
        <f aca="true" t="shared" si="9" ref="M4:M14">L4*(H4/E4)^2</f>
        <v>3.126201923076923</v>
      </c>
      <c r="N4" s="6">
        <v>1.68</v>
      </c>
      <c r="O4" s="22">
        <f aca="true" t="shared" si="10" ref="O4:O14">1.12*(M4+N4)</f>
        <v>5.382946153846154</v>
      </c>
      <c r="P4" s="24">
        <f aca="true" t="shared" si="11" ref="P4:P14">(3/PI())*H4*2^0.5</f>
        <v>344.3709909300931</v>
      </c>
      <c r="Q4" s="6">
        <v>300</v>
      </c>
      <c r="R4" s="6">
        <f aca="true" t="shared" si="12" ref="R4:R14">K4*6^0.5</f>
        <v>4991.341984846218</v>
      </c>
      <c r="S4" s="6">
        <v>5</v>
      </c>
      <c r="T4" s="6">
        <f aca="true" t="shared" si="13" ref="T4:T14">H4/3^0.5/J4</f>
        <v>0.289</v>
      </c>
      <c r="U4" s="6">
        <f t="shared" si="0"/>
        <v>0.0180047</v>
      </c>
      <c r="V4" s="6">
        <f t="shared" si="1"/>
        <v>0.01718118484839718</v>
      </c>
      <c r="W4" s="10">
        <f aca="true" t="shared" si="14" ref="W4:W14">V4/(2*PI()*60)</f>
        <v>4.557450827996647E-05</v>
      </c>
      <c r="X4" s="12">
        <f aca="true" t="shared" si="15" ref="X4:X14">W4/2</f>
        <v>2.2787254139983235E-05</v>
      </c>
      <c r="Y4" s="12">
        <f aca="true" t="shared" si="16" ref="Y4:Y14">6*60*W4</f>
        <v>0.016406822980787928</v>
      </c>
      <c r="Z4" s="26">
        <f t="shared" si="2"/>
        <v>0.021789769134634082</v>
      </c>
      <c r="AA4" s="33">
        <f t="shared" si="3"/>
        <v>54.474422836585205</v>
      </c>
      <c r="AB4" s="73">
        <f t="shared" si="4"/>
        <v>15.818528352071167</v>
      </c>
    </row>
    <row r="5" spans="1:28" ht="12.75">
      <c r="A5" s="38" t="s">
        <v>6</v>
      </c>
      <c r="B5" s="6" t="s">
        <v>13</v>
      </c>
      <c r="C5" s="13">
        <v>225</v>
      </c>
      <c r="D5" s="6">
        <v>5.91</v>
      </c>
      <c r="E5" s="6">
        <v>4160</v>
      </c>
      <c r="F5" s="14">
        <f t="shared" si="5"/>
        <v>31.22687754030428</v>
      </c>
      <c r="G5" s="24">
        <f t="shared" si="6"/>
        <v>124.90751016121712</v>
      </c>
      <c r="H5" s="6">
        <v>255</v>
      </c>
      <c r="I5" s="6"/>
      <c r="J5" s="24">
        <f t="shared" si="7"/>
        <v>509.42670810849336</v>
      </c>
      <c r="K5" s="13">
        <f t="shared" si="8"/>
        <v>2037.7068324339734</v>
      </c>
      <c r="L5" s="6">
        <v>841</v>
      </c>
      <c r="M5" s="22">
        <f t="shared" si="9"/>
        <v>3.16001901118713</v>
      </c>
      <c r="N5" s="6">
        <v>1.66</v>
      </c>
      <c r="O5" s="22">
        <f t="shared" si="10"/>
        <v>5.398421292529585</v>
      </c>
      <c r="P5" s="24">
        <f t="shared" si="11"/>
        <v>344.3709909300931</v>
      </c>
      <c r="Q5" s="6">
        <v>300</v>
      </c>
      <c r="R5" s="6">
        <f t="shared" si="12"/>
        <v>4991.341984846218</v>
      </c>
      <c r="S5" s="6">
        <v>5</v>
      </c>
      <c r="T5" s="6">
        <f t="shared" si="13"/>
        <v>0.289</v>
      </c>
      <c r="U5" s="6">
        <f t="shared" si="0"/>
        <v>0.0170799</v>
      </c>
      <c r="V5" s="6">
        <f t="shared" si="1"/>
        <v>0.0162043213853084</v>
      </c>
      <c r="W5" s="10">
        <f t="shared" si="14"/>
        <v>4.2983297465359024E-05</v>
      </c>
      <c r="X5" s="12">
        <f t="shared" si="15"/>
        <v>2.1491648732679512E-05</v>
      </c>
      <c r="Y5" s="12">
        <f t="shared" si="16"/>
        <v>0.01547398708752925</v>
      </c>
      <c r="Z5" s="26">
        <f t="shared" si="2"/>
        <v>0.020872408380058834</v>
      </c>
      <c r="AA5" s="33">
        <f t="shared" si="3"/>
        <v>52.18102095014708</v>
      </c>
      <c r="AB5" s="73">
        <f t="shared" si="4"/>
        <v>15.152559978764227</v>
      </c>
    </row>
    <row r="6" spans="1:28" ht="12.75">
      <c r="A6" s="38" t="s">
        <v>6</v>
      </c>
      <c r="B6" s="6" t="s">
        <v>14</v>
      </c>
      <c r="C6" s="13">
        <v>225</v>
      </c>
      <c r="D6" s="6">
        <v>6.12</v>
      </c>
      <c r="E6" s="6">
        <v>4160</v>
      </c>
      <c r="F6" s="14">
        <f t="shared" si="5"/>
        <v>31.22687754030428</v>
      </c>
      <c r="G6" s="24">
        <f t="shared" si="6"/>
        <v>124.90751016121712</v>
      </c>
      <c r="H6" s="6">
        <v>255</v>
      </c>
      <c r="I6" s="6"/>
      <c r="J6" s="24">
        <f t="shared" si="7"/>
        <v>509.42670810849336</v>
      </c>
      <c r="K6" s="13">
        <f t="shared" si="8"/>
        <v>2037.7068324339734</v>
      </c>
      <c r="L6" s="6">
        <v>831</v>
      </c>
      <c r="M6" s="22">
        <f t="shared" si="9"/>
        <v>3.1224444688424553</v>
      </c>
      <c r="N6" s="6">
        <v>1.76</v>
      </c>
      <c r="O6" s="22">
        <f t="shared" si="10"/>
        <v>5.46833780510355</v>
      </c>
      <c r="P6" s="24">
        <f t="shared" si="11"/>
        <v>344.3709909300931</v>
      </c>
      <c r="Q6" s="6">
        <v>300</v>
      </c>
      <c r="R6" s="6">
        <f t="shared" si="12"/>
        <v>4991.341984846218</v>
      </c>
      <c r="S6" s="6">
        <v>5</v>
      </c>
      <c r="T6" s="6">
        <f t="shared" si="13"/>
        <v>0.289</v>
      </c>
      <c r="U6" s="6">
        <f t="shared" si="0"/>
        <v>0.0176868</v>
      </c>
      <c r="V6" s="6">
        <f t="shared" si="1"/>
        <v>0.016820231148509085</v>
      </c>
      <c r="W6" s="10">
        <f t="shared" si="14"/>
        <v>4.461704885389148E-05</v>
      </c>
      <c r="X6" s="12">
        <f t="shared" si="15"/>
        <v>2.230852442694574E-05</v>
      </c>
      <c r="Y6" s="12">
        <f t="shared" si="16"/>
        <v>0.016062137587400934</v>
      </c>
      <c r="Z6" s="26">
        <f t="shared" si="2"/>
        <v>0.021530475392504484</v>
      </c>
      <c r="AA6" s="33">
        <f t="shared" si="3"/>
        <v>53.826188481261205</v>
      </c>
      <c r="AB6" s="73">
        <f t="shared" si="4"/>
        <v>15.630291139182468</v>
      </c>
    </row>
    <row r="7" spans="1:28" ht="12.75">
      <c r="A7" s="38" t="s">
        <v>7</v>
      </c>
      <c r="B7" s="6" t="s">
        <v>15</v>
      </c>
      <c r="C7" s="13">
        <v>225</v>
      </c>
      <c r="D7" s="6">
        <v>5.99</v>
      </c>
      <c r="E7" s="6">
        <v>4160</v>
      </c>
      <c r="F7" s="14">
        <f t="shared" si="5"/>
        <v>31.22687754030428</v>
      </c>
      <c r="G7" s="24">
        <f t="shared" si="6"/>
        <v>124.90751016121712</v>
      </c>
      <c r="H7" s="6">
        <v>255</v>
      </c>
      <c r="I7" s="6"/>
      <c r="J7" s="24">
        <f t="shared" si="7"/>
        <v>509.42670810849336</v>
      </c>
      <c r="K7" s="13">
        <f t="shared" si="8"/>
        <v>2037.7068324339734</v>
      </c>
      <c r="L7" s="6">
        <v>837</v>
      </c>
      <c r="M7" s="22">
        <f t="shared" si="9"/>
        <v>3.14498919424926</v>
      </c>
      <c r="N7" s="6">
        <v>1.66</v>
      </c>
      <c r="O7" s="22">
        <f t="shared" si="10"/>
        <v>5.3815878975591716</v>
      </c>
      <c r="P7" s="24">
        <f t="shared" si="11"/>
        <v>344.3709909300931</v>
      </c>
      <c r="Q7" s="6">
        <v>300</v>
      </c>
      <c r="R7" s="6">
        <f t="shared" si="12"/>
        <v>4991.341984846218</v>
      </c>
      <c r="S7" s="6">
        <v>5</v>
      </c>
      <c r="T7" s="6">
        <f t="shared" si="13"/>
        <v>0.289</v>
      </c>
      <c r="U7" s="6">
        <f t="shared" si="0"/>
        <v>0.0173111</v>
      </c>
      <c r="V7" s="6">
        <f t="shared" si="1"/>
        <v>0.0164533490484717</v>
      </c>
      <c r="W7" s="10">
        <f t="shared" si="14"/>
        <v>4.364386385801007E-05</v>
      </c>
      <c r="X7" s="12">
        <f t="shared" si="15"/>
        <v>2.1821931929005035E-05</v>
      </c>
      <c r="Y7" s="12">
        <f t="shared" si="16"/>
        <v>0.015711790988883624</v>
      </c>
      <c r="Z7" s="26">
        <f t="shared" si="2"/>
        <v>0.021093378886442797</v>
      </c>
      <c r="AA7" s="33">
        <f t="shared" si="3"/>
        <v>52.733447216106995</v>
      </c>
      <c r="AB7" s="73">
        <f t="shared" si="4"/>
        <v>15.312976006974937</v>
      </c>
    </row>
    <row r="8" spans="1:28" ht="12.75">
      <c r="A8" s="38" t="s">
        <v>7</v>
      </c>
      <c r="B8" s="6" t="s">
        <v>16</v>
      </c>
      <c r="C8" s="13">
        <v>225</v>
      </c>
      <c r="D8" s="6">
        <v>5.95</v>
      </c>
      <c r="E8" s="6">
        <v>4160</v>
      </c>
      <c r="F8" s="14">
        <f t="shared" si="5"/>
        <v>31.22687754030428</v>
      </c>
      <c r="G8" s="24">
        <f t="shared" si="6"/>
        <v>124.90751016121712</v>
      </c>
      <c r="H8" s="6">
        <v>255</v>
      </c>
      <c r="I8" s="6"/>
      <c r="J8" s="24">
        <f t="shared" si="7"/>
        <v>509.42670810849336</v>
      </c>
      <c r="K8" s="13">
        <f t="shared" si="8"/>
        <v>2037.7068324339734</v>
      </c>
      <c r="L8" s="6">
        <v>830</v>
      </c>
      <c r="M8" s="22">
        <f t="shared" si="9"/>
        <v>3.118687014607988</v>
      </c>
      <c r="N8" s="6">
        <v>1.67</v>
      </c>
      <c r="O8" s="22">
        <f t="shared" si="10"/>
        <v>5.3633294563609475</v>
      </c>
      <c r="P8" s="24">
        <f t="shared" si="11"/>
        <v>344.3709909300931</v>
      </c>
      <c r="Q8" s="6">
        <v>300</v>
      </c>
      <c r="R8" s="6">
        <f t="shared" si="12"/>
        <v>4991.341984846218</v>
      </c>
      <c r="S8" s="6">
        <v>5</v>
      </c>
      <c r="T8" s="6">
        <f t="shared" si="13"/>
        <v>0.289</v>
      </c>
      <c r="U8" s="6">
        <f t="shared" si="0"/>
        <v>0.0171955</v>
      </c>
      <c r="V8" s="6">
        <f t="shared" si="1"/>
        <v>0.016337683966600985</v>
      </c>
      <c r="W8" s="10">
        <f t="shared" si="14"/>
        <v>4.333705269929585E-05</v>
      </c>
      <c r="X8" s="12">
        <f t="shared" si="15"/>
        <v>2.1668526349647925E-05</v>
      </c>
      <c r="Y8" s="12">
        <f t="shared" si="16"/>
        <v>0.015601338971746505</v>
      </c>
      <c r="Z8" s="26">
        <f t="shared" si="2"/>
        <v>0.02096466842810745</v>
      </c>
      <c r="AA8" s="33">
        <f t="shared" si="3"/>
        <v>52.41167107026863</v>
      </c>
      <c r="AB8" s="73">
        <f t="shared" si="4"/>
        <v>15.219537199899667</v>
      </c>
    </row>
    <row r="9" spans="1:28" ht="12.75">
      <c r="A9" s="38" t="s">
        <v>8</v>
      </c>
      <c r="B9" s="6" t="s">
        <v>17</v>
      </c>
      <c r="C9" s="13">
        <v>225</v>
      </c>
      <c r="D9" s="6">
        <v>6.25</v>
      </c>
      <c r="E9" s="6">
        <v>4160</v>
      </c>
      <c r="F9" s="14">
        <f t="shared" si="5"/>
        <v>31.22687754030428</v>
      </c>
      <c r="G9" s="24">
        <f t="shared" si="6"/>
        <v>124.90751016121712</v>
      </c>
      <c r="H9" s="6">
        <v>255</v>
      </c>
      <c r="I9" s="6"/>
      <c r="J9" s="24">
        <f t="shared" si="7"/>
        <v>509.42670810849336</v>
      </c>
      <c r="K9" s="13">
        <f t="shared" si="8"/>
        <v>2037.7068324339734</v>
      </c>
      <c r="L9" s="6">
        <v>836</v>
      </c>
      <c r="M9" s="22">
        <f t="shared" si="9"/>
        <v>3.141231740014793</v>
      </c>
      <c r="N9" s="6">
        <v>1.65</v>
      </c>
      <c r="O9" s="22">
        <f t="shared" si="10"/>
        <v>5.366179548816568</v>
      </c>
      <c r="P9" s="24">
        <f t="shared" si="11"/>
        <v>344.3709909300931</v>
      </c>
      <c r="Q9" s="6">
        <v>300</v>
      </c>
      <c r="R9" s="6">
        <f t="shared" si="12"/>
        <v>4991.341984846218</v>
      </c>
      <c r="S9" s="6">
        <v>5</v>
      </c>
      <c r="T9" s="6">
        <f t="shared" si="13"/>
        <v>0.289</v>
      </c>
      <c r="U9" s="6">
        <f t="shared" si="0"/>
        <v>0.0180625</v>
      </c>
      <c r="V9" s="6">
        <f t="shared" si="1"/>
        <v>0.01724697142398812</v>
      </c>
      <c r="W9" s="10">
        <f t="shared" si="14"/>
        <v>4.574901259153957E-05</v>
      </c>
      <c r="X9" s="12">
        <f t="shared" si="15"/>
        <v>2.2874506295769786E-05</v>
      </c>
      <c r="Y9" s="12">
        <f t="shared" si="16"/>
        <v>0.016469644532954245</v>
      </c>
      <c r="Z9" s="26">
        <f t="shared" si="2"/>
        <v>0.021835824081770813</v>
      </c>
      <c r="AA9" s="33">
        <f t="shared" si="3"/>
        <v>54.58956020442703</v>
      </c>
      <c r="AB9" s="73">
        <f t="shared" si="4"/>
        <v>15.851962459726652</v>
      </c>
    </row>
    <row r="10" spans="1:28" ht="12.75">
      <c r="A10" s="38" t="s">
        <v>8</v>
      </c>
      <c r="B10" s="6" t="s">
        <v>18</v>
      </c>
      <c r="C10" s="13">
        <v>225</v>
      </c>
      <c r="D10" s="6">
        <v>6.15</v>
      </c>
      <c r="E10" s="6">
        <v>4160</v>
      </c>
      <c r="F10" s="14">
        <f t="shared" si="5"/>
        <v>31.22687754030428</v>
      </c>
      <c r="G10" s="24">
        <f t="shared" si="6"/>
        <v>124.90751016121712</v>
      </c>
      <c r="H10" s="6">
        <v>255</v>
      </c>
      <c r="I10" s="6"/>
      <c r="J10" s="24">
        <f t="shared" si="7"/>
        <v>509.42670810849336</v>
      </c>
      <c r="K10" s="13">
        <f t="shared" si="8"/>
        <v>2037.7068324339734</v>
      </c>
      <c r="L10" s="6">
        <v>834</v>
      </c>
      <c r="M10" s="22">
        <f t="shared" si="9"/>
        <v>3.1337168315458577</v>
      </c>
      <c r="N10" s="6">
        <v>1.74</v>
      </c>
      <c r="O10" s="22">
        <f t="shared" si="10"/>
        <v>5.4585628513313615</v>
      </c>
      <c r="P10" s="24">
        <f t="shared" si="11"/>
        <v>344.3709909300931</v>
      </c>
      <c r="Q10" s="6">
        <v>300</v>
      </c>
      <c r="R10" s="6">
        <f t="shared" si="12"/>
        <v>4991.341984846218</v>
      </c>
      <c r="S10" s="6">
        <v>5</v>
      </c>
      <c r="T10" s="6">
        <f t="shared" si="13"/>
        <v>0.289</v>
      </c>
      <c r="U10" s="6">
        <f t="shared" si="0"/>
        <v>0.0177735</v>
      </c>
      <c r="V10" s="6">
        <f t="shared" si="1"/>
        <v>0.016914532031601266</v>
      </c>
      <c r="W10" s="10">
        <f t="shared" si="14"/>
        <v>4.486718971525901E-05</v>
      </c>
      <c r="X10" s="12">
        <f t="shared" si="15"/>
        <v>2.2433594857629504E-05</v>
      </c>
      <c r="Y10" s="12">
        <f t="shared" si="16"/>
        <v>0.016152188297493243</v>
      </c>
      <c r="Z10" s="26">
        <f t="shared" si="2"/>
        <v>0.021610751148824603</v>
      </c>
      <c r="AA10" s="33">
        <f t="shared" si="3"/>
        <v>54.026877872061505</v>
      </c>
      <c r="AB10" s="73">
        <f t="shared" si="4"/>
        <v>15.688568228741687</v>
      </c>
    </row>
    <row r="11" spans="1:28" ht="12.75">
      <c r="A11" s="38" t="s">
        <v>9</v>
      </c>
      <c r="B11" s="6" t="s">
        <v>19</v>
      </c>
      <c r="C11" s="13">
        <v>300</v>
      </c>
      <c r="D11" s="6">
        <v>6.85</v>
      </c>
      <c r="E11" s="6">
        <v>4160</v>
      </c>
      <c r="F11" s="14">
        <f t="shared" si="5"/>
        <v>41.635836720405706</v>
      </c>
      <c r="G11" s="24">
        <f t="shared" si="6"/>
        <v>166.54334688162282</v>
      </c>
      <c r="H11" s="6">
        <v>170</v>
      </c>
      <c r="I11" s="6"/>
      <c r="J11" s="24">
        <f>F11*E11/H11</f>
        <v>1018.8534162169867</v>
      </c>
      <c r="K11" s="13">
        <f t="shared" si="8"/>
        <v>4075.413664867947</v>
      </c>
      <c r="L11" s="6">
        <v>625</v>
      </c>
      <c r="M11" s="22">
        <f t="shared" si="9"/>
        <v>1.043737287352071</v>
      </c>
      <c r="N11" s="6">
        <v>0.594</v>
      </c>
      <c r="O11" s="22">
        <f t="shared" si="10"/>
        <v>1.8342657618343197</v>
      </c>
      <c r="P11" s="24">
        <f t="shared" si="11"/>
        <v>229.58066062006205</v>
      </c>
      <c r="Q11" s="6">
        <v>200</v>
      </c>
      <c r="R11" s="6">
        <f t="shared" si="12"/>
        <v>9982.683969692436</v>
      </c>
      <c r="S11" s="6">
        <v>10</v>
      </c>
      <c r="T11" s="6">
        <f t="shared" si="13"/>
        <v>0.09633333333333333</v>
      </c>
      <c r="U11" s="6">
        <f t="shared" si="0"/>
        <v>0.006598833333333332</v>
      </c>
      <c r="V11" s="6">
        <f t="shared" si="1"/>
        <v>0.0063387751558225715</v>
      </c>
      <c r="W11" s="10">
        <f t="shared" si="14"/>
        <v>1.6814123319954358E-05</v>
      </c>
      <c r="X11" s="12">
        <f t="shared" si="15"/>
        <v>8.407061659977179E-06</v>
      </c>
      <c r="Y11" s="12">
        <f t="shared" si="16"/>
        <v>0.006053084395183569</v>
      </c>
      <c r="Z11" s="26">
        <f t="shared" si="2"/>
        <v>0.00788735015701789</v>
      </c>
      <c r="AA11" s="33">
        <f t="shared" si="3"/>
        <v>39.436750785089444</v>
      </c>
      <c r="AB11" s="73">
        <f t="shared" si="4"/>
        <v>17.177732078380142</v>
      </c>
    </row>
    <row r="12" spans="1:28" ht="12.75">
      <c r="A12" s="38" t="s">
        <v>9</v>
      </c>
      <c r="B12" s="6" t="s">
        <v>20</v>
      </c>
      <c r="C12" s="13">
        <v>300</v>
      </c>
      <c r="D12" s="6">
        <v>6.92</v>
      </c>
      <c r="E12" s="6">
        <v>4160</v>
      </c>
      <c r="F12" s="14">
        <f t="shared" si="5"/>
        <v>41.635836720405706</v>
      </c>
      <c r="G12" s="24">
        <f t="shared" si="6"/>
        <v>166.54334688162282</v>
      </c>
      <c r="H12" s="6">
        <v>170</v>
      </c>
      <c r="I12" s="6"/>
      <c r="J12" s="24">
        <f>F12*E12/H12</f>
        <v>1018.8534162169867</v>
      </c>
      <c r="K12" s="13">
        <f t="shared" si="8"/>
        <v>4075.413664867947</v>
      </c>
      <c r="L12" s="6">
        <v>632</v>
      </c>
      <c r="M12" s="22">
        <f t="shared" si="9"/>
        <v>1.0554271449704142</v>
      </c>
      <c r="N12" s="6">
        <v>0.578</v>
      </c>
      <c r="O12" s="22">
        <f t="shared" si="10"/>
        <v>1.829438402366864</v>
      </c>
      <c r="P12" s="24">
        <f t="shared" si="11"/>
        <v>229.58066062006205</v>
      </c>
      <c r="Q12" s="6">
        <v>200</v>
      </c>
      <c r="R12" s="6">
        <f t="shared" si="12"/>
        <v>9982.683969692436</v>
      </c>
      <c r="S12" s="6">
        <v>10</v>
      </c>
      <c r="T12" s="6">
        <f t="shared" si="13"/>
        <v>0.09633333333333333</v>
      </c>
      <c r="U12" s="6">
        <f t="shared" si="0"/>
        <v>0.006666266666666666</v>
      </c>
      <c r="V12" s="6">
        <f t="shared" si="1"/>
        <v>0.006410324984199824</v>
      </c>
      <c r="W12" s="10">
        <f t="shared" si="14"/>
        <v>1.7003915134347966E-05</v>
      </c>
      <c r="X12" s="12">
        <f t="shared" si="15"/>
        <v>8.501957567173983E-06</v>
      </c>
      <c r="Y12" s="12">
        <f t="shared" si="16"/>
        <v>0.006121409448365268</v>
      </c>
      <c r="Z12" s="26">
        <f t="shared" si="2"/>
        <v>0.007950847850732131</v>
      </c>
      <c r="AA12" s="33">
        <f t="shared" si="3"/>
        <v>39.75423925366066</v>
      </c>
      <c r="AB12" s="73">
        <f t="shared" si="4"/>
        <v>17.316022676426915</v>
      </c>
    </row>
    <row r="13" spans="1:28" ht="12.75">
      <c r="A13" s="38" t="s">
        <v>10</v>
      </c>
      <c r="B13" s="6" t="s">
        <v>21</v>
      </c>
      <c r="C13" s="13">
        <v>1505</v>
      </c>
      <c r="D13" s="6">
        <v>5.96</v>
      </c>
      <c r="E13" s="6">
        <v>4160</v>
      </c>
      <c r="F13" s="14">
        <f t="shared" si="5"/>
        <v>208.8731142140353</v>
      </c>
      <c r="G13" s="24">
        <f t="shared" si="6"/>
        <v>835.4924568561412</v>
      </c>
      <c r="H13" s="6">
        <v>426</v>
      </c>
      <c r="I13" s="6"/>
      <c r="J13" s="24">
        <f>F13*E13/H13</f>
        <v>2039.6998946722695</v>
      </c>
      <c r="K13" s="13">
        <f t="shared" si="8"/>
        <v>8158.799578689078</v>
      </c>
      <c r="L13" s="6">
        <v>50.3</v>
      </c>
      <c r="M13" s="22">
        <f t="shared" si="9"/>
        <v>0.5274733496671596</v>
      </c>
      <c r="N13" s="6">
        <v>0.714</v>
      </c>
      <c r="O13" s="22">
        <f t="shared" si="10"/>
        <v>1.390450151627219</v>
      </c>
      <c r="P13" s="24">
        <f t="shared" si="11"/>
        <v>575.3021260243908</v>
      </c>
      <c r="Q13" s="6">
        <v>500</v>
      </c>
      <c r="R13" s="6">
        <f t="shared" si="12"/>
        <v>19984.89588142261</v>
      </c>
      <c r="S13" s="6">
        <v>20</v>
      </c>
      <c r="T13" s="6">
        <f t="shared" si="13"/>
        <v>0.12058205980066446</v>
      </c>
      <c r="U13" s="6">
        <f t="shared" si="0"/>
        <v>0.007186690764119602</v>
      </c>
      <c r="V13" s="6">
        <f t="shared" si="1"/>
        <v>0.007050898702642226</v>
      </c>
      <c r="W13" s="10">
        <f t="shared" si="14"/>
        <v>1.8703089696095705E-05</v>
      </c>
      <c r="X13" s="12">
        <f t="shared" si="15"/>
        <v>9.351544848047853E-06</v>
      </c>
      <c r="Y13" s="12">
        <f t="shared" si="16"/>
        <v>0.006733112290594454</v>
      </c>
      <c r="Z13" s="26">
        <f t="shared" si="2"/>
        <v>0.008123562442221673</v>
      </c>
      <c r="AA13" s="33">
        <f t="shared" si="3"/>
        <v>81.23562442221674</v>
      </c>
      <c r="AB13" s="73">
        <f t="shared" si="4"/>
        <v>14.120515247109072</v>
      </c>
    </row>
    <row r="14" spans="1:28" ht="12.75">
      <c r="A14" s="38" t="s">
        <v>10</v>
      </c>
      <c r="B14" s="6" t="s">
        <v>22</v>
      </c>
      <c r="C14" s="13">
        <v>1505</v>
      </c>
      <c r="D14" s="6">
        <v>5.72</v>
      </c>
      <c r="E14" s="6">
        <v>4160</v>
      </c>
      <c r="F14" s="14">
        <f t="shared" si="5"/>
        <v>208.8731142140353</v>
      </c>
      <c r="G14" s="24">
        <f t="shared" si="6"/>
        <v>835.4924568561412</v>
      </c>
      <c r="H14" s="6">
        <v>426</v>
      </c>
      <c r="I14" s="6"/>
      <c r="J14" s="24">
        <f>F14*E14/H14</f>
        <v>2039.6998946722695</v>
      </c>
      <c r="K14" s="13">
        <f t="shared" si="8"/>
        <v>8158.799578689078</v>
      </c>
      <c r="L14" s="6">
        <v>50.6</v>
      </c>
      <c r="M14" s="22">
        <f t="shared" si="9"/>
        <v>0.5306193139792899</v>
      </c>
      <c r="N14" s="6">
        <v>0.706</v>
      </c>
      <c r="O14" s="22">
        <f t="shared" si="10"/>
        <v>1.3850136316568047</v>
      </c>
      <c r="P14" s="24">
        <f t="shared" si="11"/>
        <v>575.3021260243908</v>
      </c>
      <c r="Q14" s="6">
        <v>500</v>
      </c>
      <c r="R14" s="6">
        <f t="shared" si="12"/>
        <v>19984.89588142261</v>
      </c>
      <c r="S14" s="6">
        <v>20</v>
      </c>
      <c r="T14" s="6">
        <f t="shared" si="13"/>
        <v>0.12058205980066446</v>
      </c>
      <c r="U14" s="6">
        <f t="shared" si="0"/>
        <v>0.006897293820598007</v>
      </c>
      <c r="V14" s="6">
        <f t="shared" si="1"/>
        <v>0.0067568039255097734</v>
      </c>
      <c r="W14" s="10">
        <f t="shared" si="14"/>
        <v>1.7922979070793384E-05</v>
      </c>
      <c r="X14" s="12">
        <f t="shared" si="15"/>
        <v>8.961489535396692E-06</v>
      </c>
      <c r="Y14" s="12">
        <f t="shared" si="16"/>
        <v>0.006452272465485618</v>
      </c>
      <c r="Z14" s="26">
        <f t="shared" si="2"/>
        <v>0.007837286097142423</v>
      </c>
      <c r="AA14" s="33">
        <f t="shared" si="3"/>
        <v>78.37286097142423</v>
      </c>
      <c r="AB14" s="73">
        <f t="shared" si="4"/>
        <v>13.622904805344227</v>
      </c>
    </row>
    <row r="15" spans="1:28" ht="12.75">
      <c r="A15" s="119" t="s">
        <v>87</v>
      </c>
      <c r="B15" s="6" t="s">
        <v>91</v>
      </c>
      <c r="C15" s="13">
        <v>342</v>
      </c>
      <c r="D15" s="6">
        <v>1.2</v>
      </c>
      <c r="E15" s="6">
        <v>4160</v>
      </c>
      <c r="F15" s="14">
        <f>(C15/3^0.5/E15)*1000/0.95</f>
        <v>49.963004064486846</v>
      </c>
      <c r="G15" s="24">
        <f>(1185/296.2)*F15</f>
        <v>199.8857522498883</v>
      </c>
      <c r="H15" s="24">
        <v>407.4</v>
      </c>
      <c r="I15" s="24"/>
      <c r="J15" s="24">
        <v>513</v>
      </c>
      <c r="K15" s="13">
        <f>4*J15</f>
        <v>2052</v>
      </c>
      <c r="L15" s="24">
        <v>174.74</v>
      </c>
      <c r="M15" s="22">
        <f>L15*(H15/E15)^2</f>
        <v>1.6758985277829141</v>
      </c>
      <c r="N15" s="6">
        <v>2.74</v>
      </c>
      <c r="O15" s="22">
        <f>1.12*(M15/2+N15)</f>
        <v>4.007303175558433</v>
      </c>
      <c r="P15" s="24">
        <f>(3/PI())*H15*2^0.5</f>
        <v>550.1833008036075</v>
      </c>
      <c r="Q15" s="6">
        <v>500</v>
      </c>
      <c r="R15" s="6">
        <f>K15*6^0.5/2</f>
        <v>2513.1764760955407</v>
      </c>
      <c r="S15" s="6">
        <v>2.5</v>
      </c>
      <c r="T15" s="6">
        <f>H15^2/(C15*1000)</f>
        <v>0.48530631578947364</v>
      </c>
      <c r="U15" s="6">
        <f>(D15/100)*T15</f>
        <v>0.005823675789473684</v>
      </c>
      <c r="V15" s="6">
        <f>(U15^2-(O15/1000)^2)^0.5</f>
        <v>0.0042257213538118244</v>
      </c>
      <c r="W15" s="10">
        <f>V15/(2*PI()*60)</f>
        <v>1.1209074026468798E-05</v>
      </c>
      <c r="X15" s="12"/>
      <c r="Y15" s="12">
        <f>6*60*W15</f>
        <v>0.004035266649528768</v>
      </c>
      <c r="Z15" s="26">
        <f>(Y15+O15/1000)</f>
        <v>0.0080425698250872</v>
      </c>
      <c r="AA15" s="33">
        <f>(Y15+O15/1000)*R15</f>
        <v>20.212397291764976</v>
      </c>
      <c r="AB15" s="73">
        <f>AA15*100/P15</f>
        <v>3.673756957407175</v>
      </c>
    </row>
    <row r="16" spans="1:28" ht="13.5" thickBot="1">
      <c r="A16" s="120"/>
      <c r="B16" s="9" t="s">
        <v>90</v>
      </c>
      <c r="C16" s="55">
        <v>342</v>
      </c>
      <c r="D16" s="9">
        <v>1.2</v>
      </c>
      <c r="E16" s="9">
        <v>4160</v>
      </c>
      <c r="F16" s="74">
        <f>(C16/3^0.5/E16)*1000/0.95</f>
        <v>49.963004064486846</v>
      </c>
      <c r="G16" s="25">
        <f>(1185/296.2)*F16</f>
        <v>199.8857522498883</v>
      </c>
      <c r="H16" s="25">
        <v>407.4</v>
      </c>
      <c r="I16" s="25"/>
      <c r="J16" s="25">
        <v>513</v>
      </c>
      <c r="K16" s="55">
        <f>4*J16</f>
        <v>2052</v>
      </c>
      <c r="L16" s="25">
        <v>174.74</v>
      </c>
      <c r="M16" s="56">
        <f>L16*(H16/E16)^2</f>
        <v>1.6758985277829141</v>
      </c>
      <c r="N16" s="9">
        <v>0.95</v>
      </c>
      <c r="O16" s="56">
        <f>1.12*(M16/2+N16)</f>
        <v>2.002503175558432</v>
      </c>
      <c r="P16" s="25">
        <f>(3/PI())*H16*2^0.5</f>
        <v>550.1833008036075</v>
      </c>
      <c r="Q16" s="9">
        <v>500</v>
      </c>
      <c r="R16" s="9">
        <f>K16*6^0.5/2</f>
        <v>2513.1764760955407</v>
      </c>
      <c r="S16" s="9">
        <v>2.5</v>
      </c>
      <c r="T16" s="9">
        <f>H16^2/(C16*1000)</f>
        <v>0.48530631578947364</v>
      </c>
      <c r="U16" s="9">
        <f>(D16/100)*T16</f>
        <v>0.005823675789473684</v>
      </c>
      <c r="V16" s="9">
        <f>(U16^2-(O16/1000)^2)^0.5</f>
        <v>0.005468562949512452</v>
      </c>
      <c r="W16" s="75">
        <f>V16/(2*PI()*60)</f>
        <v>1.4505813750401695E-05</v>
      </c>
      <c r="X16" s="76"/>
      <c r="Y16" s="76">
        <f>6*60*W16</f>
        <v>0.00522209295014461</v>
      </c>
      <c r="Z16" s="77">
        <f>(Y16+O16/1000)</f>
        <v>0.0072245961257030415</v>
      </c>
      <c r="AA16" s="78">
        <f>(Y16+O16/1000)*R16</f>
        <v>18.156685032407864</v>
      </c>
      <c r="AB16" s="79">
        <f>AA16*100/P16</f>
        <v>3.3001156170839585</v>
      </c>
    </row>
    <row r="17" spans="1:12" ht="14.25" thickBot="1" thickTop="1">
      <c r="A17" s="28" t="s">
        <v>41</v>
      </c>
      <c r="J17" s="66" t="s">
        <v>81</v>
      </c>
      <c r="L17" s="70">
        <v>38720</v>
      </c>
    </row>
    <row r="18" spans="1:28" ht="42" customHeight="1" thickTop="1">
      <c r="A18" s="2" t="s">
        <v>0</v>
      </c>
      <c r="B18" s="3" t="s">
        <v>1</v>
      </c>
      <c r="C18" s="16" t="s">
        <v>2</v>
      </c>
      <c r="D18" s="27" t="s">
        <v>42</v>
      </c>
      <c r="E18" s="27" t="s">
        <v>40</v>
      </c>
      <c r="F18" s="18" t="s">
        <v>44</v>
      </c>
      <c r="G18" s="30" t="s">
        <v>142</v>
      </c>
      <c r="H18" s="30" t="s">
        <v>64</v>
      </c>
      <c r="I18" s="88"/>
      <c r="J18" s="50" t="s">
        <v>65</v>
      </c>
      <c r="K18" s="51" t="s">
        <v>66</v>
      </c>
      <c r="L18" s="43" t="s">
        <v>69</v>
      </c>
      <c r="M18" s="52" t="s">
        <v>74</v>
      </c>
      <c r="N18" s="43" t="s">
        <v>70</v>
      </c>
      <c r="O18" s="23" t="s">
        <v>80</v>
      </c>
      <c r="P18" s="23" t="s">
        <v>131</v>
      </c>
      <c r="Q18" s="3" t="s">
        <v>78</v>
      </c>
      <c r="R18" s="3" t="s">
        <v>72</v>
      </c>
      <c r="S18" s="3" t="s">
        <v>73</v>
      </c>
      <c r="T18" s="4" t="s">
        <v>77</v>
      </c>
      <c r="U18" s="4" t="s">
        <v>71</v>
      </c>
      <c r="W18" s="19"/>
      <c r="X18" s="19"/>
      <c r="AA18"/>
      <c r="AB18"/>
    </row>
    <row r="19" spans="1:28" ht="12.75">
      <c r="A19" s="5"/>
      <c r="B19" s="6"/>
      <c r="C19" s="13"/>
      <c r="D19" s="6"/>
      <c r="E19" s="6"/>
      <c r="F19" s="14" t="s">
        <v>45</v>
      </c>
      <c r="G19" s="31" t="s">
        <v>46</v>
      </c>
      <c r="H19" s="31" t="s">
        <v>46</v>
      </c>
      <c r="I19" s="89"/>
      <c r="J19" s="53"/>
      <c r="K19" s="13"/>
      <c r="L19" s="6"/>
      <c r="M19" s="22"/>
      <c r="N19" s="6"/>
      <c r="O19" s="24"/>
      <c r="P19" s="6"/>
      <c r="Q19" s="6"/>
      <c r="R19" s="6"/>
      <c r="S19" s="6"/>
      <c r="T19" s="7"/>
      <c r="U19" s="7"/>
      <c r="W19" s="19"/>
      <c r="X19" s="19"/>
      <c r="AA19"/>
      <c r="AB19"/>
    </row>
    <row r="20" spans="1:28" ht="12.75" customHeight="1">
      <c r="A20" s="119" t="s">
        <v>5</v>
      </c>
      <c r="B20" s="6" t="s">
        <v>11</v>
      </c>
      <c r="C20" s="13">
        <v>225</v>
      </c>
      <c r="D20" s="6">
        <f>2500*E20</f>
        <v>53.28225502057447</v>
      </c>
      <c r="E20" s="29">
        <f>$Z$3</f>
        <v>0.021312902008229787</v>
      </c>
      <c r="F20" s="124">
        <f>(D20+D21)/2</f>
        <v>53.878338928579836</v>
      </c>
      <c r="G20" s="116">
        <f>(E20+E21)/2</f>
        <v>0.021551335571431934</v>
      </c>
      <c r="H20" s="116">
        <f>G20/2</f>
        <v>0.010775667785715967</v>
      </c>
      <c r="I20" s="89"/>
      <c r="J20" s="121" t="s">
        <v>85</v>
      </c>
      <c r="K20" s="98" t="s">
        <v>118</v>
      </c>
      <c r="L20" s="98">
        <v>10000</v>
      </c>
      <c r="M20" s="98">
        <v>344.37</v>
      </c>
      <c r="N20" s="113" t="s">
        <v>122</v>
      </c>
      <c r="O20" s="98">
        <v>4.87</v>
      </c>
      <c r="P20" s="98">
        <f>O20*O23/(O20+O23)+0.7</f>
        <v>3.147436159346272</v>
      </c>
      <c r="Q20" s="103">
        <f>P20*1.12</f>
        <v>3.5251284984678253</v>
      </c>
      <c r="R20" s="103">
        <f>Q20+(H20*H22/(H20+H22))*1000</f>
        <v>8.868867734373655</v>
      </c>
      <c r="S20" s="103">
        <f>R20*L20/1000</f>
        <v>88.68867734373654</v>
      </c>
      <c r="T20" s="101">
        <f>M20-S20</f>
        <v>255.68132265626346</v>
      </c>
      <c r="U20" s="58" t="s">
        <v>61</v>
      </c>
      <c r="W20" s="19"/>
      <c r="X20" s="19"/>
      <c r="AA20"/>
      <c r="AB20"/>
    </row>
    <row r="21" spans="1:28" ht="12.75">
      <c r="A21" s="125"/>
      <c r="B21" s="6" t="s">
        <v>12</v>
      </c>
      <c r="C21" s="13">
        <v>225</v>
      </c>
      <c r="D21" s="6">
        <f aca="true" t="shared" si="17" ref="D21:D27">2500*E21</f>
        <v>54.474422836585205</v>
      </c>
      <c r="E21" s="29">
        <f>$Z$4</f>
        <v>0.021789769134634082</v>
      </c>
      <c r="F21" s="124"/>
      <c r="G21" s="116"/>
      <c r="H21" s="116"/>
      <c r="I21" s="89"/>
      <c r="J21" s="122"/>
      <c r="K21" s="99"/>
      <c r="L21" s="99"/>
      <c r="M21" s="99"/>
      <c r="N21" s="123"/>
      <c r="O21" s="99"/>
      <c r="P21" s="99"/>
      <c r="Q21" s="105"/>
      <c r="R21" s="105"/>
      <c r="S21" s="105"/>
      <c r="T21" s="106"/>
      <c r="U21" s="60" t="s">
        <v>75</v>
      </c>
      <c r="W21" s="19"/>
      <c r="X21" s="19"/>
      <c r="AA21"/>
      <c r="AB21"/>
    </row>
    <row r="22" spans="1:28" ht="12.75">
      <c r="A22" s="119" t="s">
        <v>6</v>
      </c>
      <c r="B22" s="6" t="s">
        <v>13</v>
      </c>
      <c r="C22" s="13">
        <v>225</v>
      </c>
      <c r="D22" s="6">
        <f t="shared" si="17"/>
        <v>52.18102095014709</v>
      </c>
      <c r="E22" s="29">
        <f>$Z$5</f>
        <v>0.020872408380058834</v>
      </c>
      <c r="F22" s="124">
        <f>(D22+D23)/2</f>
        <v>53.00360471570415</v>
      </c>
      <c r="G22" s="116">
        <f>(E22+E23)/2</f>
        <v>0.02120144188628166</v>
      </c>
      <c r="H22" s="116">
        <f>G22/2</f>
        <v>0.01060072094314083</v>
      </c>
      <c r="I22" s="89"/>
      <c r="J22" s="122"/>
      <c r="K22" s="99"/>
      <c r="L22" s="99"/>
      <c r="M22" s="99"/>
      <c r="N22" s="123"/>
      <c r="O22" s="100"/>
      <c r="P22" s="99"/>
      <c r="Q22" s="105"/>
      <c r="R22" s="105"/>
      <c r="S22" s="105"/>
      <c r="T22" s="106"/>
      <c r="U22" s="60"/>
      <c r="W22" s="19"/>
      <c r="X22" s="19"/>
      <c r="AA22"/>
      <c r="AB22"/>
    </row>
    <row r="23" spans="1:28" ht="12.75">
      <c r="A23" s="125"/>
      <c r="B23" s="6" t="s">
        <v>14</v>
      </c>
      <c r="C23" s="13">
        <v>225</v>
      </c>
      <c r="D23" s="6">
        <f t="shared" si="17"/>
        <v>53.82618848126121</v>
      </c>
      <c r="E23" s="29">
        <f>$Z$6</f>
        <v>0.021530475392504484</v>
      </c>
      <c r="F23" s="124"/>
      <c r="G23" s="116"/>
      <c r="H23" s="116"/>
      <c r="I23" s="89"/>
      <c r="J23" s="122"/>
      <c r="K23" s="100"/>
      <c r="L23" s="100"/>
      <c r="M23" s="100"/>
      <c r="N23" s="114"/>
      <c r="O23" s="54">
        <v>4.92</v>
      </c>
      <c r="P23" s="100"/>
      <c r="Q23" s="104"/>
      <c r="R23" s="104"/>
      <c r="S23" s="104"/>
      <c r="T23" s="107"/>
      <c r="U23" s="59"/>
      <c r="W23" s="19"/>
      <c r="X23" s="19"/>
      <c r="AA23"/>
      <c r="AB23"/>
    </row>
    <row r="24" spans="1:28" ht="12.75" customHeight="1">
      <c r="A24" s="119" t="s">
        <v>7</v>
      </c>
      <c r="B24" s="6" t="s">
        <v>15</v>
      </c>
      <c r="C24" s="13">
        <v>225</v>
      </c>
      <c r="D24" s="6">
        <f t="shared" si="17"/>
        <v>52.733447216106995</v>
      </c>
      <c r="E24" s="29">
        <f>$Z$7</f>
        <v>0.021093378886442797</v>
      </c>
      <c r="F24" s="124">
        <f>(D24+D25)/2</f>
        <v>52.57255914318781</v>
      </c>
      <c r="G24" s="116">
        <f>(E24+E25)/2</f>
        <v>0.021029023657275124</v>
      </c>
      <c r="H24" s="116">
        <f>G24/2</f>
        <v>0.010514511828637562</v>
      </c>
      <c r="I24" s="89"/>
      <c r="J24" s="121" t="s">
        <v>82</v>
      </c>
      <c r="K24" s="98" t="s">
        <v>119</v>
      </c>
      <c r="L24" s="98">
        <v>5000</v>
      </c>
      <c r="M24" s="98">
        <v>344.37</v>
      </c>
      <c r="N24" s="113" t="s">
        <v>121</v>
      </c>
      <c r="O24" s="98">
        <v>4.87</v>
      </c>
      <c r="P24" s="98">
        <f>O24+O26+0.7</f>
        <v>10.44</v>
      </c>
      <c r="Q24" s="103">
        <f>P24*1.12</f>
        <v>11.6928</v>
      </c>
      <c r="R24" s="103">
        <f>Q24+(H24+H24)*1000</f>
        <v>32.721823657275124</v>
      </c>
      <c r="S24" s="103">
        <f>R24*L24/1000</f>
        <v>163.60911828637563</v>
      </c>
      <c r="T24" s="101">
        <f>M26+M24-S24</f>
        <v>730.9441825172319</v>
      </c>
      <c r="U24" s="58" t="s">
        <v>61</v>
      </c>
      <c r="W24" s="19"/>
      <c r="X24" s="19"/>
      <c r="AA24"/>
      <c r="AB24"/>
    </row>
    <row r="25" spans="1:28" ht="15" customHeight="1">
      <c r="A25" s="125"/>
      <c r="B25" s="6" t="s">
        <v>16</v>
      </c>
      <c r="C25" s="13">
        <v>225</v>
      </c>
      <c r="D25" s="6">
        <f t="shared" si="17"/>
        <v>52.411671070268625</v>
      </c>
      <c r="E25" s="29">
        <f>$Z$8</f>
        <v>0.02096466842810745</v>
      </c>
      <c r="F25" s="124"/>
      <c r="G25" s="116"/>
      <c r="H25" s="116"/>
      <c r="I25" s="89"/>
      <c r="J25" s="122"/>
      <c r="K25" s="100"/>
      <c r="L25" s="100"/>
      <c r="M25" s="100"/>
      <c r="N25" s="123"/>
      <c r="O25" s="100"/>
      <c r="P25" s="99"/>
      <c r="Q25" s="105"/>
      <c r="R25" s="105"/>
      <c r="S25" s="105"/>
      <c r="T25" s="106"/>
      <c r="U25" s="59" t="s">
        <v>75</v>
      </c>
      <c r="W25" s="19"/>
      <c r="X25" s="19"/>
      <c r="AA25"/>
      <c r="AB25"/>
    </row>
    <row r="26" spans="1:28" ht="12.75" customHeight="1">
      <c r="A26" s="119" t="s">
        <v>8</v>
      </c>
      <c r="B26" s="6" t="s">
        <v>17</v>
      </c>
      <c r="C26" s="13">
        <v>225</v>
      </c>
      <c r="D26" s="6">
        <f t="shared" si="17"/>
        <v>54.58956020442703</v>
      </c>
      <c r="E26" s="29">
        <f>$Z$9</f>
        <v>0.021835824081770813</v>
      </c>
      <c r="F26" s="124">
        <f>(D26+D27)/2</f>
        <v>54.30821903824427</v>
      </c>
      <c r="G26" s="116">
        <f>(E26+E27)/2</f>
        <v>0.02172328761529771</v>
      </c>
      <c r="H26" s="116">
        <f>G26/2</f>
        <v>0.010861643807648855</v>
      </c>
      <c r="I26" s="89"/>
      <c r="J26" s="122"/>
      <c r="K26" s="98" t="s">
        <v>126</v>
      </c>
      <c r="L26" s="96">
        <v>5000</v>
      </c>
      <c r="M26" s="108">
        <f>P15</f>
        <v>550.1833008036075</v>
      </c>
      <c r="N26" s="123"/>
      <c r="O26" s="98">
        <v>4.87</v>
      </c>
      <c r="P26" s="99"/>
      <c r="Q26" s="105"/>
      <c r="R26" s="105"/>
      <c r="S26" s="105"/>
      <c r="T26" s="106"/>
      <c r="U26" s="58" t="s">
        <v>61</v>
      </c>
      <c r="W26" s="19"/>
      <c r="X26" s="19"/>
      <c r="AA26"/>
      <c r="AB26"/>
    </row>
    <row r="27" spans="1:28" ht="12.75">
      <c r="A27" s="125"/>
      <c r="B27" s="6" t="s">
        <v>18</v>
      </c>
      <c r="C27" s="13">
        <v>225</v>
      </c>
      <c r="D27" s="6">
        <f t="shared" si="17"/>
        <v>54.026877872061505</v>
      </c>
      <c r="E27" s="29">
        <f>$Z$10</f>
        <v>0.021610751148824603</v>
      </c>
      <c r="F27" s="124"/>
      <c r="G27" s="116"/>
      <c r="H27" s="116"/>
      <c r="I27" s="89"/>
      <c r="J27" s="122"/>
      <c r="K27" s="100"/>
      <c r="L27" s="110"/>
      <c r="M27" s="109"/>
      <c r="N27" s="114"/>
      <c r="O27" s="100"/>
      <c r="P27" s="100"/>
      <c r="Q27" s="104"/>
      <c r="R27" s="104"/>
      <c r="S27" s="104"/>
      <c r="T27" s="107"/>
      <c r="U27" s="59" t="s">
        <v>75</v>
      </c>
      <c r="W27" s="19"/>
      <c r="X27" s="19"/>
      <c r="AA27"/>
      <c r="AB27"/>
    </row>
    <row r="28" spans="1:28" ht="12.75" customHeight="1">
      <c r="A28" s="119" t="s">
        <v>9</v>
      </c>
      <c r="B28" s="6" t="s">
        <v>19</v>
      </c>
      <c r="C28" s="13">
        <v>300</v>
      </c>
      <c r="D28" s="6">
        <f>5000*E28</f>
        <v>39.43675078508945</v>
      </c>
      <c r="E28" s="29">
        <f>$Z$11</f>
        <v>0.00788735015701789</v>
      </c>
      <c r="F28" s="124">
        <f>(D28+D29)/2</f>
        <v>39.59549501937505</v>
      </c>
      <c r="G28" s="116">
        <f>(E28+E29)/2</f>
        <v>0.00791909900387501</v>
      </c>
      <c r="H28" s="116">
        <f>G28/2</f>
        <v>0.003959549501937505</v>
      </c>
      <c r="I28" s="89"/>
      <c r="J28" s="121" t="s">
        <v>84</v>
      </c>
      <c r="K28" s="98" t="s">
        <v>67</v>
      </c>
      <c r="L28" s="98">
        <v>10000</v>
      </c>
      <c r="M28" s="98">
        <v>229.58</v>
      </c>
      <c r="N28" s="113" t="s">
        <v>123</v>
      </c>
      <c r="O28" s="98">
        <v>3.34</v>
      </c>
      <c r="P28" s="98">
        <f>O28+0.7</f>
        <v>4.04</v>
      </c>
      <c r="Q28" s="103">
        <f>P28*1.12</f>
        <v>4.524800000000001</v>
      </c>
      <c r="R28" s="103">
        <f>Q28+H28*1000</f>
        <v>8.484349501937507</v>
      </c>
      <c r="S28" s="103">
        <f>R28*L28/1000</f>
        <v>84.84349501937507</v>
      </c>
      <c r="T28" s="101">
        <f>M28-S28</f>
        <v>144.73650498062494</v>
      </c>
      <c r="U28" s="58" t="s">
        <v>59</v>
      </c>
      <c r="W28" s="19"/>
      <c r="X28" s="19"/>
      <c r="AA28"/>
      <c r="AB28"/>
    </row>
    <row r="29" spans="1:28" ht="16.5" customHeight="1">
      <c r="A29" s="125"/>
      <c r="B29" s="6" t="s">
        <v>20</v>
      </c>
      <c r="C29" s="13">
        <v>300</v>
      </c>
      <c r="D29" s="6">
        <f>5000*E29</f>
        <v>39.75423925366066</v>
      </c>
      <c r="E29" s="29">
        <f>$Z$12</f>
        <v>0.007950847850732131</v>
      </c>
      <c r="F29" s="124"/>
      <c r="G29" s="116"/>
      <c r="H29" s="116"/>
      <c r="I29" s="89"/>
      <c r="J29" s="122"/>
      <c r="K29" s="100"/>
      <c r="L29" s="100"/>
      <c r="M29" s="100"/>
      <c r="N29" s="114"/>
      <c r="O29" s="100"/>
      <c r="P29" s="100"/>
      <c r="Q29" s="104"/>
      <c r="R29" s="104"/>
      <c r="S29" s="104"/>
      <c r="T29" s="107"/>
      <c r="U29" s="59" t="s">
        <v>76</v>
      </c>
      <c r="W29" s="19"/>
      <c r="X29" s="19"/>
      <c r="AA29"/>
      <c r="AB29"/>
    </row>
    <row r="30" spans="1:28" ht="12.75" customHeight="1">
      <c r="A30" s="119" t="s">
        <v>10</v>
      </c>
      <c r="B30" s="6" t="s">
        <v>21</v>
      </c>
      <c r="C30" s="13">
        <v>1505</v>
      </c>
      <c r="D30" s="6">
        <f>10000*E30</f>
        <v>81.23562442221673</v>
      </c>
      <c r="E30" s="29">
        <f>$Z$13</f>
        <v>0.008123562442221673</v>
      </c>
      <c r="F30" s="124">
        <f>(D30+D31)/2</f>
        <v>79.80424269682048</v>
      </c>
      <c r="G30" s="116">
        <f>(E30+E31)/2</f>
        <v>0.007980424269682047</v>
      </c>
      <c r="H30" s="116">
        <f>G30/2</f>
        <v>0.003990212134841024</v>
      </c>
      <c r="I30" s="89"/>
      <c r="J30" s="121" t="s">
        <v>86</v>
      </c>
      <c r="K30" s="98" t="s">
        <v>68</v>
      </c>
      <c r="L30" s="98">
        <v>20000</v>
      </c>
      <c r="M30" s="98">
        <v>575.3</v>
      </c>
      <c r="N30" s="113" t="s">
        <v>124</v>
      </c>
      <c r="O30" s="98">
        <v>1.67</v>
      </c>
      <c r="P30" s="98">
        <f>O30+0.7</f>
        <v>2.37</v>
      </c>
      <c r="Q30" s="103">
        <f>P30*1.12</f>
        <v>2.6544000000000003</v>
      </c>
      <c r="R30" s="103">
        <f>Q30+H30*1000</f>
        <v>6.644612134841024</v>
      </c>
      <c r="S30" s="103">
        <f>R30*L30/1000</f>
        <v>132.89224269682046</v>
      </c>
      <c r="T30" s="101">
        <f>M30-S30</f>
        <v>442.4077573031795</v>
      </c>
      <c r="U30" s="58" t="s">
        <v>60</v>
      </c>
      <c r="W30" s="19"/>
      <c r="X30" s="19"/>
      <c r="AA30"/>
      <c r="AB30"/>
    </row>
    <row r="31" spans="1:28" ht="29.25" customHeight="1">
      <c r="A31" s="125"/>
      <c r="B31" s="6" t="s">
        <v>22</v>
      </c>
      <c r="C31" s="13">
        <v>1505</v>
      </c>
      <c r="D31" s="6">
        <f>10000*E31</f>
        <v>78.37286097142423</v>
      </c>
      <c r="E31" s="29">
        <f>$Z$14</f>
        <v>0.007837286097142423</v>
      </c>
      <c r="F31" s="124"/>
      <c r="G31" s="116"/>
      <c r="H31" s="116"/>
      <c r="I31" s="89"/>
      <c r="J31" s="122"/>
      <c r="K31" s="100"/>
      <c r="L31" s="100"/>
      <c r="M31" s="100"/>
      <c r="N31" s="114"/>
      <c r="O31" s="100"/>
      <c r="P31" s="100"/>
      <c r="Q31" s="104"/>
      <c r="R31" s="104"/>
      <c r="S31" s="104"/>
      <c r="T31" s="107"/>
      <c r="U31" s="59" t="s">
        <v>58</v>
      </c>
      <c r="W31" s="19"/>
      <c r="X31" s="19"/>
      <c r="AA31"/>
      <c r="AB31"/>
    </row>
    <row r="32" spans="1:28" ht="12.75" customHeight="1">
      <c r="A32" s="119" t="s">
        <v>87</v>
      </c>
      <c r="B32" s="39" t="s">
        <v>116</v>
      </c>
      <c r="C32" s="61">
        <f>C15</f>
        <v>342</v>
      </c>
      <c r="D32" s="6">
        <f>K16*E32</f>
        <v>16.503353281078933</v>
      </c>
      <c r="E32" s="29">
        <f>$Z$15</f>
        <v>0.0080425698250872</v>
      </c>
      <c r="F32" s="124">
        <f>(D32+D33)/2</f>
        <v>15.664112265510788</v>
      </c>
      <c r="G32" s="116">
        <f>(E32+E33)/2</f>
        <v>0.0076335829753951204</v>
      </c>
      <c r="H32" s="116">
        <f>G32/2</f>
        <v>0.0038167914876975602</v>
      </c>
      <c r="I32" s="89"/>
      <c r="J32" s="117" t="s">
        <v>83</v>
      </c>
      <c r="K32" s="96" t="s">
        <v>7</v>
      </c>
      <c r="L32" s="96">
        <v>5000</v>
      </c>
      <c r="M32" s="96">
        <v>344.37</v>
      </c>
      <c r="N32" s="96" t="s">
        <v>125</v>
      </c>
      <c r="O32" s="96">
        <v>4.87</v>
      </c>
      <c r="P32" s="96">
        <f>O32+0.7</f>
        <v>5.57</v>
      </c>
      <c r="Q32" s="96">
        <f>1.12*P32</f>
        <v>6.238400000000001</v>
      </c>
      <c r="R32" s="103">
        <f>Q32+H32*1000</f>
        <v>10.055191487697561</v>
      </c>
      <c r="S32" s="103">
        <f>R32*L32/1000</f>
        <v>50.27595743848781</v>
      </c>
      <c r="T32" s="101">
        <f>M32-S32</f>
        <v>294.0940425615122</v>
      </c>
      <c r="U32" s="111" t="s">
        <v>120</v>
      </c>
      <c r="X32" s="19"/>
      <c r="Y32" s="19"/>
      <c r="AA32"/>
      <c r="AB32"/>
    </row>
    <row r="33" spans="1:28" ht="13.5" thickBot="1">
      <c r="A33" s="120"/>
      <c r="B33" s="65" t="s">
        <v>117</v>
      </c>
      <c r="C33" s="46">
        <f>C16</f>
        <v>342</v>
      </c>
      <c r="D33" s="6">
        <f>K16*E33</f>
        <v>14.82487124994264</v>
      </c>
      <c r="E33" s="29">
        <f>$Z$16</f>
        <v>0.0072245961257030415</v>
      </c>
      <c r="F33" s="124"/>
      <c r="G33" s="116"/>
      <c r="H33" s="116"/>
      <c r="I33" s="89"/>
      <c r="J33" s="118"/>
      <c r="K33" s="97"/>
      <c r="L33" s="97"/>
      <c r="M33" s="97"/>
      <c r="N33" s="97"/>
      <c r="O33" s="97"/>
      <c r="P33" s="97"/>
      <c r="Q33" s="97"/>
      <c r="R33" s="115"/>
      <c r="S33" s="115"/>
      <c r="T33" s="102"/>
      <c r="U33" s="112"/>
      <c r="X33" s="19"/>
      <c r="Y33" s="19"/>
      <c r="AA33"/>
      <c r="AB33"/>
    </row>
    <row r="34" spans="1:11" ht="13.5" thickTop="1">
      <c r="A34" s="48" t="s">
        <v>57</v>
      </c>
      <c r="B34" s="34"/>
      <c r="C34" s="62"/>
      <c r="D34" s="34"/>
      <c r="E34" s="34"/>
      <c r="F34" s="40"/>
      <c r="G34" s="35"/>
      <c r="H34" s="71"/>
      <c r="I34" s="89"/>
      <c r="J34" t="s">
        <v>79</v>
      </c>
      <c r="K34" s="46"/>
    </row>
    <row r="35" spans="1:11" ht="13.5" thickBot="1">
      <c r="A35" s="49" t="s">
        <v>47</v>
      </c>
      <c r="B35" s="36"/>
      <c r="C35" s="63"/>
      <c r="D35" s="36"/>
      <c r="E35" s="36"/>
      <c r="F35" s="41"/>
      <c r="G35" s="37"/>
      <c r="H35" s="72"/>
      <c r="I35" s="89"/>
      <c r="J35" t="s">
        <v>143</v>
      </c>
      <c r="K35" s="46"/>
    </row>
    <row r="36" spans="1:10" ht="14.25" thickBot="1" thickTop="1">
      <c r="A36" s="82" t="s">
        <v>92</v>
      </c>
      <c r="B36" s="83"/>
      <c r="C36" s="84"/>
      <c r="D36" s="84"/>
      <c r="E36" s="84"/>
      <c r="F36" s="84"/>
      <c r="G36" s="84" t="s">
        <v>93</v>
      </c>
      <c r="H36" s="84"/>
      <c r="I36" s="85"/>
      <c r="J36" s="86"/>
    </row>
    <row r="37" spans="1:12" ht="14.25" thickBot="1" thickTop="1">
      <c r="A37" s="42" t="s">
        <v>94</v>
      </c>
      <c r="B37" s="45"/>
      <c r="C37" s="43"/>
      <c r="D37" s="43"/>
      <c r="E37" s="43"/>
      <c r="F37" s="43"/>
      <c r="G37" s="43"/>
      <c r="H37" s="43"/>
      <c r="I37" s="67"/>
      <c r="J37" s="47"/>
      <c r="L37" s="87" t="s">
        <v>144</v>
      </c>
    </row>
    <row r="38" spans="1:19" ht="13.5" thickTop="1">
      <c r="A38" s="5" t="s">
        <v>95</v>
      </c>
      <c r="B38" s="24"/>
      <c r="C38" s="6"/>
      <c r="D38" s="6"/>
      <c r="E38" s="6"/>
      <c r="F38" s="6"/>
      <c r="G38" s="6"/>
      <c r="H38" s="6"/>
      <c r="I38" s="68"/>
      <c r="J38" s="7"/>
      <c r="L38" s="42" t="s">
        <v>48</v>
      </c>
      <c r="M38" s="43"/>
      <c r="N38" s="43" t="s">
        <v>49</v>
      </c>
      <c r="O38" s="34"/>
      <c r="P38" s="43"/>
      <c r="Q38" s="44"/>
      <c r="R38" s="45" t="s">
        <v>50</v>
      </c>
      <c r="S38" s="47"/>
    </row>
    <row r="39" spans="1:19" ht="13.5" customHeight="1">
      <c r="A39" s="80" t="s">
        <v>141</v>
      </c>
      <c r="B39" s="24">
        <v>2500</v>
      </c>
      <c r="C39" s="6" t="s">
        <v>96</v>
      </c>
      <c r="D39" s="6"/>
      <c r="E39" s="6"/>
      <c r="F39" s="6"/>
      <c r="G39" s="6"/>
      <c r="H39" s="6"/>
      <c r="I39" s="68"/>
      <c r="J39" s="7"/>
      <c r="L39" s="5"/>
      <c r="M39" s="6"/>
      <c r="N39" s="6" t="s">
        <v>115</v>
      </c>
      <c r="O39" s="64"/>
      <c r="P39" s="6"/>
      <c r="Q39" s="14"/>
      <c r="R39" s="24" t="s">
        <v>51</v>
      </c>
      <c r="S39" s="7" t="s">
        <v>52</v>
      </c>
    </row>
    <row r="40" spans="1:19" ht="14.25" customHeight="1">
      <c r="A40" s="80" t="s">
        <v>97</v>
      </c>
      <c r="B40" s="24">
        <v>549.64</v>
      </c>
      <c r="C40" s="6" t="s">
        <v>98</v>
      </c>
      <c r="D40" s="6" t="s">
        <v>99</v>
      </c>
      <c r="E40" s="6"/>
      <c r="F40" s="6"/>
      <c r="G40" s="6"/>
      <c r="H40" s="6"/>
      <c r="I40" s="68"/>
      <c r="J40" s="7"/>
      <c r="L40" s="5"/>
      <c r="M40" s="6"/>
      <c r="N40" s="6" t="s">
        <v>53</v>
      </c>
      <c r="O40" s="64"/>
      <c r="P40" s="6"/>
      <c r="Q40" s="14"/>
      <c r="R40" s="24"/>
      <c r="S40" s="7"/>
    </row>
    <row r="41" spans="1:19" ht="13.5" thickBot="1">
      <c r="A41" s="80" t="s">
        <v>134</v>
      </c>
      <c r="B41" s="24">
        <v>500</v>
      </c>
      <c r="C41" s="6" t="s">
        <v>98</v>
      </c>
      <c r="D41" s="6" t="s">
        <v>100</v>
      </c>
      <c r="E41" s="6"/>
      <c r="F41" s="6"/>
      <c r="G41" s="6"/>
      <c r="H41" s="6"/>
      <c r="I41" s="68"/>
      <c r="J41" s="7"/>
      <c r="L41" s="8" t="s">
        <v>54</v>
      </c>
      <c r="M41" s="9"/>
      <c r="N41" s="55" t="s">
        <v>55</v>
      </c>
      <c r="O41" s="9"/>
      <c r="P41" s="69"/>
      <c r="Q41" s="81" t="s">
        <v>56</v>
      </c>
      <c r="R41" s="25"/>
      <c r="S41" s="57"/>
    </row>
    <row r="42" spans="1:10" ht="13.5" thickTop="1">
      <c r="A42" s="80" t="s">
        <v>101</v>
      </c>
      <c r="B42" s="24">
        <v>684</v>
      </c>
      <c r="C42" s="6" t="s">
        <v>88</v>
      </c>
      <c r="D42" s="6"/>
      <c r="E42" s="6"/>
      <c r="F42" s="6"/>
      <c r="G42" s="6"/>
      <c r="H42" s="6"/>
      <c r="I42" s="68"/>
      <c r="J42" s="7"/>
    </row>
    <row r="43" spans="1:10" ht="12.75">
      <c r="A43" s="80" t="s">
        <v>102</v>
      </c>
      <c r="B43" s="24">
        <v>2736</v>
      </c>
      <c r="C43" s="6" t="s">
        <v>88</v>
      </c>
      <c r="D43" s="6"/>
      <c r="E43" s="6"/>
      <c r="F43" s="6"/>
      <c r="G43" s="6"/>
      <c r="H43" s="6"/>
      <c r="I43" s="68"/>
      <c r="J43" s="7"/>
    </row>
    <row r="44" spans="1:10" ht="12.75">
      <c r="A44" s="80" t="s">
        <v>103</v>
      </c>
      <c r="B44" s="24">
        <v>4160</v>
      </c>
      <c r="C44" s="6" t="s">
        <v>98</v>
      </c>
      <c r="D44" s="6" t="s">
        <v>104</v>
      </c>
      <c r="E44" s="6"/>
      <c r="F44" s="6"/>
      <c r="G44" s="6"/>
      <c r="H44" s="6"/>
      <c r="I44" s="68"/>
      <c r="J44" s="7"/>
    </row>
    <row r="45" spans="1:10" ht="12.75">
      <c r="A45" s="80" t="s">
        <v>135</v>
      </c>
      <c r="B45" s="24">
        <v>407.4</v>
      </c>
      <c r="C45" s="6" t="s">
        <v>98</v>
      </c>
      <c r="D45" s="6" t="s">
        <v>104</v>
      </c>
      <c r="E45" s="6"/>
      <c r="F45" s="6"/>
      <c r="G45" s="6"/>
      <c r="H45" s="6"/>
      <c r="I45" s="68"/>
      <c r="J45" s="7"/>
    </row>
    <row r="46" spans="1:10" ht="12.75">
      <c r="A46" s="80" t="s">
        <v>136</v>
      </c>
      <c r="B46" s="24">
        <v>407.4</v>
      </c>
      <c r="C46" s="6" t="s">
        <v>98</v>
      </c>
      <c r="D46" s="6" t="s">
        <v>104</v>
      </c>
      <c r="E46" s="6"/>
      <c r="F46" s="6"/>
      <c r="G46" s="6"/>
      <c r="H46" s="6"/>
      <c r="I46" s="68"/>
      <c r="J46" s="7"/>
    </row>
    <row r="47" spans="1:10" ht="12.75">
      <c r="A47" s="80" t="s">
        <v>105</v>
      </c>
      <c r="B47" s="24">
        <v>10.21</v>
      </c>
      <c r="C47" s="6"/>
      <c r="D47" s="6"/>
      <c r="E47" s="6"/>
      <c r="F47" s="6"/>
      <c r="G47" s="6"/>
      <c r="H47" s="6"/>
      <c r="I47" s="68"/>
      <c r="J47" s="7"/>
    </row>
    <row r="48" spans="1:10" ht="12.75">
      <c r="A48" s="80" t="s">
        <v>89</v>
      </c>
      <c r="B48" s="24">
        <v>1.2</v>
      </c>
      <c r="C48" s="6" t="s">
        <v>106</v>
      </c>
      <c r="D48" s="6"/>
      <c r="E48" s="6"/>
      <c r="F48" s="6"/>
      <c r="G48" s="6"/>
      <c r="H48" s="6"/>
      <c r="I48" s="68"/>
      <c r="J48" s="7"/>
    </row>
    <row r="49" spans="1:10" ht="12.75" customHeight="1">
      <c r="A49" s="90" t="s">
        <v>107</v>
      </c>
      <c r="B49" s="91"/>
      <c r="C49" s="91"/>
      <c r="D49" s="91"/>
      <c r="E49" s="91"/>
      <c r="F49" s="91"/>
      <c r="G49" s="91"/>
      <c r="H49" s="91"/>
      <c r="I49" s="91"/>
      <c r="J49" s="92"/>
    </row>
    <row r="50" spans="1:10" ht="12.75" hidden="1">
      <c r="A50" s="93"/>
      <c r="B50" s="94"/>
      <c r="C50" s="94"/>
      <c r="D50" s="94"/>
      <c r="E50" s="94"/>
      <c r="F50" s="94"/>
      <c r="G50" s="94"/>
      <c r="H50" s="94"/>
      <c r="I50" s="94"/>
      <c r="J50" s="95"/>
    </row>
    <row r="51" spans="1:10" ht="12.75">
      <c r="A51" s="80" t="s">
        <v>108</v>
      </c>
      <c r="B51" s="24">
        <v>29.2</v>
      </c>
      <c r="C51" s="6" t="s">
        <v>109</v>
      </c>
      <c r="D51" s="6" t="s">
        <v>110</v>
      </c>
      <c r="E51" s="6"/>
      <c r="F51" s="6"/>
      <c r="G51" s="6"/>
      <c r="H51" s="6"/>
      <c r="I51" s="68"/>
      <c r="J51" s="7"/>
    </row>
    <row r="52" spans="1:10" ht="12.75">
      <c r="A52" s="80" t="s">
        <v>111</v>
      </c>
      <c r="B52" s="24">
        <f>B51*2*3^0.5</f>
        <v>101.15176716202242</v>
      </c>
      <c r="C52" s="6" t="s">
        <v>109</v>
      </c>
      <c r="D52" s="6"/>
      <c r="E52" s="6"/>
      <c r="F52" s="6"/>
      <c r="G52" s="6"/>
      <c r="H52" s="6"/>
      <c r="I52" s="68"/>
      <c r="J52" s="7"/>
    </row>
    <row r="53" spans="1:10" ht="12.75">
      <c r="A53" s="80" t="s">
        <v>137</v>
      </c>
      <c r="B53" s="24">
        <v>513</v>
      </c>
      <c r="C53" s="6" t="s">
        <v>109</v>
      </c>
      <c r="D53" s="6"/>
      <c r="E53" s="6"/>
      <c r="F53" s="6"/>
      <c r="G53" s="6"/>
      <c r="H53" s="6"/>
      <c r="I53" s="68"/>
      <c r="J53" s="7"/>
    </row>
    <row r="54" spans="1:10" ht="12.75">
      <c r="A54" s="80" t="s">
        <v>138</v>
      </c>
      <c r="B54" s="24">
        <v>513</v>
      </c>
      <c r="C54" s="6" t="s">
        <v>109</v>
      </c>
      <c r="D54" s="6"/>
      <c r="E54" s="6"/>
      <c r="F54" s="6"/>
      <c r="G54" s="6"/>
      <c r="H54" s="6"/>
      <c r="I54" s="68"/>
      <c r="J54" s="7"/>
    </row>
    <row r="55" spans="1:10" ht="12.75" customHeight="1">
      <c r="A55" s="80" t="s">
        <v>127</v>
      </c>
      <c r="B55" s="24">
        <v>331.53</v>
      </c>
      <c r="C55" s="6" t="s">
        <v>112</v>
      </c>
      <c r="D55" s="6" t="s">
        <v>113</v>
      </c>
      <c r="E55" s="6"/>
      <c r="F55" s="6"/>
      <c r="G55" s="6"/>
      <c r="H55" s="6"/>
      <c r="I55" s="68"/>
      <c r="J55" s="7"/>
    </row>
    <row r="56" spans="1:10" ht="13.5" customHeight="1">
      <c r="A56" s="80" t="s">
        <v>128</v>
      </c>
      <c r="B56" s="24">
        <v>369.5</v>
      </c>
      <c r="C56" s="6" t="s">
        <v>112</v>
      </c>
      <c r="D56" s="6" t="s">
        <v>113</v>
      </c>
      <c r="E56" s="6"/>
      <c r="F56" s="6"/>
      <c r="G56" s="6"/>
      <c r="H56" s="6"/>
      <c r="I56" s="68"/>
      <c r="J56" s="7"/>
    </row>
    <row r="57" spans="1:10" ht="14.25" customHeight="1">
      <c r="A57" s="80" t="s">
        <v>129</v>
      </c>
      <c r="B57" s="24">
        <f>B55*B56/(B55+B56)</f>
        <v>174.74335620444202</v>
      </c>
      <c r="C57" s="6" t="s">
        <v>112</v>
      </c>
      <c r="D57" s="6" t="s">
        <v>113</v>
      </c>
      <c r="E57" s="6"/>
      <c r="F57" s="6"/>
      <c r="G57" s="6"/>
      <c r="H57" s="6"/>
      <c r="I57" s="68"/>
      <c r="J57" s="7"/>
    </row>
    <row r="58" spans="1:10" ht="12.75">
      <c r="A58" s="80" t="s">
        <v>139</v>
      </c>
      <c r="B58" s="24">
        <v>2.74</v>
      </c>
      <c r="C58" s="6" t="s">
        <v>112</v>
      </c>
      <c r="D58" s="6" t="s">
        <v>113</v>
      </c>
      <c r="E58" s="6"/>
      <c r="F58" s="6"/>
      <c r="G58" s="6"/>
      <c r="H58" s="6"/>
      <c r="I58" s="68"/>
      <c r="J58" s="7"/>
    </row>
    <row r="59" spans="1:10" ht="12.75">
      <c r="A59" s="80" t="s">
        <v>140</v>
      </c>
      <c r="B59" s="24">
        <v>0.95</v>
      </c>
      <c r="C59" s="6" t="s">
        <v>112</v>
      </c>
      <c r="D59" s="6" t="s">
        <v>113</v>
      </c>
      <c r="E59" s="6"/>
      <c r="F59" s="6"/>
      <c r="G59" s="6"/>
      <c r="H59" s="6"/>
      <c r="I59" s="68"/>
      <c r="J59" s="7"/>
    </row>
    <row r="60" spans="1:10" ht="12.75">
      <c r="A60" s="5" t="s">
        <v>114</v>
      </c>
      <c r="B60" s="24"/>
      <c r="C60" s="6"/>
      <c r="D60" s="6"/>
      <c r="E60" s="6"/>
      <c r="F60" s="6"/>
      <c r="G60" s="6"/>
      <c r="H60" s="6"/>
      <c r="I60" s="68"/>
      <c r="J60" s="7"/>
    </row>
    <row r="61" spans="1:10" ht="13.5" thickBot="1">
      <c r="A61" s="8" t="s">
        <v>130</v>
      </c>
      <c r="B61" s="25"/>
      <c r="C61" s="9"/>
      <c r="D61" s="9"/>
      <c r="E61" s="9"/>
      <c r="F61" s="9"/>
      <c r="G61" s="9"/>
      <c r="H61" s="9"/>
      <c r="I61" s="69"/>
      <c r="J61" s="57"/>
    </row>
    <row r="62" ht="13.5" thickTop="1"/>
  </sheetData>
  <mergeCells count="91">
    <mergeCell ref="F32:F33"/>
    <mergeCell ref="G32:G33"/>
    <mergeCell ref="H28:H29"/>
    <mergeCell ref="H30:H31"/>
    <mergeCell ref="A30:A31"/>
    <mergeCell ref="J28:J29"/>
    <mergeCell ref="A28:A29"/>
    <mergeCell ref="J30:J31"/>
    <mergeCell ref="H20:H21"/>
    <mergeCell ref="H22:H23"/>
    <mergeCell ref="H24:H25"/>
    <mergeCell ref="H26:H27"/>
    <mergeCell ref="A20:A21"/>
    <mergeCell ref="A22:A23"/>
    <mergeCell ref="A24:A25"/>
    <mergeCell ref="A26:A27"/>
    <mergeCell ref="N20:N23"/>
    <mergeCell ref="P20:P23"/>
    <mergeCell ref="F28:F29"/>
    <mergeCell ref="F30:F31"/>
    <mergeCell ref="G28:G29"/>
    <mergeCell ref="G30:G31"/>
    <mergeCell ref="F20:F21"/>
    <mergeCell ref="F22:F23"/>
    <mergeCell ref="G20:G21"/>
    <mergeCell ref="G22:G23"/>
    <mergeCell ref="K24:K25"/>
    <mergeCell ref="L24:L25"/>
    <mergeCell ref="M24:M25"/>
    <mergeCell ref="O24:O25"/>
    <mergeCell ref="K30:K31"/>
    <mergeCell ref="L30:L31"/>
    <mergeCell ref="M30:M31"/>
    <mergeCell ref="O30:O31"/>
    <mergeCell ref="Q30:Q31"/>
    <mergeCell ref="O20:O22"/>
    <mergeCell ref="R20:R23"/>
    <mergeCell ref="R28:R29"/>
    <mergeCell ref="R30:R31"/>
    <mergeCell ref="P28:P29"/>
    <mergeCell ref="Q28:Q29"/>
    <mergeCell ref="P30:P31"/>
    <mergeCell ref="O26:O27"/>
    <mergeCell ref="Q20:Q23"/>
    <mergeCell ref="N24:N27"/>
    <mergeCell ref="Q24:Q27"/>
    <mergeCell ref="R24:R27"/>
    <mergeCell ref="S24:S27"/>
    <mergeCell ref="P24:P27"/>
    <mergeCell ref="H32:H33"/>
    <mergeCell ref="J32:J33"/>
    <mergeCell ref="A15:A16"/>
    <mergeCell ref="A32:A33"/>
    <mergeCell ref="J24:J27"/>
    <mergeCell ref="J20:J23"/>
    <mergeCell ref="G24:G25"/>
    <mergeCell ref="G26:G27"/>
    <mergeCell ref="F24:F25"/>
    <mergeCell ref="F26:F27"/>
    <mergeCell ref="U32:U33"/>
    <mergeCell ref="O28:O29"/>
    <mergeCell ref="N28:N29"/>
    <mergeCell ref="N30:N31"/>
    <mergeCell ref="T30:T31"/>
    <mergeCell ref="S32:S33"/>
    <mergeCell ref="R32:R33"/>
    <mergeCell ref="Q32:Q33"/>
    <mergeCell ref="P32:P33"/>
    <mergeCell ref="O32:O33"/>
    <mergeCell ref="L28:L29"/>
    <mergeCell ref="K28:K29"/>
    <mergeCell ref="M26:M27"/>
    <mergeCell ref="L26:L27"/>
    <mergeCell ref="K26:K27"/>
    <mergeCell ref="T32:T33"/>
    <mergeCell ref="S28:S29"/>
    <mergeCell ref="S20:S23"/>
    <mergeCell ref="S30:S31"/>
    <mergeCell ref="T24:T27"/>
    <mergeCell ref="T28:T29"/>
    <mergeCell ref="T20:T23"/>
    <mergeCell ref="I18:I35"/>
    <mergeCell ref="A49:J50"/>
    <mergeCell ref="N32:N33"/>
    <mergeCell ref="M32:M33"/>
    <mergeCell ref="L32:L33"/>
    <mergeCell ref="K32:K33"/>
    <mergeCell ref="M20:M23"/>
    <mergeCell ref="L20:L23"/>
    <mergeCell ref="K20:K23"/>
    <mergeCell ref="M28:M29"/>
  </mergeCells>
  <printOptions/>
  <pageMargins left="0.75" right="0.75" top="1" bottom="1" header="0.5" footer="0.5"/>
  <pageSetup horizontalDpi="600" verticalDpi="600" orientation="landscape" paperSize="137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Raki Ramakrishnan</dc:creator>
  <cp:keywords/>
  <dc:description/>
  <cp:lastModifiedBy>reiersen</cp:lastModifiedBy>
  <cp:lastPrinted>2006-01-11T16:28:42Z</cp:lastPrinted>
  <dcterms:created xsi:type="dcterms:W3CDTF">2005-06-14T12:52:54Z</dcterms:created>
  <dcterms:modified xsi:type="dcterms:W3CDTF">2006-01-11T21:03:59Z</dcterms:modified>
  <cp:category/>
  <cp:version/>
  <cp:contentType/>
  <cp:contentStatus/>
</cp:coreProperties>
</file>