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PrintThis" sheetId="1" r:id="rId1"/>
    <sheet name="Summary" sheetId="2" r:id="rId2"/>
  </sheets>
  <definedNames>
    <definedName name="dpy">'Summary'!$A$27</definedName>
    <definedName name="hpy">'Summary'!$A$25</definedName>
    <definedName name="_xlnm.Print_Area" localSheetId="0">'PrintThis'!$A$1:$W$22</definedName>
    <definedName name="wpy">'Summary'!$A$26</definedName>
  </definedNames>
  <calcPr fullCalcOnLoad="1"/>
</workbook>
</file>

<file path=xl/sharedStrings.xml><?xml version="1.0" encoding="utf-8"?>
<sst xmlns="http://schemas.openxmlformats.org/spreadsheetml/2006/main" count="106" uniqueCount="62">
  <si>
    <t>Johnson</t>
  </si>
  <si>
    <t>Kugel</t>
  </si>
  <si>
    <t>Majeski</t>
  </si>
  <si>
    <t>Neumeyer</t>
  </si>
  <si>
    <t>Ramakrishnan</t>
  </si>
  <si>
    <t>Brooks</t>
  </si>
  <si>
    <t>Brown</t>
  </si>
  <si>
    <t>Chrzanowski</t>
  </si>
  <si>
    <t>Dahlgren</t>
  </si>
  <si>
    <t>Fan</t>
  </si>
  <si>
    <t>Heitzenroeder</t>
  </si>
  <si>
    <t>Jun</t>
  </si>
  <si>
    <t>Reiersen</t>
  </si>
  <si>
    <t>Dudek</t>
  </si>
  <si>
    <t>Oliaro</t>
  </si>
  <si>
    <t>WBS</t>
  </si>
  <si>
    <t>Designers (mechanical)</t>
  </si>
  <si>
    <t>Designers (electrical)</t>
  </si>
  <si>
    <t>Blanchard</t>
  </si>
  <si>
    <t>Fueling</t>
  </si>
  <si>
    <t>Vacuum pumping</t>
  </si>
  <si>
    <t>Wall conditioning</t>
  </si>
  <si>
    <t>RF heating</t>
  </si>
  <si>
    <t>Neutral beams</t>
  </si>
  <si>
    <t>Diagnostics</t>
  </si>
  <si>
    <t>PPPL Engineering and Scientific Staff</t>
  </si>
  <si>
    <t>Electrical Power</t>
  </si>
  <si>
    <t>Central I&amp;C</t>
  </si>
  <si>
    <t>Facility mods and test cell prep</t>
  </si>
  <si>
    <t>Heating and cooling</t>
  </si>
  <si>
    <t>LN2 systems</t>
  </si>
  <si>
    <t>Utility systems</t>
  </si>
  <si>
    <t>Machine assembly</t>
  </si>
  <si>
    <t>Project engineering</t>
  </si>
  <si>
    <t>Prep for ops</t>
  </si>
  <si>
    <t>WBS managers</t>
  </si>
  <si>
    <t>Nelson</t>
  </si>
  <si>
    <t>Cole</t>
  </si>
  <si>
    <t>Fogarty</t>
  </si>
  <si>
    <t>Goranson</t>
  </si>
  <si>
    <t>Jones</t>
  </si>
  <si>
    <t>Williamson</t>
  </si>
  <si>
    <t>Hours per year (hpy)</t>
  </si>
  <si>
    <t>Weeks per year (wpy)</t>
  </si>
  <si>
    <t>Other</t>
  </si>
  <si>
    <t>Unspecified</t>
  </si>
  <si>
    <t>Stellarator core systems</t>
  </si>
  <si>
    <t>PPPL total</t>
  </si>
  <si>
    <t>ORNL total</t>
  </si>
  <si>
    <t xml:space="preserve">Grand total  </t>
  </si>
  <si>
    <t>person-weeks</t>
  </si>
  <si>
    <t>FTE</t>
  </si>
  <si>
    <t>Avg rate (dpy)</t>
  </si>
  <si>
    <t>Georgiyevsky</t>
  </si>
  <si>
    <t>Industrial contracts for manufacturing studies</t>
  </si>
  <si>
    <t>FY01 Actuals</t>
  </si>
  <si>
    <t>FY02 FTE</t>
  </si>
  <si>
    <t>Klink/Gettelfinger</t>
  </si>
  <si>
    <t>FY02 Adv Projects Budget</t>
  </si>
  <si>
    <t>FY02 Proposed Engineering Budget</t>
  </si>
  <si>
    <t>PPPL Engineering and Scientific Staff (person-weeks)</t>
  </si>
  <si>
    <t>ORNL Engineering (person-weeks)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</si>
</sst>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\K_);\(&quot;$&quot;#,##0.0\K\)"/>
    <numFmt numFmtId="166" formatCode="0.0"/>
    <numFmt numFmtId="167" formatCode="&quot;$&quot;#,##0"/>
    <numFmt numFmtId="168" formatCode="0.0000000"/>
    <numFmt numFmtId="169" formatCode="0.000000"/>
    <numFmt numFmtId="170" formatCode="0.00000"/>
    <numFmt numFmtId="171" formatCode="0.0000"/>
  </numFmts>
  <fonts count="5">
    <font>
      <sz val="10"/>
      <name val="Arial"/>
      <family val="0"/>
    </font>
    <font>
      <sz val="9"/>
      <color indexed="8"/>
      <name val="Geneva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dashed"/>
      <right>
        <color indexed="63"/>
      </right>
      <top style="thick"/>
      <bottom>
        <color indexed="63"/>
      </bottom>
    </border>
    <border>
      <left style="thick"/>
      <right style="dashed"/>
      <top style="thick"/>
      <bottom style="thick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ck"/>
    </border>
    <border>
      <left style="dashed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 textRotation="90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8" xfId="0" applyNumberFormat="1" applyBorder="1" applyAlignment="1">
      <alignment horizontal="right"/>
    </xf>
    <xf numFmtId="0" fontId="0" fillId="0" borderId="12" xfId="0" applyBorder="1" applyAlignment="1">
      <alignment textRotation="90"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166" fontId="0" fillId="2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22" xfId="0" applyNumberFormat="1" applyBorder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6" fontId="0" fillId="0" borderId="23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9" fontId="2" fillId="0" borderId="0" xfId="19" applyFont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24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25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1" xfId="0" applyFill="1" applyBorder="1" applyAlignment="1">
      <alignment horizontal="right"/>
    </xf>
    <xf numFmtId="9" fontId="0" fillId="0" borderId="0" xfId="19" applyBorder="1" applyAlignment="1">
      <alignment/>
    </xf>
    <xf numFmtId="9" fontId="0" fillId="0" borderId="0" xfId="19" applyAlignment="1">
      <alignment/>
    </xf>
    <xf numFmtId="166" fontId="0" fillId="3" borderId="6" xfId="0" applyNumberForma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W1" sqref="W1:W20"/>
    </sheetView>
  </sheetViews>
  <sheetFormatPr defaultColWidth="9.140625" defaultRowHeight="12.75"/>
  <cols>
    <col min="1" max="1" width="3.00390625" style="0" bestFit="1" customWidth="1"/>
    <col min="2" max="2" width="31.28125" style="0" bestFit="1" customWidth="1"/>
    <col min="3" max="22" width="4.8515625" style="0" customWidth="1"/>
    <col min="23" max="23" width="6.140625" style="0" bestFit="1" customWidth="1"/>
  </cols>
  <sheetData>
    <row r="1" spans="1:23" ht="16.5" thickBot="1" thickTop="1">
      <c r="A1" s="28"/>
      <c r="B1" s="29" t="s">
        <v>35</v>
      </c>
      <c r="C1" s="11" t="s">
        <v>60</v>
      </c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75"/>
    </row>
    <row r="2" spans="1:23" ht="110.25" thickBot="1" thickTop="1">
      <c r="A2" s="14"/>
      <c r="B2" s="15" t="s">
        <v>15</v>
      </c>
      <c r="C2" s="6" t="s">
        <v>7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4</v>
      </c>
      <c r="I2" s="7" t="s">
        <v>12</v>
      </c>
      <c r="J2" s="34" t="s">
        <v>18</v>
      </c>
      <c r="K2" s="7" t="s">
        <v>5</v>
      </c>
      <c r="L2" s="7" t="s">
        <v>6</v>
      </c>
      <c r="M2" s="7" t="s">
        <v>8</v>
      </c>
      <c r="N2" s="7" t="s">
        <v>16</v>
      </c>
      <c r="O2" s="7" t="s">
        <v>17</v>
      </c>
      <c r="P2" s="7" t="s">
        <v>9</v>
      </c>
      <c r="Q2" s="7" t="s">
        <v>57</v>
      </c>
      <c r="R2" s="7" t="s">
        <v>10</v>
      </c>
      <c r="S2" s="7" t="s">
        <v>11</v>
      </c>
      <c r="T2" s="7" t="s">
        <v>2</v>
      </c>
      <c r="U2" s="7" t="s">
        <v>3</v>
      </c>
      <c r="V2" s="7" t="s">
        <v>44</v>
      </c>
      <c r="W2" s="31" t="s">
        <v>47</v>
      </c>
    </row>
    <row r="3" spans="1:23" ht="13.5" thickTop="1">
      <c r="A3" s="30">
        <v>1</v>
      </c>
      <c r="B3" s="25" t="s">
        <v>46</v>
      </c>
      <c r="C3" s="55">
        <v>2</v>
      </c>
      <c r="D3" s="56"/>
      <c r="E3" s="56"/>
      <c r="F3" s="56"/>
      <c r="G3" s="56"/>
      <c r="H3" s="56"/>
      <c r="I3" s="56"/>
      <c r="J3" s="57"/>
      <c r="K3" s="56"/>
      <c r="L3" s="56">
        <v>8</v>
      </c>
      <c r="M3" s="56">
        <v>8</v>
      </c>
      <c r="N3" s="56">
        <v>4</v>
      </c>
      <c r="O3" s="56"/>
      <c r="P3" s="56">
        <v>20</v>
      </c>
      <c r="Q3" s="56"/>
      <c r="R3" s="56">
        <v>2</v>
      </c>
      <c r="S3" s="56"/>
      <c r="T3" s="56"/>
      <c r="U3" s="56"/>
      <c r="V3" s="56"/>
      <c r="W3" s="32">
        <f aca="true" t="shared" si="0" ref="W3:W19">SUM(C3:V3)</f>
        <v>44</v>
      </c>
    </row>
    <row r="4" spans="1:23" ht="12.75">
      <c r="A4" s="26">
        <v>21</v>
      </c>
      <c r="B4" s="5" t="s">
        <v>19</v>
      </c>
      <c r="C4" s="58"/>
      <c r="D4" s="59"/>
      <c r="E4" s="59"/>
      <c r="F4" s="60">
        <v>1</v>
      </c>
      <c r="G4" s="59"/>
      <c r="H4" s="59"/>
      <c r="I4" s="59"/>
      <c r="J4" s="61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43">
        <f t="shared" si="0"/>
        <v>1</v>
      </c>
    </row>
    <row r="5" spans="1:23" ht="12.75">
      <c r="A5" s="26">
        <v>22</v>
      </c>
      <c r="B5" s="5" t="s">
        <v>20</v>
      </c>
      <c r="C5" s="58"/>
      <c r="D5" s="59"/>
      <c r="E5" s="59"/>
      <c r="F5" s="60">
        <v>1</v>
      </c>
      <c r="G5" s="59"/>
      <c r="H5" s="59"/>
      <c r="I5" s="59"/>
      <c r="J5" s="61">
        <v>2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43">
        <f t="shared" si="0"/>
        <v>3</v>
      </c>
    </row>
    <row r="6" spans="1:23" ht="12.75">
      <c r="A6" s="26">
        <v>23</v>
      </c>
      <c r="B6" s="5" t="s">
        <v>21</v>
      </c>
      <c r="C6" s="58"/>
      <c r="D6" s="59"/>
      <c r="E6" s="59"/>
      <c r="F6" s="60">
        <v>1</v>
      </c>
      <c r="G6" s="59"/>
      <c r="H6" s="59"/>
      <c r="I6" s="59"/>
      <c r="J6" s="61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43">
        <f t="shared" si="0"/>
        <v>1</v>
      </c>
    </row>
    <row r="7" spans="1:23" ht="12.75">
      <c r="A7" s="26">
        <v>24</v>
      </c>
      <c r="B7" s="5" t="s">
        <v>22</v>
      </c>
      <c r="C7" s="58"/>
      <c r="D7" s="59"/>
      <c r="E7" s="59"/>
      <c r="F7" s="60">
        <v>1</v>
      </c>
      <c r="G7" s="59"/>
      <c r="H7" s="59"/>
      <c r="I7" s="59"/>
      <c r="J7" s="61"/>
      <c r="K7" s="59"/>
      <c r="L7" s="59"/>
      <c r="M7" s="59"/>
      <c r="N7" s="59"/>
      <c r="O7" s="59"/>
      <c r="P7" s="59"/>
      <c r="Q7" s="59"/>
      <c r="R7" s="59"/>
      <c r="S7" s="59"/>
      <c r="T7" s="59">
        <v>3</v>
      </c>
      <c r="U7" s="59"/>
      <c r="V7" s="59">
        <v>1</v>
      </c>
      <c r="W7" s="43">
        <f t="shared" si="0"/>
        <v>5</v>
      </c>
    </row>
    <row r="8" spans="1:23" ht="12.75">
      <c r="A8" s="26">
        <v>25</v>
      </c>
      <c r="B8" s="5" t="s">
        <v>23</v>
      </c>
      <c r="C8" s="58"/>
      <c r="D8" s="59"/>
      <c r="E8" s="59"/>
      <c r="F8" s="60">
        <v>4</v>
      </c>
      <c r="G8" s="59"/>
      <c r="H8" s="59"/>
      <c r="I8" s="59"/>
      <c r="J8" s="61"/>
      <c r="K8" s="59"/>
      <c r="L8" s="59"/>
      <c r="M8" s="59"/>
      <c r="N8" s="59">
        <v>2</v>
      </c>
      <c r="O8" s="59"/>
      <c r="P8" s="59"/>
      <c r="Q8" s="59"/>
      <c r="R8" s="59"/>
      <c r="S8" s="59"/>
      <c r="T8" s="59"/>
      <c r="U8" s="59"/>
      <c r="V8" s="59">
        <v>2</v>
      </c>
      <c r="W8" s="43">
        <f t="shared" si="0"/>
        <v>8</v>
      </c>
    </row>
    <row r="9" spans="1:23" ht="12.75">
      <c r="A9" s="26">
        <v>3</v>
      </c>
      <c r="B9" s="5" t="s">
        <v>24</v>
      </c>
      <c r="C9" s="58"/>
      <c r="D9" s="59"/>
      <c r="E9" s="60">
        <v>9</v>
      </c>
      <c r="F9" s="59"/>
      <c r="G9" s="59"/>
      <c r="H9" s="59"/>
      <c r="I9" s="59"/>
      <c r="J9" s="6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43">
        <f t="shared" si="0"/>
        <v>9</v>
      </c>
    </row>
    <row r="10" spans="1:23" ht="12.75">
      <c r="A10" s="26">
        <v>4</v>
      </c>
      <c r="B10" s="5" t="s">
        <v>26</v>
      </c>
      <c r="C10" s="58"/>
      <c r="D10" s="59"/>
      <c r="E10" s="59"/>
      <c r="F10" s="59"/>
      <c r="G10" s="59"/>
      <c r="H10" s="60">
        <v>6</v>
      </c>
      <c r="I10" s="59"/>
      <c r="J10" s="61"/>
      <c r="K10" s="59"/>
      <c r="L10" s="59"/>
      <c r="M10" s="59"/>
      <c r="N10" s="59"/>
      <c r="O10" s="59">
        <v>4</v>
      </c>
      <c r="P10" s="59"/>
      <c r="Q10" s="59"/>
      <c r="R10" s="59"/>
      <c r="S10" s="59"/>
      <c r="T10" s="59"/>
      <c r="U10" s="59"/>
      <c r="V10" s="59">
        <v>2</v>
      </c>
      <c r="W10" s="43">
        <f t="shared" si="0"/>
        <v>12</v>
      </c>
    </row>
    <row r="11" spans="1:23" ht="12.75">
      <c r="A11" s="26">
        <v>5</v>
      </c>
      <c r="B11" s="5" t="s">
        <v>27</v>
      </c>
      <c r="C11" s="58"/>
      <c r="D11" s="59"/>
      <c r="E11" s="59"/>
      <c r="F11" s="59"/>
      <c r="G11" s="60">
        <v>2.5</v>
      </c>
      <c r="H11" s="59"/>
      <c r="I11" s="59"/>
      <c r="J11" s="61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43">
        <f t="shared" si="0"/>
        <v>2.5</v>
      </c>
    </row>
    <row r="12" spans="1:23" ht="12.75">
      <c r="A12" s="26">
        <v>61</v>
      </c>
      <c r="B12" s="5" t="s">
        <v>28</v>
      </c>
      <c r="C12" s="62">
        <v>2</v>
      </c>
      <c r="D12" s="59"/>
      <c r="E12" s="59"/>
      <c r="F12" s="59"/>
      <c r="G12" s="59"/>
      <c r="H12" s="59"/>
      <c r="I12" s="59"/>
      <c r="J12" s="61"/>
      <c r="K12" s="59"/>
      <c r="L12" s="59"/>
      <c r="M12" s="59"/>
      <c r="N12" s="59">
        <v>2</v>
      </c>
      <c r="O12" s="59"/>
      <c r="P12" s="59"/>
      <c r="Q12" s="59"/>
      <c r="R12" s="59"/>
      <c r="S12" s="59"/>
      <c r="T12" s="59"/>
      <c r="U12" s="59"/>
      <c r="V12" s="59"/>
      <c r="W12" s="43">
        <f t="shared" si="0"/>
        <v>4</v>
      </c>
    </row>
    <row r="13" spans="1:23" ht="12.75">
      <c r="A13" s="26">
        <v>62</v>
      </c>
      <c r="B13" s="5" t="s">
        <v>29</v>
      </c>
      <c r="C13" s="58"/>
      <c r="D13" s="60">
        <v>2</v>
      </c>
      <c r="E13" s="59"/>
      <c r="F13" s="59"/>
      <c r="G13" s="59"/>
      <c r="H13" s="59"/>
      <c r="I13" s="59"/>
      <c r="J13" s="61"/>
      <c r="K13" s="59"/>
      <c r="L13" s="59"/>
      <c r="M13" s="59"/>
      <c r="N13" s="59">
        <v>1</v>
      </c>
      <c r="O13" s="59"/>
      <c r="P13" s="59"/>
      <c r="Q13" s="59"/>
      <c r="R13" s="59"/>
      <c r="S13" s="59"/>
      <c r="T13" s="59"/>
      <c r="U13" s="59"/>
      <c r="V13" s="59"/>
      <c r="W13" s="43">
        <f t="shared" si="0"/>
        <v>3</v>
      </c>
    </row>
    <row r="14" spans="1:23" ht="12.75">
      <c r="A14" s="26">
        <v>63</v>
      </c>
      <c r="B14" s="5" t="s">
        <v>30</v>
      </c>
      <c r="C14" s="58"/>
      <c r="D14" s="60">
        <v>1</v>
      </c>
      <c r="E14" s="59"/>
      <c r="F14" s="59"/>
      <c r="G14" s="59"/>
      <c r="H14" s="59"/>
      <c r="I14" s="59"/>
      <c r="J14" s="61"/>
      <c r="K14" s="59"/>
      <c r="L14" s="59"/>
      <c r="M14" s="59"/>
      <c r="N14" s="59">
        <v>1</v>
      </c>
      <c r="O14" s="59"/>
      <c r="P14" s="59"/>
      <c r="Q14" s="59">
        <v>3</v>
      </c>
      <c r="R14" s="59"/>
      <c r="S14" s="59"/>
      <c r="T14" s="59"/>
      <c r="U14" s="59"/>
      <c r="V14" s="59"/>
      <c r="W14" s="43">
        <f t="shared" si="0"/>
        <v>5</v>
      </c>
    </row>
    <row r="15" spans="1:23" ht="12.75">
      <c r="A15" s="26">
        <v>64</v>
      </c>
      <c r="B15" s="5" t="s">
        <v>31</v>
      </c>
      <c r="C15" s="58"/>
      <c r="D15" s="60">
        <v>1</v>
      </c>
      <c r="E15" s="59"/>
      <c r="F15" s="59"/>
      <c r="G15" s="59"/>
      <c r="H15" s="59"/>
      <c r="I15" s="59"/>
      <c r="J15" s="61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43">
        <f t="shared" si="0"/>
        <v>1</v>
      </c>
    </row>
    <row r="16" spans="1:23" ht="12.75">
      <c r="A16" s="26">
        <v>7</v>
      </c>
      <c r="B16" s="5" t="s">
        <v>32</v>
      </c>
      <c r="C16" s="62">
        <v>4</v>
      </c>
      <c r="D16" s="59"/>
      <c r="E16" s="59"/>
      <c r="F16" s="59"/>
      <c r="G16" s="59"/>
      <c r="H16" s="59"/>
      <c r="I16" s="59"/>
      <c r="J16" s="61"/>
      <c r="K16" s="59"/>
      <c r="L16" s="59"/>
      <c r="M16" s="59"/>
      <c r="N16" s="59">
        <v>4</v>
      </c>
      <c r="O16" s="59"/>
      <c r="P16" s="59"/>
      <c r="Q16" s="59"/>
      <c r="R16" s="59"/>
      <c r="S16" s="59"/>
      <c r="T16" s="59"/>
      <c r="U16" s="59"/>
      <c r="V16" s="59">
        <v>1</v>
      </c>
      <c r="W16" s="43">
        <f t="shared" si="0"/>
        <v>9</v>
      </c>
    </row>
    <row r="17" spans="1:23" ht="12.75">
      <c r="A17" s="26">
        <v>82</v>
      </c>
      <c r="B17" s="5" t="s">
        <v>33</v>
      </c>
      <c r="C17" s="58"/>
      <c r="D17" s="59"/>
      <c r="E17" s="59"/>
      <c r="F17" s="59"/>
      <c r="G17" s="59"/>
      <c r="H17" s="59"/>
      <c r="I17" s="60">
        <v>33</v>
      </c>
      <c r="J17" s="61"/>
      <c r="K17" s="59">
        <v>33</v>
      </c>
      <c r="L17" s="59">
        <v>4</v>
      </c>
      <c r="M17" s="59"/>
      <c r="N17" s="59"/>
      <c r="O17" s="59"/>
      <c r="P17" s="59"/>
      <c r="Q17" s="59"/>
      <c r="R17" s="59">
        <v>10</v>
      </c>
      <c r="S17" s="59">
        <v>8</v>
      </c>
      <c r="T17" s="59"/>
      <c r="U17" s="59"/>
      <c r="V17" s="59"/>
      <c r="W17" s="43">
        <f t="shared" si="0"/>
        <v>88</v>
      </c>
    </row>
    <row r="18" spans="1:23" ht="12.75">
      <c r="A18" s="26">
        <v>9</v>
      </c>
      <c r="B18" s="5" t="s">
        <v>34</v>
      </c>
      <c r="C18" s="62">
        <v>1</v>
      </c>
      <c r="D18" s="59"/>
      <c r="E18" s="59"/>
      <c r="F18" s="59"/>
      <c r="G18" s="59"/>
      <c r="H18" s="59"/>
      <c r="I18" s="63"/>
      <c r="J18" s="61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3">
        <f t="shared" si="0"/>
        <v>1</v>
      </c>
    </row>
    <row r="19" spans="1:23" ht="13.5" thickBot="1">
      <c r="A19" s="27"/>
      <c r="B19" s="9" t="s">
        <v>45</v>
      </c>
      <c r="C19" s="64"/>
      <c r="D19" s="65"/>
      <c r="E19" s="65"/>
      <c r="F19" s="65"/>
      <c r="G19" s="65"/>
      <c r="H19" s="65"/>
      <c r="I19" s="65"/>
      <c r="J19" s="66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44">
        <f t="shared" si="0"/>
        <v>0</v>
      </c>
    </row>
    <row r="20" spans="1:23" ht="14.25" thickBot="1" thickTop="1">
      <c r="A20" s="3"/>
      <c r="B20" s="69" t="s">
        <v>59</v>
      </c>
      <c r="C20" s="39">
        <f aca="true" t="shared" si="1" ref="C20:W20">SUM(C3:C19)</f>
        <v>9</v>
      </c>
      <c r="D20" s="40">
        <f t="shared" si="1"/>
        <v>4</v>
      </c>
      <c r="E20" s="72">
        <f t="shared" si="1"/>
        <v>9</v>
      </c>
      <c r="F20" s="72">
        <f t="shared" si="1"/>
        <v>8</v>
      </c>
      <c r="G20" s="40">
        <f t="shared" si="1"/>
        <v>2.5</v>
      </c>
      <c r="H20" s="40">
        <f t="shared" si="1"/>
        <v>6</v>
      </c>
      <c r="I20" s="40">
        <f t="shared" si="1"/>
        <v>33</v>
      </c>
      <c r="J20" s="41">
        <f t="shared" si="1"/>
        <v>2</v>
      </c>
      <c r="K20" s="40">
        <f t="shared" si="1"/>
        <v>33</v>
      </c>
      <c r="L20" s="40">
        <f t="shared" si="1"/>
        <v>12</v>
      </c>
      <c r="M20" s="40">
        <f t="shared" si="1"/>
        <v>8</v>
      </c>
      <c r="N20" s="40">
        <f t="shared" si="1"/>
        <v>14</v>
      </c>
      <c r="O20" s="40">
        <f t="shared" si="1"/>
        <v>4</v>
      </c>
      <c r="P20" s="40">
        <f t="shared" si="1"/>
        <v>20</v>
      </c>
      <c r="Q20" s="40">
        <f t="shared" si="1"/>
        <v>3</v>
      </c>
      <c r="R20" s="40">
        <f t="shared" si="1"/>
        <v>12</v>
      </c>
      <c r="S20" s="40">
        <f t="shared" si="1"/>
        <v>8</v>
      </c>
      <c r="T20" s="72">
        <f t="shared" si="1"/>
        <v>3</v>
      </c>
      <c r="U20" s="40">
        <f t="shared" si="1"/>
        <v>0</v>
      </c>
      <c r="V20" s="40">
        <f t="shared" si="1"/>
        <v>6</v>
      </c>
      <c r="W20" s="42">
        <f t="shared" si="1"/>
        <v>196.5</v>
      </c>
    </row>
    <row r="21" spans="1:23" ht="13.5" thickTop="1">
      <c r="A21" s="3"/>
      <c r="B21" s="3" t="s">
        <v>58</v>
      </c>
      <c r="C21" s="67">
        <f>0.09*wpy</f>
        <v>3.8834999999999997</v>
      </c>
      <c r="D21" s="67">
        <f>0.1*wpy</f>
        <v>4.315</v>
      </c>
      <c r="E21" s="73">
        <f>0.2*wpy</f>
        <v>8.63</v>
      </c>
      <c r="F21" s="73">
        <f>0.15*wpy</f>
        <v>6.472499999999999</v>
      </c>
      <c r="G21" s="67">
        <f>0.05*wpy</f>
        <v>2.1575</v>
      </c>
      <c r="H21" s="67">
        <f>0.1*wpy</f>
        <v>4.315</v>
      </c>
      <c r="I21" s="67">
        <f>0.9*wpy</f>
        <v>38.835</v>
      </c>
      <c r="J21" s="68"/>
      <c r="K21" s="67">
        <f>0.9*wpy</f>
        <v>38.835</v>
      </c>
      <c r="L21" s="67">
        <f>0.2*wpy</f>
        <v>8.63</v>
      </c>
      <c r="M21" s="67">
        <f>0.2*wpy</f>
        <v>8.63</v>
      </c>
      <c r="N21" s="67">
        <f>0.31*wpy-4</f>
        <v>9.3765</v>
      </c>
      <c r="O21" s="67">
        <v>4</v>
      </c>
      <c r="P21" s="67">
        <f>0.6*wpy</f>
        <v>25.889999999999997</v>
      </c>
      <c r="Q21" s="67"/>
      <c r="R21" s="67">
        <f>0.34*wpy</f>
        <v>14.671000000000001</v>
      </c>
      <c r="S21" s="67">
        <f>0.2*wpy</f>
        <v>8.63</v>
      </c>
      <c r="T21" s="73">
        <f>0.1*wpy</f>
        <v>4.315</v>
      </c>
      <c r="U21" s="67">
        <f>0.11*wpy</f>
        <v>4.7465</v>
      </c>
      <c r="V21" s="67"/>
      <c r="W21" s="67">
        <f>SUM(C21:V21)</f>
        <v>196.33249999999995</v>
      </c>
    </row>
    <row r="22" spans="1:23" ht="12.75">
      <c r="A22" s="3"/>
      <c r="B22" s="3" t="s">
        <v>55</v>
      </c>
      <c r="C22" s="51">
        <f>95.3/40</f>
        <v>2.3825</v>
      </c>
      <c r="D22" s="51">
        <f>26/40</f>
        <v>0.65</v>
      </c>
      <c r="E22" s="74">
        <f>305.5/40</f>
        <v>7.6375</v>
      </c>
      <c r="F22" s="74">
        <f>282.8/40</f>
        <v>7.07</v>
      </c>
      <c r="G22" s="51">
        <f>60.7/40</f>
        <v>1.5175</v>
      </c>
      <c r="H22" s="51">
        <f>179.8/40</f>
        <v>4.495</v>
      </c>
      <c r="I22" s="51">
        <f>1807/40</f>
        <v>45.175</v>
      </c>
      <c r="J22" s="52">
        <v>0</v>
      </c>
      <c r="K22" s="51">
        <f>1713.8/40</f>
        <v>42.845</v>
      </c>
      <c r="L22" s="51">
        <f>948/40</f>
        <v>23.7</v>
      </c>
      <c r="M22" s="51">
        <f>511.3/40</f>
        <v>12.7825</v>
      </c>
      <c r="N22" s="51">
        <f>(60.7)/40</f>
        <v>1.5175</v>
      </c>
      <c r="O22" s="51">
        <f>72/40</f>
        <v>1.8</v>
      </c>
      <c r="P22" s="51">
        <f>837.6/40</f>
        <v>20.94</v>
      </c>
      <c r="Q22" s="51">
        <f>173.3/40</f>
        <v>4.3325000000000005</v>
      </c>
      <c r="R22" s="51">
        <f>647.8/40</f>
        <v>16.195</v>
      </c>
      <c r="S22" s="51">
        <f>455/40</f>
        <v>11.375</v>
      </c>
      <c r="T22" s="74">
        <f>260/40</f>
        <v>6.5</v>
      </c>
      <c r="U22" s="51">
        <f>238.3/40</f>
        <v>5.9575000000000005</v>
      </c>
      <c r="V22" s="51">
        <f>(13+17.3+134.3+39+123.9+17.3)/40</f>
        <v>8.620000000000001</v>
      </c>
      <c r="W22" s="51">
        <f>SUM(C22:V22)</f>
        <v>225.49250000000004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85" zoomScaleNormal="85" workbookViewId="0" topLeftCell="A1">
      <selection activeCell="A1" sqref="A1:W22"/>
    </sheetView>
  </sheetViews>
  <sheetFormatPr defaultColWidth="9.140625" defaultRowHeight="12.75"/>
  <cols>
    <col min="1" max="1" width="9.140625" style="3" customWidth="1"/>
    <col min="2" max="2" width="27.57421875" style="0" bestFit="1" customWidth="1"/>
    <col min="3" max="9" width="5.28125" style="0" customWidth="1"/>
    <col min="10" max="10" width="5.28125" style="2" customWidth="1"/>
    <col min="11" max="22" width="5.28125" style="0" customWidth="1"/>
    <col min="23" max="23" width="11.140625" style="0" customWidth="1"/>
    <col min="24" max="24" width="6.28125" style="0" customWidth="1"/>
    <col min="25" max="29" width="5.28125" style="0" customWidth="1"/>
    <col min="30" max="30" width="8.7109375" style="0" customWidth="1"/>
  </cols>
  <sheetData>
    <row r="1" spans="1:30" s="10" customFormat="1" ht="16.5" thickBot="1" thickTop="1">
      <c r="A1" s="28"/>
      <c r="B1" s="29" t="s">
        <v>35</v>
      </c>
      <c r="C1" s="11" t="s">
        <v>60</v>
      </c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8" t="s">
        <v>61</v>
      </c>
      <c r="Y1" s="19"/>
      <c r="Z1" s="19"/>
      <c r="AA1" s="19"/>
      <c r="AB1" s="19"/>
      <c r="AC1" s="19"/>
      <c r="AD1" s="20"/>
    </row>
    <row r="2" spans="1:30" s="1" customFormat="1" ht="110.25" thickBot="1" thickTop="1">
      <c r="A2" s="14"/>
      <c r="B2" s="15" t="s">
        <v>15</v>
      </c>
      <c r="C2" s="6" t="s">
        <v>7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4</v>
      </c>
      <c r="I2" s="7" t="s">
        <v>12</v>
      </c>
      <c r="J2" s="34" t="s">
        <v>18</v>
      </c>
      <c r="K2" s="7" t="s">
        <v>5</v>
      </c>
      <c r="L2" s="7" t="s">
        <v>6</v>
      </c>
      <c r="M2" s="7" t="s">
        <v>8</v>
      </c>
      <c r="N2" s="7" t="s">
        <v>16</v>
      </c>
      <c r="O2" s="7" t="s">
        <v>17</v>
      </c>
      <c r="P2" s="7" t="s">
        <v>9</v>
      </c>
      <c r="Q2" s="7" t="s">
        <v>57</v>
      </c>
      <c r="R2" s="7" t="s">
        <v>10</v>
      </c>
      <c r="S2" s="7" t="s">
        <v>11</v>
      </c>
      <c r="T2" s="7" t="s">
        <v>2</v>
      </c>
      <c r="U2" s="7" t="s">
        <v>3</v>
      </c>
      <c r="V2" s="7" t="s">
        <v>44</v>
      </c>
      <c r="W2" s="31" t="s">
        <v>47</v>
      </c>
      <c r="X2" s="35" t="s">
        <v>36</v>
      </c>
      <c r="Y2" s="21" t="s">
        <v>37</v>
      </c>
      <c r="Z2" s="21" t="s">
        <v>38</v>
      </c>
      <c r="AA2" s="21" t="s">
        <v>39</v>
      </c>
      <c r="AB2" s="21" t="s">
        <v>40</v>
      </c>
      <c r="AC2" s="21" t="s">
        <v>41</v>
      </c>
      <c r="AD2" s="33" t="s">
        <v>48</v>
      </c>
    </row>
    <row r="3" spans="1:30" s="23" customFormat="1" ht="13.5" thickTop="1">
      <c r="A3" s="30">
        <v>1</v>
      </c>
      <c r="B3" s="25" t="s">
        <v>46</v>
      </c>
      <c r="C3" s="55">
        <v>2</v>
      </c>
      <c r="D3" s="56"/>
      <c r="E3" s="56"/>
      <c r="F3" s="56"/>
      <c r="G3" s="56"/>
      <c r="H3" s="56"/>
      <c r="I3" s="56"/>
      <c r="J3" s="57"/>
      <c r="K3" s="56"/>
      <c r="L3" s="56">
        <v>8</v>
      </c>
      <c r="M3" s="56">
        <v>8</v>
      </c>
      <c r="N3" s="56">
        <v>4</v>
      </c>
      <c r="O3" s="56"/>
      <c r="P3" s="56">
        <v>20</v>
      </c>
      <c r="Q3" s="56"/>
      <c r="R3" s="56">
        <v>2</v>
      </c>
      <c r="S3" s="56"/>
      <c r="T3" s="56"/>
      <c r="U3" s="56"/>
      <c r="V3" s="56"/>
      <c r="W3" s="32">
        <f aca="true" t="shared" si="0" ref="W3:W19">SUM(C3:V3)</f>
        <v>44</v>
      </c>
      <c r="X3" s="36">
        <f>0.5*wpy</f>
        <v>21.575</v>
      </c>
      <c r="Y3" s="24">
        <f>0.8*wpy</f>
        <v>34.52</v>
      </c>
      <c r="Z3" s="24">
        <f>0.25*wpy</f>
        <v>10.7875</v>
      </c>
      <c r="AA3" s="24">
        <f>0.39*wpy</f>
        <v>16.828500000000002</v>
      </c>
      <c r="AB3" s="24">
        <f>0.52*wpy</f>
        <v>22.438</v>
      </c>
      <c r="AC3" s="24">
        <f>0.8*wpy</f>
        <v>34.52</v>
      </c>
      <c r="AD3" s="32">
        <f aca="true" t="shared" si="1" ref="AD3:AD19">SUM(X3:AC3)</f>
        <v>140.669</v>
      </c>
    </row>
    <row r="4" spans="1:30" ht="12.75">
      <c r="A4" s="26">
        <v>21</v>
      </c>
      <c r="B4" s="5" t="s">
        <v>19</v>
      </c>
      <c r="C4" s="58"/>
      <c r="D4" s="59"/>
      <c r="E4" s="59"/>
      <c r="F4" s="60">
        <v>1</v>
      </c>
      <c r="G4" s="59"/>
      <c r="H4" s="59"/>
      <c r="I4" s="59"/>
      <c r="J4" s="61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43">
        <f t="shared" si="0"/>
        <v>1</v>
      </c>
      <c r="X4" s="37"/>
      <c r="Y4" s="4"/>
      <c r="Z4" s="4"/>
      <c r="AA4" s="4"/>
      <c r="AB4" s="4"/>
      <c r="AC4" s="4"/>
      <c r="AD4" s="43">
        <f t="shared" si="1"/>
        <v>0</v>
      </c>
    </row>
    <row r="5" spans="1:30" ht="12.75">
      <c r="A5" s="26">
        <v>22</v>
      </c>
      <c r="B5" s="5" t="s">
        <v>20</v>
      </c>
      <c r="C5" s="58"/>
      <c r="D5" s="59"/>
      <c r="E5" s="59"/>
      <c r="F5" s="60">
        <v>1</v>
      </c>
      <c r="G5" s="59"/>
      <c r="H5" s="59"/>
      <c r="I5" s="59"/>
      <c r="J5" s="61">
        <v>2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43">
        <f t="shared" si="0"/>
        <v>3</v>
      </c>
      <c r="X5" s="37"/>
      <c r="Y5" s="4"/>
      <c r="Z5" s="4"/>
      <c r="AA5" s="4"/>
      <c r="AB5" s="4"/>
      <c r="AC5" s="4"/>
      <c r="AD5" s="43">
        <f t="shared" si="1"/>
        <v>0</v>
      </c>
    </row>
    <row r="6" spans="1:30" ht="12.75">
      <c r="A6" s="26">
        <v>23</v>
      </c>
      <c r="B6" s="5" t="s">
        <v>21</v>
      </c>
      <c r="C6" s="58"/>
      <c r="D6" s="59"/>
      <c r="E6" s="59"/>
      <c r="F6" s="60">
        <v>1</v>
      </c>
      <c r="G6" s="59"/>
      <c r="H6" s="59"/>
      <c r="I6" s="59"/>
      <c r="J6" s="61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43">
        <f t="shared" si="0"/>
        <v>1</v>
      </c>
      <c r="X6" s="37"/>
      <c r="Y6" s="4"/>
      <c r="Z6" s="4"/>
      <c r="AA6" s="4"/>
      <c r="AB6" s="4"/>
      <c r="AC6" s="4"/>
      <c r="AD6" s="43">
        <f t="shared" si="1"/>
        <v>0</v>
      </c>
    </row>
    <row r="7" spans="1:30" ht="12.75">
      <c r="A7" s="26">
        <v>24</v>
      </c>
      <c r="B7" s="5" t="s">
        <v>22</v>
      </c>
      <c r="C7" s="58"/>
      <c r="D7" s="59"/>
      <c r="E7" s="59"/>
      <c r="F7" s="60">
        <v>1</v>
      </c>
      <c r="G7" s="59"/>
      <c r="H7" s="59"/>
      <c r="I7" s="59"/>
      <c r="J7" s="61"/>
      <c r="K7" s="59"/>
      <c r="L7" s="59"/>
      <c r="M7" s="59"/>
      <c r="N7" s="59"/>
      <c r="O7" s="59"/>
      <c r="P7" s="59"/>
      <c r="Q7" s="59"/>
      <c r="R7" s="59"/>
      <c r="S7" s="59"/>
      <c r="T7" s="59">
        <v>3</v>
      </c>
      <c r="U7" s="59"/>
      <c r="V7" s="59">
        <v>1</v>
      </c>
      <c r="W7" s="43">
        <f t="shared" si="0"/>
        <v>5</v>
      </c>
      <c r="X7" s="37"/>
      <c r="Y7" s="16"/>
      <c r="Z7" s="4"/>
      <c r="AA7" s="4"/>
      <c r="AB7" s="4"/>
      <c r="AC7" s="4"/>
      <c r="AD7" s="43">
        <f t="shared" si="1"/>
        <v>0</v>
      </c>
    </row>
    <row r="8" spans="1:30" ht="12.75">
      <c r="A8" s="26">
        <v>25</v>
      </c>
      <c r="B8" s="5" t="s">
        <v>23</v>
      </c>
      <c r="C8" s="58"/>
      <c r="D8" s="59"/>
      <c r="E8" s="59"/>
      <c r="F8" s="60">
        <v>4</v>
      </c>
      <c r="G8" s="59"/>
      <c r="H8" s="59"/>
      <c r="I8" s="59"/>
      <c r="J8" s="61"/>
      <c r="K8" s="59"/>
      <c r="L8" s="59"/>
      <c r="M8" s="59"/>
      <c r="N8" s="59">
        <v>2</v>
      </c>
      <c r="O8" s="59"/>
      <c r="P8" s="59"/>
      <c r="Q8" s="59"/>
      <c r="R8" s="59"/>
      <c r="S8" s="59"/>
      <c r="T8" s="59"/>
      <c r="U8" s="59"/>
      <c r="V8" s="59">
        <v>2</v>
      </c>
      <c r="W8" s="43">
        <f t="shared" si="0"/>
        <v>8</v>
      </c>
      <c r="X8" s="37"/>
      <c r="Y8" s="16"/>
      <c r="Z8" s="4"/>
      <c r="AA8" s="4"/>
      <c r="AB8" s="4"/>
      <c r="AC8" s="4"/>
      <c r="AD8" s="43">
        <f t="shared" si="1"/>
        <v>0</v>
      </c>
    </row>
    <row r="9" spans="1:30" ht="12.75">
      <c r="A9" s="26">
        <v>3</v>
      </c>
      <c r="B9" s="5" t="s">
        <v>24</v>
      </c>
      <c r="C9" s="58"/>
      <c r="D9" s="59"/>
      <c r="E9" s="60">
        <v>9</v>
      </c>
      <c r="F9" s="59"/>
      <c r="G9" s="59"/>
      <c r="H9" s="59"/>
      <c r="I9" s="59"/>
      <c r="J9" s="6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43">
        <f t="shared" si="0"/>
        <v>9</v>
      </c>
      <c r="X9" s="37"/>
      <c r="Y9" s="17"/>
      <c r="Z9" s="4"/>
      <c r="AA9" s="4"/>
      <c r="AB9" s="4"/>
      <c r="AC9" s="4"/>
      <c r="AD9" s="43">
        <f t="shared" si="1"/>
        <v>0</v>
      </c>
    </row>
    <row r="10" spans="1:30" ht="12.75">
      <c r="A10" s="26">
        <v>4</v>
      </c>
      <c r="B10" s="5" t="s">
        <v>26</v>
      </c>
      <c r="C10" s="58"/>
      <c r="D10" s="59"/>
      <c r="E10" s="59"/>
      <c r="F10" s="59"/>
      <c r="G10" s="59"/>
      <c r="H10" s="60">
        <v>6</v>
      </c>
      <c r="I10" s="59"/>
      <c r="J10" s="61"/>
      <c r="K10" s="59"/>
      <c r="L10" s="59"/>
      <c r="M10" s="59"/>
      <c r="N10" s="59"/>
      <c r="O10" s="59">
        <v>4</v>
      </c>
      <c r="P10" s="59"/>
      <c r="Q10" s="59"/>
      <c r="R10" s="59"/>
      <c r="S10" s="59"/>
      <c r="T10" s="59"/>
      <c r="U10" s="59"/>
      <c r="V10" s="59">
        <v>2</v>
      </c>
      <c r="W10" s="43">
        <f t="shared" si="0"/>
        <v>12</v>
      </c>
      <c r="X10" s="37"/>
      <c r="Y10" s="17"/>
      <c r="Z10" s="4"/>
      <c r="AA10" s="4"/>
      <c r="AB10" s="4"/>
      <c r="AC10" s="4"/>
      <c r="AD10" s="43">
        <f t="shared" si="1"/>
        <v>0</v>
      </c>
    </row>
    <row r="11" spans="1:30" ht="12.75">
      <c r="A11" s="26">
        <v>5</v>
      </c>
      <c r="B11" s="5" t="s">
        <v>27</v>
      </c>
      <c r="C11" s="58"/>
      <c r="D11" s="59"/>
      <c r="E11" s="59"/>
      <c r="F11" s="59"/>
      <c r="G11" s="60">
        <v>2.5</v>
      </c>
      <c r="H11" s="59"/>
      <c r="I11" s="59"/>
      <c r="J11" s="61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43">
        <f t="shared" si="0"/>
        <v>2.5</v>
      </c>
      <c r="X11" s="37"/>
      <c r="Y11" s="17"/>
      <c r="Z11" s="4"/>
      <c r="AA11" s="4"/>
      <c r="AB11" s="4"/>
      <c r="AC11" s="4"/>
      <c r="AD11" s="43">
        <f t="shared" si="1"/>
        <v>0</v>
      </c>
    </row>
    <row r="12" spans="1:30" ht="12.75">
      <c r="A12" s="26">
        <v>61</v>
      </c>
      <c r="B12" s="5" t="s">
        <v>28</v>
      </c>
      <c r="C12" s="62">
        <v>2</v>
      </c>
      <c r="D12" s="59"/>
      <c r="E12" s="59"/>
      <c r="F12" s="59"/>
      <c r="G12" s="59"/>
      <c r="H12" s="59"/>
      <c r="I12" s="59"/>
      <c r="J12" s="61"/>
      <c r="K12" s="59"/>
      <c r="L12" s="59"/>
      <c r="M12" s="59"/>
      <c r="N12" s="59">
        <v>2</v>
      </c>
      <c r="O12" s="59"/>
      <c r="P12" s="59"/>
      <c r="Q12" s="59"/>
      <c r="R12" s="59"/>
      <c r="S12" s="59"/>
      <c r="T12" s="59"/>
      <c r="U12" s="59"/>
      <c r="V12" s="59"/>
      <c r="W12" s="43">
        <f t="shared" si="0"/>
        <v>4</v>
      </c>
      <c r="X12" s="37"/>
      <c r="Y12" s="16"/>
      <c r="Z12" s="4"/>
      <c r="AA12" s="4"/>
      <c r="AB12" s="4"/>
      <c r="AC12" s="4"/>
      <c r="AD12" s="43">
        <f t="shared" si="1"/>
        <v>0</v>
      </c>
    </row>
    <row r="13" spans="1:30" ht="12.75">
      <c r="A13" s="26">
        <v>62</v>
      </c>
      <c r="B13" s="5" t="s">
        <v>29</v>
      </c>
      <c r="C13" s="58"/>
      <c r="D13" s="60">
        <v>2</v>
      </c>
      <c r="E13" s="59"/>
      <c r="F13" s="59"/>
      <c r="G13" s="59"/>
      <c r="H13" s="59"/>
      <c r="I13" s="59"/>
      <c r="J13" s="61"/>
      <c r="K13" s="59"/>
      <c r="L13" s="59"/>
      <c r="M13" s="59"/>
      <c r="N13" s="59">
        <v>1</v>
      </c>
      <c r="O13" s="59"/>
      <c r="P13" s="59"/>
      <c r="Q13" s="59"/>
      <c r="R13" s="59"/>
      <c r="S13" s="59"/>
      <c r="T13" s="59"/>
      <c r="U13" s="59"/>
      <c r="V13" s="59"/>
      <c r="W13" s="43">
        <f t="shared" si="0"/>
        <v>3</v>
      </c>
      <c r="X13" s="37"/>
      <c r="Y13" s="4"/>
      <c r="Z13" s="4"/>
      <c r="AA13" s="4"/>
      <c r="AB13" s="4"/>
      <c r="AC13" s="4"/>
      <c r="AD13" s="43">
        <f t="shared" si="1"/>
        <v>0</v>
      </c>
    </row>
    <row r="14" spans="1:30" ht="12.75">
      <c r="A14" s="26">
        <v>63</v>
      </c>
      <c r="B14" s="5" t="s">
        <v>30</v>
      </c>
      <c r="C14" s="58"/>
      <c r="D14" s="60">
        <v>1</v>
      </c>
      <c r="E14" s="59"/>
      <c r="F14" s="59"/>
      <c r="G14" s="59"/>
      <c r="H14" s="59"/>
      <c r="I14" s="59"/>
      <c r="J14" s="61"/>
      <c r="K14" s="59"/>
      <c r="L14" s="59"/>
      <c r="M14" s="59"/>
      <c r="N14" s="59">
        <v>1</v>
      </c>
      <c r="O14" s="59"/>
      <c r="P14" s="59"/>
      <c r="Q14" s="59">
        <v>3</v>
      </c>
      <c r="R14" s="59"/>
      <c r="S14" s="59"/>
      <c r="T14" s="59"/>
      <c r="U14" s="59"/>
      <c r="V14" s="59"/>
      <c r="W14" s="43">
        <f t="shared" si="0"/>
        <v>5</v>
      </c>
      <c r="X14" s="37"/>
      <c r="Y14" s="4"/>
      <c r="Z14" s="4"/>
      <c r="AA14" s="4"/>
      <c r="AB14" s="4"/>
      <c r="AC14" s="4"/>
      <c r="AD14" s="43">
        <f t="shared" si="1"/>
        <v>0</v>
      </c>
    </row>
    <row r="15" spans="1:30" ht="12.75">
      <c r="A15" s="26">
        <v>64</v>
      </c>
      <c r="B15" s="5" t="s">
        <v>31</v>
      </c>
      <c r="C15" s="58"/>
      <c r="D15" s="60">
        <v>1</v>
      </c>
      <c r="E15" s="59"/>
      <c r="F15" s="59"/>
      <c r="G15" s="59"/>
      <c r="H15" s="59"/>
      <c r="I15" s="59"/>
      <c r="J15" s="61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43">
        <f t="shared" si="0"/>
        <v>1</v>
      </c>
      <c r="X15" s="37"/>
      <c r="Y15" s="4"/>
      <c r="Z15" s="4"/>
      <c r="AA15" s="4"/>
      <c r="AB15" s="4"/>
      <c r="AC15" s="4"/>
      <c r="AD15" s="43">
        <f t="shared" si="1"/>
        <v>0</v>
      </c>
    </row>
    <row r="16" spans="1:30" ht="12.75">
      <c r="A16" s="26">
        <v>7</v>
      </c>
      <c r="B16" s="5" t="s">
        <v>32</v>
      </c>
      <c r="C16" s="62">
        <v>4</v>
      </c>
      <c r="D16" s="59"/>
      <c r="E16" s="59"/>
      <c r="F16" s="59"/>
      <c r="G16" s="59"/>
      <c r="H16" s="59"/>
      <c r="I16" s="59"/>
      <c r="J16" s="61"/>
      <c r="K16" s="59"/>
      <c r="L16" s="59"/>
      <c r="M16" s="59"/>
      <c r="N16" s="59">
        <v>4</v>
      </c>
      <c r="O16" s="59"/>
      <c r="P16" s="59"/>
      <c r="Q16" s="59"/>
      <c r="R16" s="59"/>
      <c r="S16" s="59"/>
      <c r="T16" s="59"/>
      <c r="U16" s="59"/>
      <c r="V16" s="59">
        <v>1</v>
      </c>
      <c r="W16" s="43">
        <f t="shared" si="0"/>
        <v>9</v>
      </c>
      <c r="X16" s="37"/>
      <c r="Y16" s="4"/>
      <c r="Z16" s="4"/>
      <c r="AA16" s="4"/>
      <c r="AB16" s="4"/>
      <c r="AC16" s="4"/>
      <c r="AD16" s="43">
        <f t="shared" si="1"/>
        <v>0</v>
      </c>
    </row>
    <row r="17" spans="1:30" ht="12.75">
      <c r="A17" s="26">
        <v>82</v>
      </c>
      <c r="B17" s="5" t="s">
        <v>33</v>
      </c>
      <c r="C17" s="58"/>
      <c r="D17" s="59"/>
      <c r="E17" s="59"/>
      <c r="F17" s="59"/>
      <c r="G17" s="59"/>
      <c r="H17" s="59"/>
      <c r="I17" s="60">
        <v>33</v>
      </c>
      <c r="J17" s="61"/>
      <c r="K17" s="59">
        <v>33</v>
      </c>
      <c r="L17" s="59">
        <v>4</v>
      </c>
      <c r="M17" s="59"/>
      <c r="N17" s="59"/>
      <c r="O17" s="59"/>
      <c r="P17" s="59"/>
      <c r="Q17" s="59"/>
      <c r="R17" s="59">
        <v>10</v>
      </c>
      <c r="S17" s="59">
        <v>8</v>
      </c>
      <c r="T17" s="59"/>
      <c r="U17" s="59"/>
      <c r="V17" s="59"/>
      <c r="W17" s="43">
        <f t="shared" si="0"/>
        <v>88</v>
      </c>
      <c r="X17" s="37"/>
      <c r="Y17" s="4"/>
      <c r="Z17" s="4"/>
      <c r="AA17" s="4"/>
      <c r="AB17" s="4"/>
      <c r="AC17" s="4"/>
      <c r="AD17" s="43">
        <f t="shared" si="1"/>
        <v>0</v>
      </c>
    </row>
    <row r="18" spans="1:30" ht="12.75">
      <c r="A18" s="26">
        <v>9</v>
      </c>
      <c r="B18" s="5" t="s">
        <v>34</v>
      </c>
      <c r="C18" s="62">
        <v>1</v>
      </c>
      <c r="D18" s="59"/>
      <c r="E18" s="59"/>
      <c r="F18" s="59"/>
      <c r="G18" s="59"/>
      <c r="H18" s="59"/>
      <c r="I18" s="63"/>
      <c r="J18" s="61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3">
        <f t="shared" si="0"/>
        <v>1</v>
      </c>
      <c r="X18" s="37"/>
      <c r="Y18" s="4"/>
      <c r="Z18" s="4"/>
      <c r="AA18" s="4"/>
      <c r="AB18" s="4"/>
      <c r="AC18" s="4"/>
      <c r="AD18" s="43">
        <f t="shared" si="1"/>
        <v>0</v>
      </c>
    </row>
    <row r="19" spans="1:30" ht="13.5" thickBot="1">
      <c r="A19" s="27"/>
      <c r="B19" s="9" t="s">
        <v>45</v>
      </c>
      <c r="C19" s="64"/>
      <c r="D19" s="65"/>
      <c r="E19" s="65"/>
      <c r="F19" s="65"/>
      <c r="G19" s="65"/>
      <c r="H19" s="65"/>
      <c r="I19" s="65"/>
      <c r="J19" s="66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44">
        <f t="shared" si="0"/>
        <v>0</v>
      </c>
      <c r="X19" s="38"/>
      <c r="Y19" s="8"/>
      <c r="Z19" s="8"/>
      <c r="AA19" s="8"/>
      <c r="AB19" s="8"/>
      <c r="AC19" s="8"/>
      <c r="AD19" s="44">
        <f t="shared" si="1"/>
        <v>0</v>
      </c>
    </row>
    <row r="20" spans="2:30" ht="14.25" thickBot="1" thickTop="1">
      <c r="B20" s="69" t="s">
        <v>59</v>
      </c>
      <c r="C20" s="39">
        <f aca="true" t="shared" si="2" ref="C20:W20">SUM(C3:C19)</f>
        <v>9</v>
      </c>
      <c r="D20" s="40">
        <f t="shared" si="2"/>
        <v>4</v>
      </c>
      <c r="E20" s="72">
        <f t="shared" si="2"/>
        <v>9</v>
      </c>
      <c r="F20" s="72">
        <f t="shared" si="2"/>
        <v>8</v>
      </c>
      <c r="G20" s="40">
        <f t="shared" si="2"/>
        <v>2.5</v>
      </c>
      <c r="H20" s="40">
        <f t="shared" si="2"/>
        <v>6</v>
      </c>
      <c r="I20" s="40">
        <f t="shared" si="2"/>
        <v>33</v>
      </c>
      <c r="J20" s="41">
        <f t="shared" si="2"/>
        <v>2</v>
      </c>
      <c r="K20" s="40">
        <f t="shared" si="2"/>
        <v>33</v>
      </c>
      <c r="L20" s="40">
        <f t="shared" si="2"/>
        <v>12</v>
      </c>
      <c r="M20" s="40">
        <f t="shared" si="2"/>
        <v>8</v>
      </c>
      <c r="N20" s="40">
        <f t="shared" si="2"/>
        <v>14</v>
      </c>
      <c r="O20" s="40">
        <f t="shared" si="2"/>
        <v>4</v>
      </c>
      <c r="P20" s="40">
        <f t="shared" si="2"/>
        <v>20</v>
      </c>
      <c r="Q20" s="40">
        <f t="shared" si="2"/>
        <v>3</v>
      </c>
      <c r="R20" s="40">
        <f t="shared" si="2"/>
        <v>12</v>
      </c>
      <c r="S20" s="40">
        <f t="shared" si="2"/>
        <v>8</v>
      </c>
      <c r="T20" s="72">
        <f t="shared" si="2"/>
        <v>3</v>
      </c>
      <c r="U20" s="40">
        <f t="shared" si="2"/>
        <v>0</v>
      </c>
      <c r="V20" s="40">
        <f t="shared" si="2"/>
        <v>6</v>
      </c>
      <c r="W20" s="42">
        <f t="shared" si="2"/>
        <v>196.5</v>
      </c>
      <c r="X20" s="45">
        <f aca="true" t="shared" si="3" ref="X20:AD20">SUM(X3:X19)</f>
        <v>21.575</v>
      </c>
      <c r="Y20" s="40">
        <f t="shared" si="3"/>
        <v>34.52</v>
      </c>
      <c r="Z20" s="40">
        <f t="shared" si="3"/>
        <v>10.7875</v>
      </c>
      <c r="AA20" s="40">
        <f t="shared" si="3"/>
        <v>16.828500000000002</v>
      </c>
      <c r="AB20" s="40">
        <f t="shared" si="3"/>
        <v>22.438</v>
      </c>
      <c r="AC20" s="40">
        <f t="shared" si="3"/>
        <v>34.52</v>
      </c>
      <c r="AD20" s="42">
        <f t="shared" si="3"/>
        <v>140.669</v>
      </c>
    </row>
    <row r="21" spans="2:31" ht="14.25" thickBot="1" thickTop="1">
      <c r="B21" s="3" t="s">
        <v>58</v>
      </c>
      <c r="C21" s="67">
        <f>0.09*wpy</f>
        <v>3.8834999999999997</v>
      </c>
      <c r="D21" s="67">
        <f>0.1*wpy</f>
        <v>4.315</v>
      </c>
      <c r="E21" s="73">
        <f>0.2*wpy</f>
        <v>8.63</v>
      </c>
      <c r="F21" s="73">
        <f>0.15*wpy</f>
        <v>6.472499999999999</v>
      </c>
      <c r="G21" s="67">
        <f>0.05*wpy</f>
        <v>2.1575</v>
      </c>
      <c r="H21" s="67">
        <f>0.1*wpy</f>
        <v>4.315</v>
      </c>
      <c r="I21" s="67">
        <f>0.9*wpy</f>
        <v>38.835</v>
      </c>
      <c r="J21" s="68"/>
      <c r="K21" s="67">
        <f>0.9*wpy</f>
        <v>38.835</v>
      </c>
      <c r="L21" s="67">
        <f>0.2*wpy</f>
        <v>8.63</v>
      </c>
      <c r="M21" s="67">
        <f>0.2*wpy</f>
        <v>8.63</v>
      </c>
      <c r="N21" s="67">
        <f>0.31*wpy-4</f>
        <v>9.3765</v>
      </c>
      <c r="O21" s="67">
        <v>4</v>
      </c>
      <c r="P21" s="67">
        <f>0.6*wpy</f>
        <v>25.889999999999997</v>
      </c>
      <c r="Q21" s="67"/>
      <c r="R21" s="67">
        <f>0.34*wpy</f>
        <v>14.671000000000001</v>
      </c>
      <c r="S21" s="67">
        <f>0.2*wpy</f>
        <v>8.63</v>
      </c>
      <c r="T21" s="73">
        <f>0.1*wpy</f>
        <v>4.315</v>
      </c>
      <c r="U21" s="67">
        <f>0.11*wpy</f>
        <v>4.7465</v>
      </c>
      <c r="V21" s="67"/>
      <c r="W21" s="67">
        <f>SUM(C21:V21)</f>
        <v>196.33249999999995</v>
      </c>
      <c r="X21" s="70">
        <f>W20/W21</f>
        <v>1.0008531445379651</v>
      </c>
      <c r="AC21" s="3" t="s">
        <v>49</v>
      </c>
      <c r="AD21" s="46">
        <f>W20+AD20</f>
        <v>337.169</v>
      </c>
      <c r="AE21" t="s">
        <v>50</v>
      </c>
    </row>
    <row r="22" spans="2:30" ht="13.5" thickTop="1">
      <c r="B22" s="3" t="s">
        <v>55</v>
      </c>
      <c r="C22" s="51">
        <f>95.3/40</f>
        <v>2.3825</v>
      </c>
      <c r="D22" s="51">
        <f>26/40</f>
        <v>0.65</v>
      </c>
      <c r="E22" s="74">
        <f>305.5/40</f>
        <v>7.6375</v>
      </c>
      <c r="F22" s="74">
        <f>282.8/40</f>
        <v>7.07</v>
      </c>
      <c r="G22" s="51">
        <f>60.7/40</f>
        <v>1.5175</v>
      </c>
      <c r="H22" s="51">
        <f>179.8/40</f>
        <v>4.495</v>
      </c>
      <c r="I22" s="51">
        <f>1807/40</f>
        <v>45.175</v>
      </c>
      <c r="J22" s="52">
        <v>0</v>
      </c>
      <c r="K22" s="51">
        <f>1713.8/40</f>
        <v>42.845</v>
      </c>
      <c r="L22" s="51">
        <f>948/40</f>
        <v>23.7</v>
      </c>
      <c r="M22" s="51">
        <f>511.3/40</f>
        <v>12.7825</v>
      </c>
      <c r="N22" s="51">
        <f>(60.7)/40</f>
        <v>1.5175</v>
      </c>
      <c r="O22" s="51">
        <f>72/40</f>
        <v>1.8</v>
      </c>
      <c r="P22" s="51">
        <f>837.6/40</f>
        <v>20.94</v>
      </c>
      <c r="Q22" s="51">
        <f>173.3/40</f>
        <v>4.3325000000000005</v>
      </c>
      <c r="R22" s="51">
        <f>647.8/40</f>
        <v>16.195</v>
      </c>
      <c r="S22" s="51">
        <f>455/40</f>
        <v>11.375</v>
      </c>
      <c r="T22" s="74">
        <f>260/40</f>
        <v>6.5</v>
      </c>
      <c r="U22" s="51">
        <f>238.3/40</f>
        <v>5.9575000000000005</v>
      </c>
      <c r="V22" s="51">
        <f>(13+17.3+134.3+39+123.9+17.3)/40</f>
        <v>8.620000000000001</v>
      </c>
      <c r="W22" s="51">
        <f>SUM(C22:V22)</f>
        <v>225.49250000000004</v>
      </c>
      <c r="X22" s="71">
        <f>W20/W22</f>
        <v>0.871425878909498</v>
      </c>
      <c r="AC22" s="3"/>
      <c r="AD22" s="53"/>
    </row>
    <row r="23" spans="2:31" ht="12.75">
      <c r="B23" s="3"/>
      <c r="C23" s="51"/>
      <c r="D23" s="51"/>
      <c r="E23" s="51"/>
      <c r="F23" s="51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4"/>
      <c r="AD23">
        <f>AD21/wpy</f>
        <v>7.81388180764774</v>
      </c>
      <c r="AE23" t="s">
        <v>51</v>
      </c>
    </row>
    <row r="24" spans="22:23" ht="12.75">
      <c r="V24" s="3" t="s">
        <v>56</v>
      </c>
      <c r="W24" s="22">
        <f>W20/wpy</f>
        <v>4.55388180764774</v>
      </c>
    </row>
    <row r="25" spans="1:23" ht="12.75">
      <c r="A25" s="3">
        <v>1726</v>
      </c>
      <c r="B25" t="s">
        <v>42</v>
      </c>
      <c r="V25" s="3" t="s">
        <v>25</v>
      </c>
      <c r="W25" s="47">
        <f>W24*dpy</f>
        <v>1083823.8702201622</v>
      </c>
    </row>
    <row r="26" spans="1:23" ht="12.75">
      <c r="A26" s="3">
        <f>A25/40</f>
        <v>43.15</v>
      </c>
      <c r="B26" t="s">
        <v>43</v>
      </c>
      <c r="V26" s="3" t="s">
        <v>53</v>
      </c>
      <c r="W26" s="49">
        <v>30000</v>
      </c>
    </row>
    <row r="27" spans="1:23" ht="13.5" thickBot="1">
      <c r="A27" s="47">
        <v>238000</v>
      </c>
      <c r="B27" t="s">
        <v>52</v>
      </c>
      <c r="V27" s="3" t="s">
        <v>54</v>
      </c>
      <c r="W27" s="50">
        <v>125000</v>
      </c>
    </row>
    <row r="28" ht="12.75">
      <c r="W28" s="48">
        <f>SUM(W25:W27)</f>
        <v>1238823.8702201622</v>
      </c>
    </row>
  </sheetData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wreiersen</cp:lastModifiedBy>
  <cp:lastPrinted>2001-10-04T19:30:29Z</cp:lastPrinted>
  <dcterms:created xsi:type="dcterms:W3CDTF">2001-10-04T14:41:38Z</dcterms:created>
  <dcterms:modified xsi:type="dcterms:W3CDTF">2001-10-04T19:31:12Z</dcterms:modified>
  <cp:category/>
  <cp:version/>
  <cp:contentType/>
  <cp:contentStatus/>
</cp:coreProperties>
</file>