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240" windowWidth="8310" windowHeight="6150" tabRatio="717" firstSheet="5" activeTab="5"/>
  </bookViews>
  <sheets>
    <sheet name="NCSX Shutdown Case Total" sheetId="1" r:id="rId1"/>
    <sheet name="NCSX MIE Closeout" sheetId="2" r:id="rId2"/>
    <sheet name="NCSX Risk Reduction" sheetId="3" r:id="rId3"/>
    <sheet name="Post NCSX R&amp;D" sheetId="4" r:id="rId4"/>
    <sheet name="NCSX As Planned Case Total" sheetId="5" r:id="rId5"/>
    <sheet name="MIE closeout staff detail" sheetId="6" r:id="rId6"/>
  </sheets>
  <definedNames>
    <definedName name="factor">'NCSX Risk Reduction'!$D$1</definedName>
    <definedName name="inf_fact">#REF!</definedName>
    <definedName name="inflation">#REF!</definedName>
    <definedName name="_xlnm.Print_Area" localSheetId="5">'MIE closeout staff detail'!$A$3:$S$50,'MIE closeout staff detail'!$A$52:$S$76,'MIE closeout staff detail'!$A$78:$S$136,'MIE closeout staff detail'!$A$138:$S$226,'MIE closeout staff detail'!$C$228:$X$273</definedName>
    <definedName name="_xlnm.Print_Area" localSheetId="4">'NCSX As Planned Case Total'!$A$1:$M$119</definedName>
    <definedName name="_xlnm.Print_Area" localSheetId="0">'NCSX Shutdown Case Total'!$A$141:$E$186,'NCSX Shutdown Case Total'!$A$1:$F$100</definedName>
    <definedName name="_xlnm.Print_Titles" localSheetId="4">'NCSX As Planned Case Total'!$1:$2</definedName>
    <definedName name="_xlnm.Print_Titles" localSheetId="0">'NCSX Shutdown Case Total'!$2:$3</definedName>
  </definedNames>
  <calcPr fullCalcOnLoad="1"/>
</workbook>
</file>

<file path=xl/sharedStrings.xml><?xml version="1.0" encoding="utf-8"?>
<sst xmlns="http://schemas.openxmlformats.org/spreadsheetml/2006/main" count="1069" uniqueCount="259">
  <si>
    <t>Researchers</t>
  </si>
  <si>
    <t>Engineers (Computer)</t>
  </si>
  <si>
    <t>Engineers (Mech)</t>
  </si>
  <si>
    <t>Engineers (Elect)</t>
  </si>
  <si>
    <t>Engineers (FO&amp;M)</t>
  </si>
  <si>
    <t>Technicians  &amp; SLS</t>
  </si>
  <si>
    <t>Other</t>
  </si>
  <si>
    <t>M&amp;$, Travel, &amp; Other</t>
  </si>
  <si>
    <t>ORNL Resources</t>
  </si>
  <si>
    <t>Engineers</t>
  </si>
  <si>
    <t>M&amp;S, Travel, &amp; Other (unloaded)</t>
  </si>
  <si>
    <t>Rich PPPL</t>
  </si>
  <si>
    <t>NCSX MIE-National (FY09 M$)</t>
  </si>
  <si>
    <t>NCSX MIE - PPPL (FY 09 M$)</t>
  </si>
  <si>
    <t>NCSX MIE - OTHERS(FY09 M$)</t>
  </si>
  <si>
    <t>NCSX Program-National (FY09 M$)</t>
  </si>
  <si>
    <t>NCSX Progra - PPPL (FY 09 M$)</t>
  </si>
  <si>
    <t>NCSX Program - OTHERS(FY09 M$)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</si>
  <si>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</si>
  <si>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</si>
  <si>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</si>
  <si>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</si>
  <si>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</si>
  <si>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</si>
  <si>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</si>
  <si>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</si>
  <si>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</si>
  <si>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</si>
  <si>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</si>
  <si>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</si>
  <si>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NCSX Facility Ops-PPPL (FY 09 M$)</t>
  </si>
  <si>
    <t>Staffing Profile (FTE) (DIRECT)</t>
  </si>
  <si>
    <t>RM (Expt)</t>
  </si>
  <si>
    <t>RM (Theorists)</t>
  </si>
  <si>
    <t>RM (CPPG)</t>
  </si>
  <si>
    <t>Engineers (Electrical)</t>
  </si>
  <si>
    <t>Engineers (FOM)</t>
  </si>
  <si>
    <t>Techs &amp; SLS</t>
  </si>
  <si>
    <t xml:space="preserve">Other </t>
  </si>
  <si>
    <t>Staffing Profile Total</t>
  </si>
  <si>
    <t>NCSX RESEARCH-National (FY09 M$)</t>
  </si>
  <si>
    <t>NCSX RESEARCH - PPPL (FY 09 M$)</t>
  </si>
  <si>
    <t>NCSX RESEARCH-OTHERS (FY09 M$)</t>
  </si>
  <si>
    <t>NCSX UPGRADES-National (FY09 M$)</t>
  </si>
  <si>
    <t>NCSX UPGRADES - PPPL (FY 09 M$)</t>
  </si>
  <si>
    <t>NCSX UPGRADES - OTHERS(FY09 M$)</t>
  </si>
  <si>
    <t>NCSX MIE Projected Costs 
(Year of Expenditure M$)</t>
  </si>
  <si>
    <t>NCSX MIE (FY09 M$)</t>
  </si>
  <si>
    <t>NCSX National Total (FY09 M$)</t>
  </si>
  <si>
    <t>Budget ($k as spent)</t>
  </si>
  <si>
    <t>PPPL</t>
  </si>
  <si>
    <t>ORNL</t>
  </si>
  <si>
    <t>PPPL Resources</t>
  </si>
  <si>
    <t>NCSX MIE Close-out</t>
  </si>
  <si>
    <t>Post-NCSX R&amp;D</t>
  </si>
  <si>
    <t xml:space="preserve">NCSX Risk Reduction </t>
  </si>
  <si>
    <t>2008 cost through June 1st</t>
  </si>
  <si>
    <t>2008 ETC (June 1st to Sept 30)</t>
  </si>
  <si>
    <t>2008 Total</t>
  </si>
  <si>
    <t>EM//TB</t>
  </si>
  <si>
    <t>SH//TB</t>
  </si>
  <si>
    <t>LANL</t>
  </si>
  <si>
    <t xml:space="preserve">  FEB FY08</t>
  </si>
  <si>
    <t xml:space="preserve">  MAR FY08</t>
  </si>
  <si>
    <t xml:space="preserve">  APR FY08</t>
  </si>
  <si>
    <t xml:space="preserve">  MAY FY08</t>
  </si>
  <si>
    <t xml:space="preserve">  JUN FY08</t>
  </si>
  <si>
    <t xml:space="preserve">  JUL FY08</t>
  </si>
  <si>
    <t xml:space="preserve">  AUG FY08</t>
  </si>
  <si>
    <t xml:space="preserve">  SEP FY08</t>
  </si>
  <si>
    <t xml:space="preserve">  OCT FY09</t>
  </si>
  <si>
    <t xml:space="preserve">  NOV FY09</t>
  </si>
  <si>
    <t xml:space="preserve">  DEC FY09</t>
  </si>
  <si>
    <t xml:space="preserve">  JAN FY09</t>
  </si>
  <si>
    <t xml:space="preserve">  FEB FY09</t>
  </si>
  <si>
    <t xml:space="preserve">  MAR FY09</t>
  </si>
  <si>
    <t>Job: 8221 -Documentation  Closeout-HEITZENROEDER</t>
  </si>
  <si>
    <t>AVASARALA</t>
  </si>
  <si>
    <t>BLANCHARD</t>
  </si>
  <si>
    <t>BROOKS</t>
  </si>
  <si>
    <t>BROWN</t>
  </si>
  <si>
    <t>CHRZANOWSKI</t>
  </si>
  <si>
    <t>COLE</t>
  </si>
  <si>
    <t>CRUIKSHANK</t>
  </si>
  <si>
    <t>DAHLGREN</t>
  </si>
  <si>
    <t>DREXEL</t>
  </si>
  <si>
    <t>DUDEK</t>
  </si>
  <si>
    <t>EDWARDS</t>
  </si>
  <si>
    <t>ELLIS</t>
  </si>
  <si>
    <t>FAN</t>
  </si>
  <si>
    <t>FOGARTY</t>
  </si>
  <si>
    <t>FREUDENBERG</t>
  </si>
  <si>
    <t>GORANSON</t>
  </si>
  <si>
    <t>GUTTADORA</t>
  </si>
  <si>
    <t>HARRIS</t>
  </si>
  <si>
    <t>HEITZENROED</t>
  </si>
  <si>
    <t>HILLIS</t>
  </si>
  <si>
    <t>HOMESCU</t>
  </si>
  <si>
    <t>JUN</t>
  </si>
  <si>
    <t>KALISH</t>
  </si>
  <si>
    <t>LABIK</t>
  </si>
  <si>
    <t>LANGELLA</t>
  </si>
  <si>
    <t>LANGISH</t>
  </si>
  <si>
    <t>LOVETT</t>
  </si>
  <si>
    <t>MCGINNIS</t>
  </si>
  <si>
    <t>MEIGHAN</t>
  </si>
  <si>
    <t>MMORRIS</t>
  </si>
  <si>
    <t>MOON</t>
  </si>
  <si>
    <t>MORRIS</t>
  </si>
  <si>
    <t>NEILSON</t>
  </si>
  <si>
    <t>ORNL unassigned</t>
  </si>
  <si>
    <t>PERRY</t>
  </si>
  <si>
    <t>PRINISKI</t>
  </si>
  <si>
    <t>RAFTOPOULOS</t>
  </si>
  <si>
    <t>REIERSEN</t>
  </si>
  <si>
    <t>RUSHINSKI</t>
  </si>
  <si>
    <t>SIMMONS</t>
  </si>
  <si>
    <t>SMITH</t>
  </si>
  <si>
    <t>STRATTON</t>
  </si>
  <si>
    <t>STRYKOWSKY</t>
  </si>
  <si>
    <t>SUCH</t>
  </si>
  <si>
    <t>UPCAVAGE</t>
  </si>
  <si>
    <t>VIOLA</t>
  </si>
  <si>
    <t>WILLIAMSON</t>
  </si>
  <si>
    <t>ZHANG</t>
  </si>
  <si>
    <t>Job: 1901 -Stellarator Core Mngtt&amp;Integr-COLE</t>
  </si>
  <si>
    <t>Job: 8204 -Systems Analysis-BROOKS</t>
  </si>
  <si>
    <t>Job: 1803/1805-FPA Tooling/Constr-BROWN</t>
  </si>
  <si>
    <t>Job: 8203 -Design Integration-BROWN</t>
  </si>
  <si>
    <t>Job: 1451 -Mod Coil Winding-CHRZANOWSKI</t>
  </si>
  <si>
    <t>Job: 1806 -FP Assembly specs and drawings-COLE</t>
  </si>
  <si>
    <t>Job: 1421 -Mod Coil Interface Design-COLE</t>
  </si>
  <si>
    <t>Job: 1702 -Base Support Struct Design-DAHLGREN</t>
  </si>
  <si>
    <t>Job: 1501 -Coil Structures  Design-DAHLGREN</t>
  </si>
  <si>
    <t>Job: 1354 -Trim Coil Design &amp;Procurement-KALISH</t>
  </si>
  <si>
    <t>Job: 1802 -FP Assy Oversight&amp;Support-VIOLA</t>
  </si>
  <si>
    <t>Job: 8202 -Engr Mgmt &amp; Sys Eng Sprt-HEITZENROED</t>
  </si>
  <si>
    <t>Job: 8222 -Manuscripts and Papers -NEILSON</t>
  </si>
  <si>
    <t>Job: 1810 -Field Period AssyStation 1 2 3 VIOLA</t>
  </si>
  <si>
    <t>Job: 8205 -Dimensional Control Coordin-ELLIS</t>
  </si>
  <si>
    <t>Job: 3101 -Magnetic Diagnostics-STRATTON</t>
  </si>
  <si>
    <t>Job: 1459 -Mod Coil Fabr.Punch List-CHRZANOWSKI</t>
  </si>
  <si>
    <t>Job: 8220 -Equipt Save &amp; Facility Restora-PERRY</t>
  </si>
  <si>
    <t>Job: 1408 -MC Winding Supplies-CHRZANOWSKI</t>
  </si>
  <si>
    <t>Job: 1416 -Mod Coil Type AB Fnl Dsn-COLE</t>
  </si>
  <si>
    <t>Job: 1601 -Coil Services  Design-GORANSON</t>
  </si>
  <si>
    <t>Job: 8102 -NCSX MIE Management ORNL-HARRIS</t>
  </si>
  <si>
    <t>Job: 1361 -TF Fabrication-KALISH</t>
  </si>
  <si>
    <t>Job: 8101 -Project Management &amp;Control-REJ</t>
  </si>
  <si>
    <t>NELSON</t>
  </si>
  <si>
    <t>DUCCO</t>
  </si>
  <si>
    <t>HAUSE</t>
  </si>
  <si>
    <t>HUSH</t>
  </si>
  <si>
    <t>Job: 1810 -Field Period AssyStation 1 2 3 VIOLA METROLOGY</t>
  </si>
  <si>
    <t>PPPL DESIGN</t>
  </si>
  <si>
    <t>PPPL EA Engr</t>
  </si>
  <si>
    <t>PPPL Computing</t>
  </si>
  <si>
    <t>PPPL Electrical Admin</t>
  </si>
  <si>
    <t>PPPL Electrical Engr</t>
  </si>
  <si>
    <t>PPPL Electrical SL&amp;S</t>
  </si>
  <si>
    <t>PPPL FO&amp;M Engr</t>
  </si>
  <si>
    <t>PPPL FO&amp;M TECH</t>
  </si>
  <si>
    <t>PPPL Project Controls</t>
  </si>
  <si>
    <t>PPPL Research</t>
  </si>
  <si>
    <t>PPPL HP Techs</t>
  </si>
  <si>
    <t>Job: 8102 -NCSX MIE Management ORNL</t>
  </si>
  <si>
    <t>ORNL TOTAL =</t>
  </si>
  <si>
    <t>Job: 8221 -Documentation  Closeout</t>
  </si>
  <si>
    <t>Job: 8221 -Documentation  Closeout-</t>
  </si>
  <si>
    <t xml:space="preserve"> </t>
  </si>
  <si>
    <t>unassigned</t>
  </si>
  <si>
    <t>TOTAL DESIGNERS =</t>
  </si>
  <si>
    <t>TOTAL EA ENGINEERS =</t>
  </si>
  <si>
    <t>DODSON **TERM**</t>
  </si>
  <si>
    <t>STEVENS **TERM**</t>
  </si>
  <si>
    <t>SANDS **PU**</t>
  </si>
  <si>
    <t>TOTAL FO&amp;M ENGINEERS =</t>
  </si>
  <si>
    <t>TOTAL FO&amp;M TECHS =</t>
  </si>
  <si>
    <t>TOTAL RESEARCH =</t>
  </si>
  <si>
    <t>COLE subtotal =</t>
  </si>
  <si>
    <t>FOGARTY subtotal =</t>
  </si>
  <si>
    <t>FREUDENBERG subtotal =</t>
  </si>
  <si>
    <t>GORANSON subtotal =</t>
  </si>
  <si>
    <t>LOVETT subtotal =</t>
  </si>
  <si>
    <t>MCGINNIS subtotal =</t>
  </si>
  <si>
    <t>WILLIAMSON subtotal =</t>
  </si>
  <si>
    <t>CRUIKSHANK subtotal =</t>
  </si>
  <si>
    <t>unassigned subtotal =</t>
  </si>
  <si>
    <t>MORRIS subtotal =</t>
  </si>
  <si>
    <t>RUSHINSKI subtotal =</t>
  </si>
  <si>
    <t>BROOKS subtotal =</t>
  </si>
  <si>
    <t>BROWN subtotal =</t>
  </si>
  <si>
    <t>CHRZANOWSKI subtotal =</t>
  </si>
  <si>
    <t>DAHLGREN subtotal =</t>
  </si>
  <si>
    <t>ELLIS subtotal =</t>
  </si>
  <si>
    <t>FAN subtotal =</t>
  </si>
  <si>
    <t>HEITZENROED subtotal =</t>
  </si>
  <si>
    <t>KALISH subtotal =</t>
  </si>
  <si>
    <t>REIERSEN subtotal =</t>
  </si>
  <si>
    <t>SIMMONS subtotal =</t>
  </si>
  <si>
    <t>ZHANG subtotal =</t>
  </si>
  <si>
    <t>DODSON **TERM** subtotal =</t>
  </si>
  <si>
    <t>DUDEK subtotal =</t>
  </si>
  <si>
    <t>LABIK subtotal =</t>
  </si>
  <si>
    <t>SMITH subtotal =</t>
  </si>
  <si>
    <t>VIOLA subtotal =</t>
  </si>
  <si>
    <t>STRYKOWSKY subtotal =</t>
  </si>
  <si>
    <t>Name</t>
  </si>
  <si>
    <t>Dept</t>
  </si>
  <si>
    <t>Job</t>
  </si>
  <si>
    <t xml:space="preserve">  JAN FY08</t>
  </si>
  <si>
    <t>NCSX CLOSEOUT PLAN STAFFING REQUIREMENTS (hours/160)</t>
  </si>
  <si>
    <t>Designers</t>
  </si>
  <si>
    <t>Engineers/Designers/other</t>
  </si>
  <si>
    <t>M&amp;S, Travel, Allocations &amp; Other (unloaded)</t>
  </si>
  <si>
    <t>other</t>
  </si>
  <si>
    <t>ORNL Resources (incl 20% cont)</t>
  </si>
  <si>
    <t>PPPL Resources FTE's ! (incl 20% cont)</t>
  </si>
  <si>
    <t>FTE</t>
  </si>
  <si>
    <t>total PPPL</t>
  </si>
  <si>
    <t>total ornl</t>
  </si>
  <si>
    <t>NCSX SEVERANCE (PPPL)</t>
  </si>
  <si>
    <t>PPPL Staffing Profile (FTE) (DIRECT)</t>
  </si>
  <si>
    <t>PPPL Staffing Profile Total</t>
  </si>
  <si>
    <t>TOTAL (As-spent $M)</t>
  </si>
  <si>
    <t>NCSX Shutdown - PPPL</t>
  </si>
  <si>
    <t>NCSX Shutdown - ORNL</t>
  </si>
  <si>
    <t>NCSX Shutdown - LANL</t>
  </si>
  <si>
    <r>
      <t xml:space="preserve">NCSX MIE Close-out </t>
    </r>
    <r>
      <rPr>
        <b/>
        <i/>
        <sz val="10"/>
        <rFont val="Arial"/>
        <family val="2"/>
      </rPr>
      <t>(FY09=FY08 carryover)</t>
    </r>
  </si>
  <si>
    <t>Research Prep</t>
  </si>
  <si>
    <t>Techs &amp; SLS incl designers</t>
  </si>
  <si>
    <t>Actual</t>
  </si>
  <si>
    <t>NCSX Program FWP</t>
  </si>
  <si>
    <t>TOTAL NCSX Cancellation Plan(As-spent $M)</t>
  </si>
  <si>
    <t>NSTX Program FWP</t>
  </si>
  <si>
    <t>NSTX &amp; NCSX FWP (PPPL)</t>
  </si>
  <si>
    <t xml:space="preserve">NSTX &amp; NCSX Cancellation (PPPL) </t>
  </si>
  <si>
    <t>TOTAL STAFF</t>
  </si>
  <si>
    <t>Research</t>
  </si>
  <si>
    <t>NCSX/NSTX Staffing  impacts</t>
  </si>
  <si>
    <t>NCSX Cancellation Close-out &amp; R&amp;D Plan</t>
  </si>
  <si>
    <t>$M BA</t>
  </si>
  <si>
    <t>Actual =</t>
  </si>
  <si>
    <t>Planned =</t>
  </si>
  <si>
    <t>SICHTA et al</t>
  </si>
  <si>
    <t>Planned TECHS =</t>
  </si>
  <si>
    <t>Actual TECHS =</t>
  </si>
  <si>
    <t>Planned FO&amp;M ENGINEERS =</t>
  </si>
  <si>
    <t>Actual FO&amp;M ENGINEERS =</t>
  </si>
  <si>
    <t>Planned EA ENGINEERS =</t>
  </si>
  <si>
    <t>Actual EA ENGINEERS =</t>
  </si>
  <si>
    <t>Planned DESIGNERS =</t>
  </si>
  <si>
    <t>Actual DESIGNERS =</t>
  </si>
  <si>
    <t>Planned ORNL=</t>
  </si>
  <si>
    <t>Actual ORNL=</t>
  </si>
  <si>
    <t>NCSX Closeout Manpower</t>
  </si>
  <si>
    <t>Plan</t>
  </si>
  <si>
    <t>VONHALLE/Raki</t>
  </si>
  <si>
    <t>Such subtotal =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</si>
</sst>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_(* #,##0.0_);_(* \(#,##0.0\);_(* &quot;-&quot;?_);_(@_)"/>
    <numFmt numFmtId="169" formatCode="0.000"/>
    <numFmt numFmtId="170" formatCode="0.0000"/>
    <numFmt numFmtId="171" formatCode="0.00000"/>
    <numFmt numFmtId="172" formatCode="0.000000"/>
    <numFmt numFmtId="173" formatCode="&quot;$&quot;#,##0.0"/>
    <numFmt numFmtId="174" formatCode="&quot;$&quot;#,##0.00"/>
    <numFmt numFmtId="175" formatCode="0.0%"/>
    <numFmt numFmtId="176" formatCode="0.00000000"/>
    <numFmt numFmtId="177" formatCode="0.0000000"/>
    <numFmt numFmtId="178" formatCode="0.000000000"/>
    <numFmt numFmtId="179" formatCode="_(* #,##0_);_(* \(#,##0\);_(* &quot;-&quot;??_);_(@_)"/>
    <numFmt numFmtId="180" formatCode="_(* #,##0.0_);_(* \(#,##0.0\);_(* &quot;-&quot;??_);_(@_)"/>
    <numFmt numFmtId="181" formatCode="0.0E+00"/>
    <numFmt numFmtId="182" formatCode="0E+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i/>
      <sz val="12"/>
      <name val="Arial"/>
      <family val="2"/>
    </font>
    <font>
      <sz val="11"/>
      <name val="Arial"/>
      <family val="2"/>
    </font>
    <font>
      <b/>
      <i/>
      <u val="single"/>
      <sz val="14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20"/>
      <name val="Arial"/>
      <family val="0"/>
    </font>
    <font>
      <b/>
      <u val="single"/>
      <sz val="20"/>
      <name val="Arial"/>
      <family val="0"/>
    </font>
    <font>
      <sz val="8.25"/>
      <name val="Arial"/>
      <family val="2"/>
    </font>
    <font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7" fontId="0" fillId="2" borderId="4" xfId="0" applyNumberForma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5" xfId="0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/>
    </xf>
    <xf numFmtId="173" fontId="1" fillId="3" borderId="0" xfId="0" applyNumberFormat="1" applyFont="1" applyFill="1" applyBorder="1" applyAlignment="1">
      <alignment horizontal="center"/>
    </xf>
    <xf numFmtId="173" fontId="1" fillId="3" borderId="4" xfId="0" applyNumberFormat="1" applyFon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0" fillId="3" borderId="4" xfId="0" applyNumberFormat="1" applyFill="1" applyBorder="1" applyAlignment="1">
      <alignment horizontal="center"/>
    </xf>
    <xf numFmtId="167" fontId="0" fillId="3" borderId="7" xfId="0" applyNumberFormat="1" applyFill="1" applyBorder="1" applyAlignment="1">
      <alignment horizontal="center"/>
    </xf>
    <xf numFmtId="167" fontId="0" fillId="3" borderId="8" xfId="0" applyNumberFormat="1" applyFill="1" applyBorder="1" applyAlignment="1">
      <alignment horizontal="center"/>
    </xf>
    <xf numFmtId="174" fontId="0" fillId="3" borderId="0" xfId="0" applyNumberFormat="1" applyFill="1" applyBorder="1" applyAlignment="1">
      <alignment/>
    </xf>
    <xf numFmtId="173" fontId="0" fillId="3" borderId="0" xfId="0" applyNumberFormat="1" applyFont="1" applyFill="1" applyBorder="1" applyAlignment="1">
      <alignment horizontal="center"/>
    </xf>
    <xf numFmtId="173" fontId="0" fillId="3" borderId="4" xfId="0" applyNumberFormat="1" applyFont="1" applyFill="1" applyBorder="1" applyAlignment="1">
      <alignment horizontal="center"/>
    </xf>
    <xf numFmtId="173" fontId="0" fillId="3" borderId="5" xfId="0" applyNumberFormat="1" applyFill="1" applyBorder="1" applyAlignment="1">
      <alignment horizontal="center"/>
    </xf>
    <xf numFmtId="173" fontId="0" fillId="3" borderId="6" xfId="0" applyNumberFormat="1" applyFill="1" applyBorder="1" applyAlignment="1">
      <alignment horizontal="center"/>
    </xf>
    <xf numFmtId="173" fontId="0" fillId="3" borderId="0" xfId="0" applyNumberFormat="1" applyFill="1" applyBorder="1" applyAlignment="1">
      <alignment horizontal="center"/>
    </xf>
    <xf numFmtId="173" fontId="0" fillId="3" borderId="4" xfId="0" applyNumberFormat="1" applyFill="1" applyBorder="1" applyAlignment="1">
      <alignment horizontal="center"/>
    </xf>
    <xf numFmtId="173" fontId="0" fillId="3" borderId="0" xfId="0" applyNumberFormat="1" applyFill="1" applyAlignment="1">
      <alignment/>
    </xf>
    <xf numFmtId="173" fontId="1" fillId="3" borderId="0" xfId="0" applyNumberFormat="1" applyFont="1" applyFill="1" applyAlignment="1">
      <alignment/>
    </xf>
    <xf numFmtId="173" fontId="0" fillId="3" borderId="0" xfId="0" applyNumberFormat="1" applyFont="1" applyFill="1" applyAlignment="1">
      <alignment/>
    </xf>
    <xf numFmtId="173" fontId="0" fillId="3" borderId="0" xfId="0" applyNumberFormat="1" applyFill="1" applyAlignment="1">
      <alignment/>
    </xf>
    <xf numFmtId="173" fontId="0" fillId="3" borderId="5" xfId="0" applyNumberFormat="1" applyFont="1" applyFill="1" applyBorder="1" applyAlignment="1">
      <alignment horizontal="center"/>
    </xf>
    <xf numFmtId="0" fontId="7" fillId="0" borderId="9" xfId="0" applyFont="1" applyBorder="1" applyAlignment="1">
      <alignment/>
    </xf>
    <xf numFmtId="0" fontId="7" fillId="4" borderId="9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167" fontId="0" fillId="4" borderId="0" xfId="0" applyNumberFormat="1" applyFill="1" applyBorder="1" applyAlignment="1">
      <alignment horizontal="center"/>
    </xf>
    <xf numFmtId="167" fontId="0" fillId="4" borderId="4" xfId="0" applyNumberForma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173" fontId="1" fillId="2" borderId="6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167" fontId="0" fillId="2" borderId="8" xfId="0" applyNumberFormat="1" applyFill="1" applyBorder="1" applyAlignment="1">
      <alignment horizontal="center"/>
    </xf>
    <xf numFmtId="0" fontId="7" fillId="5" borderId="9" xfId="0" applyFont="1" applyFill="1" applyBorder="1" applyAlignment="1">
      <alignment/>
    </xf>
    <xf numFmtId="173" fontId="1" fillId="5" borderId="6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4" xfId="0" applyFill="1" applyBorder="1" applyAlignment="1">
      <alignment/>
    </xf>
    <xf numFmtId="167" fontId="0" fillId="5" borderId="4" xfId="0" applyNumberFormat="1" applyFill="1" applyBorder="1" applyAlignment="1">
      <alignment horizontal="center"/>
    </xf>
    <xf numFmtId="167" fontId="0" fillId="5" borderId="8" xfId="0" applyNumberForma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64" fontId="0" fillId="4" borderId="0" xfId="0" applyNumberFormat="1" applyFont="1" applyFill="1" applyAlignment="1">
      <alignment/>
    </xf>
    <xf numFmtId="0" fontId="10" fillId="0" borderId="0" xfId="0" applyFont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11" fillId="0" borderId="0" xfId="0" applyFont="1" applyAlignment="1">
      <alignment wrapText="1"/>
    </xf>
    <xf numFmtId="0" fontId="9" fillId="6" borderId="0" xfId="0" applyFont="1" applyFill="1" applyAlignment="1">
      <alignment wrapText="1"/>
    </xf>
    <xf numFmtId="0" fontId="1" fillId="6" borderId="0" xfId="0" applyFont="1" applyFill="1" applyAlignment="1">
      <alignment/>
    </xf>
    <xf numFmtId="0" fontId="1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16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7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6" borderId="0" xfId="0" applyFont="1" applyFill="1" applyAlignment="1">
      <alignment/>
    </xf>
    <xf numFmtId="0" fontId="8" fillId="0" borderId="0" xfId="0" applyFont="1" applyAlignment="1">
      <alignment/>
    </xf>
    <xf numFmtId="167" fontId="0" fillId="4" borderId="0" xfId="0" applyNumberFormat="1" applyFill="1" applyAlignment="1">
      <alignment/>
    </xf>
    <xf numFmtId="167" fontId="8" fillId="4" borderId="0" xfId="0" applyNumberFormat="1" applyFont="1" applyFill="1" applyAlignment="1">
      <alignment/>
    </xf>
    <xf numFmtId="167" fontId="1" fillId="4" borderId="0" xfId="0" applyNumberFormat="1" applyFont="1" applyFill="1" applyAlignment="1">
      <alignment/>
    </xf>
    <xf numFmtId="164" fontId="0" fillId="4" borderId="0" xfId="0" applyNumberFormat="1" applyFill="1" applyBorder="1" applyAlignment="1">
      <alignment/>
    </xf>
    <xf numFmtId="167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7" fontId="0" fillId="6" borderId="8" xfId="0" applyNumberForma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167" fontId="1" fillId="7" borderId="6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167" fontId="1" fillId="7" borderId="8" xfId="0" applyNumberFormat="1" applyFont="1" applyFill="1" applyBorder="1" applyAlignment="1">
      <alignment horizontal="center"/>
    </xf>
    <xf numFmtId="173" fontId="1" fillId="4" borderId="4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73" fontId="1" fillId="4" borderId="12" xfId="0" applyNumberFormat="1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5" borderId="14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7" fontId="0" fillId="4" borderId="13" xfId="0" applyNumberForma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67" fontId="1" fillId="7" borderId="13" xfId="0" applyNumberFormat="1" applyFont="1" applyFill="1" applyBorder="1" applyAlignment="1">
      <alignment horizontal="center"/>
    </xf>
    <xf numFmtId="173" fontId="1" fillId="2" borderId="14" xfId="0" applyNumberFormat="1" applyFont="1" applyFill="1" applyBorder="1" applyAlignment="1">
      <alignment horizontal="center"/>
    </xf>
    <xf numFmtId="167" fontId="0" fillId="2" borderId="12" xfId="0" applyNumberFormat="1" applyFill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173" fontId="1" fillId="5" borderId="14" xfId="0" applyNumberFormat="1" applyFont="1" applyFill="1" applyBorder="1" applyAlignment="1">
      <alignment horizontal="center"/>
    </xf>
    <xf numFmtId="167" fontId="0" fillId="5" borderId="12" xfId="0" applyNumberFormat="1" applyFill="1" applyBorder="1" applyAlignment="1">
      <alignment horizontal="center"/>
    </xf>
    <xf numFmtId="167" fontId="0" fillId="5" borderId="13" xfId="0" applyNumberFormat="1" applyFill="1" applyBorder="1" applyAlignment="1">
      <alignment horizontal="center"/>
    </xf>
    <xf numFmtId="167" fontId="1" fillId="7" borderId="14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/>
    </xf>
    <xf numFmtId="0" fontId="7" fillId="4" borderId="15" xfId="0" applyFont="1" applyFill="1" applyBorder="1" applyAlignment="1">
      <alignment/>
    </xf>
    <xf numFmtId="173" fontId="1" fillId="4" borderId="16" xfId="0" applyNumberFormat="1" applyFont="1" applyFill="1" applyBorder="1" applyAlignment="1">
      <alignment horizontal="center"/>
    </xf>
    <xf numFmtId="173" fontId="1" fillId="4" borderId="17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4" borderId="15" xfId="0" applyFont="1" applyFill="1" applyBorder="1" applyAlignment="1">
      <alignment horizontal="right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15" xfId="0" applyFill="1" applyBorder="1" applyAlignment="1">
      <alignment/>
    </xf>
    <xf numFmtId="167" fontId="0" fillId="4" borderId="3" xfId="0" applyNumberFormat="1" applyFill="1" applyBorder="1" applyAlignment="1">
      <alignment horizontal="center"/>
    </xf>
    <xf numFmtId="167" fontId="0" fillId="4" borderId="16" xfId="0" applyNumberFormat="1" applyFill="1" applyBorder="1" applyAlignment="1">
      <alignment horizontal="center"/>
    </xf>
    <xf numFmtId="167" fontId="0" fillId="4" borderId="17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167" fontId="0" fillId="2" borderId="16" xfId="0" applyNumberFormat="1" applyFill="1" applyBorder="1" applyAlignment="1">
      <alignment horizontal="center"/>
    </xf>
    <xf numFmtId="167" fontId="0" fillId="2" borderId="17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 horizontal="center"/>
    </xf>
    <xf numFmtId="167" fontId="0" fillId="5" borderId="16" xfId="0" applyNumberFormat="1" applyFill="1" applyBorder="1" applyAlignment="1">
      <alignment horizontal="center"/>
    </xf>
    <xf numFmtId="167" fontId="0" fillId="5" borderId="17" xfId="0" applyNumberFormat="1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9" xfId="0" applyFill="1" applyBorder="1" applyAlignment="1">
      <alignment/>
    </xf>
    <xf numFmtId="167" fontId="0" fillId="4" borderId="20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173" fontId="1" fillId="7" borderId="21" xfId="0" applyNumberFormat="1" applyFont="1" applyFill="1" applyBorder="1" applyAlignment="1">
      <alignment horizontal="center"/>
    </xf>
    <xf numFmtId="167" fontId="1" fillId="7" borderId="20" xfId="0" applyNumberFormat="1" applyFont="1" applyFill="1" applyBorder="1" applyAlignment="1">
      <alignment horizontal="center"/>
    </xf>
    <xf numFmtId="173" fontId="1" fillId="2" borderId="21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67" fontId="0" fillId="2" borderId="19" xfId="0" applyNumberForma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0" fontId="0" fillId="2" borderId="19" xfId="0" applyFill="1" applyBorder="1" applyAlignment="1">
      <alignment/>
    </xf>
    <xf numFmtId="167" fontId="0" fillId="2" borderId="20" xfId="0" applyNumberFormat="1" applyFill="1" applyBorder="1" applyAlignment="1">
      <alignment horizontal="center"/>
    </xf>
    <xf numFmtId="173" fontId="1" fillId="5" borderId="21" xfId="0" applyNumberFormat="1" applyFont="1" applyFill="1" applyBorder="1" applyAlignment="1">
      <alignment horizontal="center"/>
    </xf>
    <xf numFmtId="0" fontId="0" fillId="5" borderId="2" xfId="0" applyFill="1" applyBorder="1" applyAlignment="1">
      <alignment/>
    </xf>
    <xf numFmtId="167" fontId="0" fillId="5" borderId="19" xfId="0" applyNumberFormat="1" applyFill="1" applyBorder="1" applyAlignment="1">
      <alignment horizontal="center"/>
    </xf>
    <xf numFmtId="167" fontId="0" fillId="5" borderId="2" xfId="0" applyNumberFormat="1" applyFill="1" applyBorder="1" applyAlignment="1">
      <alignment horizontal="center"/>
    </xf>
    <xf numFmtId="0" fontId="0" fillId="5" borderId="19" xfId="0" applyFill="1" applyBorder="1" applyAlignment="1">
      <alignment/>
    </xf>
    <xf numFmtId="167" fontId="0" fillId="5" borderId="20" xfId="0" applyNumberForma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173" fontId="1" fillId="2" borderId="16" xfId="0" applyNumberFormat="1" applyFont="1" applyFill="1" applyBorder="1" applyAlignment="1">
      <alignment horizontal="center"/>
    </xf>
    <xf numFmtId="173" fontId="0" fillId="2" borderId="17" xfId="0" applyNumberFormat="1" applyFill="1" applyBorder="1" applyAlignment="1">
      <alignment horizontal="center"/>
    </xf>
    <xf numFmtId="0" fontId="1" fillId="5" borderId="15" xfId="0" applyFont="1" applyFill="1" applyBorder="1" applyAlignment="1">
      <alignment horizontal="right"/>
    </xf>
    <xf numFmtId="173" fontId="1" fillId="5" borderId="16" xfId="0" applyNumberFormat="1" applyFont="1" applyFill="1" applyBorder="1" applyAlignment="1">
      <alignment horizontal="center"/>
    </xf>
    <xf numFmtId="173" fontId="0" fillId="5" borderId="16" xfId="0" applyNumberFormat="1" applyFill="1" applyBorder="1" applyAlignment="1">
      <alignment horizontal="center"/>
    </xf>
    <xf numFmtId="173" fontId="0" fillId="5" borderId="17" xfId="0" applyNumberFormat="1" applyFill="1" applyBorder="1" applyAlignment="1">
      <alignment horizontal="center"/>
    </xf>
    <xf numFmtId="0" fontId="18" fillId="0" borderId="0" xfId="0" applyFont="1" applyAlignment="1">
      <alignment/>
    </xf>
    <xf numFmtId="0" fontId="1" fillId="2" borderId="16" xfId="0" applyFont="1" applyFill="1" applyBorder="1" applyAlignment="1">
      <alignment/>
    </xf>
    <xf numFmtId="173" fontId="1" fillId="2" borderId="17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/>
    </xf>
    <xf numFmtId="173" fontId="1" fillId="5" borderId="17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right"/>
    </xf>
    <xf numFmtId="173" fontId="0" fillId="5" borderId="19" xfId="0" applyNumberFormat="1" applyFont="1" applyFill="1" applyBorder="1" applyAlignment="1">
      <alignment horizontal="center"/>
    </xf>
    <xf numFmtId="173" fontId="0" fillId="2" borderId="19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173" fontId="0" fillId="4" borderId="12" xfId="0" applyNumberFormat="1" applyFont="1" applyFill="1" applyBorder="1" applyAlignment="1">
      <alignment horizontal="center"/>
    </xf>
    <xf numFmtId="173" fontId="0" fillId="4" borderId="2" xfId="0" applyNumberFormat="1" applyFont="1" applyFill="1" applyBorder="1" applyAlignment="1">
      <alignment horizontal="center"/>
    </xf>
    <xf numFmtId="173" fontId="0" fillId="4" borderId="16" xfId="0" applyNumberFormat="1" applyFont="1" applyFill="1" applyBorder="1" applyAlignment="1">
      <alignment horizontal="center"/>
    </xf>
    <xf numFmtId="173" fontId="0" fillId="4" borderId="19" xfId="0" applyNumberFormat="1" applyFont="1" applyFill="1" applyBorder="1" applyAlignment="1">
      <alignment horizontal="center"/>
    </xf>
    <xf numFmtId="167" fontId="0" fillId="0" borderId="2" xfId="0" applyNumberFormat="1" applyBorder="1" applyAlignment="1">
      <alignment/>
    </xf>
    <xf numFmtId="180" fontId="0" fillId="4" borderId="0" xfId="15" applyNumberFormat="1" applyFill="1" applyAlignment="1">
      <alignment/>
    </xf>
    <xf numFmtId="180" fontId="8" fillId="4" borderId="0" xfId="15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2" fontId="0" fillId="0" borderId="5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173" fontId="0" fillId="0" borderId="5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3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5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/>
    </xf>
    <xf numFmtId="0" fontId="1" fillId="6" borderId="14" xfId="0" applyFont="1" applyFill="1" applyBorder="1" applyAlignment="1">
      <alignment/>
    </xf>
    <xf numFmtId="173" fontId="1" fillId="6" borderId="14" xfId="0" applyNumberFormat="1" applyFont="1" applyFill="1" applyBorder="1" applyAlignment="1">
      <alignment horizontal="center"/>
    </xf>
    <xf numFmtId="173" fontId="1" fillId="6" borderId="21" xfId="0" applyNumberFormat="1" applyFont="1" applyFill="1" applyBorder="1" applyAlignment="1">
      <alignment horizontal="center"/>
    </xf>
    <xf numFmtId="173" fontId="1" fillId="6" borderId="6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right"/>
    </xf>
    <xf numFmtId="0" fontId="1" fillId="6" borderId="16" xfId="0" applyFont="1" applyFill="1" applyBorder="1" applyAlignment="1">
      <alignment/>
    </xf>
    <xf numFmtId="173" fontId="1" fillId="6" borderId="16" xfId="0" applyNumberFormat="1" applyFont="1" applyFill="1" applyBorder="1" applyAlignment="1">
      <alignment horizontal="center"/>
    </xf>
    <xf numFmtId="173" fontId="0" fillId="6" borderId="19" xfId="0" applyNumberFormat="1" applyFont="1" applyFill="1" applyBorder="1" applyAlignment="1">
      <alignment horizontal="center"/>
    </xf>
    <xf numFmtId="173" fontId="1" fillId="6" borderId="17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right"/>
    </xf>
    <xf numFmtId="0" fontId="0" fillId="6" borderId="16" xfId="0" applyFill="1" applyBorder="1" applyAlignment="1">
      <alignment/>
    </xf>
    <xf numFmtId="173" fontId="0" fillId="6" borderId="16" xfId="0" applyNumberFormat="1" applyFill="1" applyBorder="1" applyAlignment="1">
      <alignment horizontal="center"/>
    </xf>
    <xf numFmtId="173" fontId="0" fillId="6" borderId="17" xfId="0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4" xfId="0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167" fontId="0" fillId="6" borderId="16" xfId="0" applyNumberFormat="1" applyFill="1" applyBorder="1" applyAlignment="1">
      <alignment horizontal="center"/>
    </xf>
    <xf numFmtId="167" fontId="0" fillId="6" borderId="19" xfId="0" applyNumberFormat="1" applyFill="1" applyBorder="1" applyAlignment="1">
      <alignment horizontal="center"/>
    </xf>
    <xf numFmtId="167" fontId="0" fillId="6" borderId="17" xfId="0" applyNumberFormat="1" applyFill="1" applyBorder="1" applyAlignment="1">
      <alignment horizontal="center"/>
    </xf>
    <xf numFmtId="167" fontId="0" fillId="6" borderId="12" xfId="0" applyNumberFormat="1" applyFill="1" applyBorder="1" applyAlignment="1">
      <alignment horizontal="center"/>
    </xf>
    <xf numFmtId="167" fontId="0" fillId="6" borderId="2" xfId="0" applyNumberFormat="1" applyFill="1" applyBorder="1" applyAlignment="1">
      <alignment horizontal="center"/>
    </xf>
    <xf numFmtId="167" fontId="0" fillId="6" borderId="4" xfId="0" applyNumberFormat="1" applyFill="1" applyBorder="1" applyAlignment="1">
      <alignment horizontal="center"/>
    </xf>
    <xf numFmtId="0" fontId="0" fillId="6" borderId="19" xfId="0" applyFill="1" applyBorder="1" applyAlignment="1">
      <alignment/>
    </xf>
    <xf numFmtId="0" fontId="0" fillId="6" borderId="17" xfId="0" applyFill="1" applyBorder="1" applyAlignment="1">
      <alignment/>
    </xf>
    <xf numFmtId="0" fontId="1" fillId="6" borderId="10" xfId="0" applyFont="1" applyFill="1" applyBorder="1" applyAlignment="1">
      <alignment/>
    </xf>
    <xf numFmtId="0" fontId="0" fillId="6" borderId="13" xfId="0" applyFill="1" applyBorder="1" applyAlignment="1">
      <alignment horizontal="center"/>
    </xf>
    <xf numFmtId="167" fontId="0" fillId="6" borderId="13" xfId="0" applyNumberFormat="1" applyFill="1" applyBorder="1" applyAlignment="1">
      <alignment horizontal="center"/>
    </xf>
    <xf numFmtId="167" fontId="0" fillId="6" borderId="20" xfId="0" applyNumberFormat="1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173" fontId="7" fillId="0" borderId="14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6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2" xfId="0" applyFont="1" applyBorder="1" applyAlignment="1">
      <alignment/>
    </xf>
    <xf numFmtId="173" fontId="14" fillId="0" borderId="12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173" fontId="7" fillId="0" borderId="4" xfId="0" applyNumberFormat="1" applyFont="1" applyBorder="1" applyAlignment="1">
      <alignment horizontal="center"/>
    </xf>
    <xf numFmtId="173" fontId="14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horizontal="center"/>
    </xf>
    <xf numFmtId="167" fontId="14" fillId="0" borderId="16" xfId="0" applyNumberFormat="1" applyFont="1" applyBorder="1" applyAlignment="1">
      <alignment horizontal="center"/>
    </xf>
    <xf numFmtId="167" fontId="14" fillId="0" borderId="17" xfId="0" applyNumberFormat="1" applyFont="1" applyBorder="1" applyAlignment="1">
      <alignment horizontal="center"/>
    </xf>
    <xf numFmtId="167" fontId="14" fillId="0" borderId="12" xfId="0" applyNumberFormat="1" applyFont="1" applyBorder="1" applyAlignment="1">
      <alignment horizontal="center"/>
    </xf>
    <xf numFmtId="167" fontId="14" fillId="0" borderId="4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14" fillId="0" borderId="13" xfId="0" applyFont="1" applyBorder="1" applyAlignment="1">
      <alignment horizontal="center"/>
    </xf>
    <xf numFmtId="167" fontId="14" fillId="0" borderId="13" xfId="0" applyNumberFormat="1" applyFont="1" applyBorder="1" applyAlignment="1">
      <alignment horizontal="center"/>
    </xf>
    <xf numFmtId="167" fontId="14" fillId="0" borderId="20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7" fontId="0" fillId="0" borderId="12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2" fillId="0" borderId="12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0" xfId="0" applyFont="1" applyAlignment="1">
      <alignment horizontal="right"/>
    </xf>
    <xf numFmtId="167" fontId="22" fillId="0" borderId="12" xfId="0" applyNumberFormat="1" applyFont="1" applyBorder="1" applyAlignment="1">
      <alignment/>
    </xf>
    <xf numFmtId="167" fontId="22" fillId="0" borderId="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/>
    </xf>
    <xf numFmtId="173" fontId="1" fillId="0" borderId="12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7" fillId="8" borderId="12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0" xfId="0" applyFill="1" applyAlignment="1">
      <alignment/>
    </xf>
    <xf numFmtId="0" fontId="17" fillId="8" borderId="9" xfId="0" applyFont="1" applyFill="1" applyBorder="1" applyAlignment="1">
      <alignment/>
    </xf>
    <xf numFmtId="0" fontId="17" fillId="8" borderId="14" xfId="0" applyFont="1" applyFill="1" applyBorder="1" applyAlignment="1">
      <alignment/>
    </xf>
    <xf numFmtId="173" fontId="17" fillId="8" borderId="14" xfId="0" applyNumberFormat="1" applyFont="1" applyFill="1" applyBorder="1" applyAlignment="1">
      <alignment horizontal="center"/>
    </xf>
    <xf numFmtId="173" fontId="17" fillId="8" borderId="21" xfId="0" applyNumberFormat="1" applyFont="1" applyFill="1" applyBorder="1" applyAlignment="1">
      <alignment horizontal="center"/>
    </xf>
    <xf numFmtId="0" fontId="21" fillId="8" borderId="1" xfId="0" applyFont="1" applyFill="1" applyBorder="1" applyAlignment="1">
      <alignment/>
    </xf>
    <xf numFmtId="0" fontId="21" fillId="8" borderId="12" xfId="0" applyFont="1" applyFill="1" applyBorder="1" applyAlignment="1">
      <alignment/>
    </xf>
    <xf numFmtId="0" fontId="21" fillId="8" borderId="2" xfId="0" applyFont="1" applyFill="1" applyBorder="1" applyAlignment="1">
      <alignment/>
    </xf>
    <xf numFmtId="0" fontId="17" fillId="8" borderId="1" xfId="0" applyFont="1" applyFill="1" applyBorder="1" applyAlignment="1">
      <alignment/>
    </xf>
    <xf numFmtId="0" fontId="21" fillId="8" borderId="12" xfId="0" applyFont="1" applyFill="1" applyBorder="1" applyAlignment="1">
      <alignment horizontal="center"/>
    </xf>
    <xf numFmtId="0" fontId="21" fillId="8" borderId="15" xfId="0" applyFont="1" applyFill="1" applyBorder="1" applyAlignment="1">
      <alignment/>
    </xf>
    <xf numFmtId="0" fontId="21" fillId="8" borderId="16" xfId="0" applyFont="1" applyFill="1" applyBorder="1" applyAlignment="1">
      <alignment horizontal="center"/>
    </xf>
    <xf numFmtId="167" fontId="21" fillId="8" borderId="16" xfId="0" applyNumberFormat="1" applyFont="1" applyFill="1" applyBorder="1" applyAlignment="1">
      <alignment horizontal="center"/>
    </xf>
    <xf numFmtId="167" fontId="21" fillId="8" borderId="12" xfId="0" applyNumberFormat="1" applyFont="1" applyFill="1" applyBorder="1" applyAlignment="1">
      <alignment horizontal="center"/>
    </xf>
    <xf numFmtId="0" fontId="21" fillId="8" borderId="19" xfId="0" applyFont="1" applyFill="1" applyBorder="1" applyAlignment="1">
      <alignment/>
    </xf>
    <xf numFmtId="0" fontId="21" fillId="8" borderId="16" xfId="0" applyFont="1" applyFill="1" applyBorder="1" applyAlignment="1">
      <alignment/>
    </xf>
    <xf numFmtId="0" fontId="17" fillId="8" borderId="10" xfId="0" applyFont="1" applyFill="1" applyBorder="1" applyAlignment="1">
      <alignment/>
    </xf>
    <xf numFmtId="0" fontId="21" fillId="8" borderId="13" xfId="0" applyFont="1" applyFill="1" applyBorder="1" applyAlignment="1">
      <alignment horizontal="center"/>
    </xf>
    <xf numFmtId="167" fontId="21" fillId="8" borderId="13" xfId="0" applyNumberFormat="1" applyFont="1" applyFill="1" applyBorder="1" applyAlignment="1">
      <alignment horizontal="center"/>
    </xf>
    <xf numFmtId="167" fontId="21" fillId="8" borderId="20" xfId="0" applyNumberFormat="1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2" fillId="9" borderId="12" xfId="0" applyFont="1" applyFill="1" applyBorder="1" applyAlignment="1">
      <alignment/>
    </xf>
    <xf numFmtId="0" fontId="0" fillId="9" borderId="0" xfId="0" applyFill="1" applyAlignment="1">
      <alignment/>
    </xf>
    <xf numFmtId="0" fontId="17" fillId="9" borderId="9" xfId="0" applyFont="1" applyFill="1" applyBorder="1" applyAlignment="1">
      <alignment/>
    </xf>
    <xf numFmtId="0" fontId="17" fillId="9" borderId="14" xfId="0" applyFont="1" applyFill="1" applyBorder="1" applyAlignment="1">
      <alignment/>
    </xf>
    <xf numFmtId="173" fontId="17" fillId="9" borderId="14" xfId="0" applyNumberFormat="1" applyFont="1" applyFill="1" applyBorder="1" applyAlignment="1">
      <alignment horizontal="center"/>
    </xf>
    <xf numFmtId="173" fontId="17" fillId="9" borderId="21" xfId="0" applyNumberFormat="1" applyFont="1" applyFill="1" applyBorder="1" applyAlignment="1">
      <alignment horizontal="center"/>
    </xf>
    <xf numFmtId="0" fontId="21" fillId="9" borderId="1" xfId="0" applyFont="1" applyFill="1" applyBorder="1" applyAlignment="1">
      <alignment/>
    </xf>
    <xf numFmtId="0" fontId="21" fillId="9" borderId="12" xfId="0" applyFont="1" applyFill="1" applyBorder="1" applyAlignment="1">
      <alignment/>
    </xf>
    <xf numFmtId="173" fontId="21" fillId="9" borderId="12" xfId="0" applyNumberFormat="1" applyFont="1" applyFill="1" applyBorder="1" applyAlignment="1">
      <alignment horizontal="center"/>
    </xf>
    <xf numFmtId="0" fontId="21" fillId="9" borderId="2" xfId="0" applyFont="1" applyFill="1" applyBorder="1" applyAlignment="1">
      <alignment/>
    </xf>
    <xf numFmtId="0" fontId="17" fillId="9" borderId="1" xfId="0" applyFont="1" applyFill="1" applyBorder="1" applyAlignment="1">
      <alignment/>
    </xf>
    <xf numFmtId="0" fontId="21" fillId="9" borderId="12" xfId="0" applyFont="1" applyFill="1" applyBorder="1" applyAlignment="1">
      <alignment horizontal="center"/>
    </xf>
    <xf numFmtId="0" fontId="21" fillId="9" borderId="15" xfId="0" applyFont="1" applyFill="1" applyBorder="1" applyAlignment="1">
      <alignment/>
    </xf>
    <xf numFmtId="0" fontId="21" fillId="9" borderId="16" xfId="0" applyFont="1" applyFill="1" applyBorder="1" applyAlignment="1">
      <alignment horizontal="center"/>
    </xf>
    <xf numFmtId="167" fontId="21" fillId="9" borderId="16" xfId="0" applyNumberFormat="1" applyFont="1" applyFill="1" applyBorder="1" applyAlignment="1">
      <alignment horizontal="center"/>
    </xf>
    <xf numFmtId="167" fontId="21" fillId="9" borderId="12" xfId="0" applyNumberFormat="1" applyFont="1" applyFill="1" applyBorder="1" applyAlignment="1">
      <alignment horizontal="center"/>
    </xf>
    <xf numFmtId="0" fontId="21" fillId="9" borderId="19" xfId="0" applyFont="1" applyFill="1" applyBorder="1" applyAlignment="1">
      <alignment/>
    </xf>
    <xf numFmtId="0" fontId="21" fillId="9" borderId="16" xfId="0" applyFont="1" applyFill="1" applyBorder="1" applyAlignment="1">
      <alignment/>
    </xf>
    <xf numFmtId="0" fontId="17" fillId="9" borderId="10" xfId="0" applyFont="1" applyFill="1" applyBorder="1" applyAlignment="1">
      <alignment/>
    </xf>
    <xf numFmtId="0" fontId="21" fillId="9" borderId="13" xfId="0" applyFont="1" applyFill="1" applyBorder="1" applyAlignment="1">
      <alignment horizontal="center"/>
    </xf>
    <xf numFmtId="167" fontId="21" fillId="9" borderId="13" xfId="0" applyNumberFormat="1" applyFont="1" applyFill="1" applyBorder="1" applyAlignment="1">
      <alignment horizontal="center"/>
    </xf>
    <xf numFmtId="167" fontId="21" fillId="9" borderId="20" xfId="0" applyNumberFormat="1" applyFont="1" applyFill="1" applyBorder="1" applyAlignment="1">
      <alignment horizontal="center"/>
    </xf>
    <xf numFmtId="0" fontId="24" fillId="9" borderId="0" xfId="0" applyFont="1" applyFill="1" applyAlignment="1">
      <alignment/>
    </xf>
    <xf numFmtId="0" fontId="24" fillId="8" borderId="0" xfId="0" applyFont="1" applyFill="1" applyAlignment="1">
      <alignment/>
    </xf>
    <xf numFmtId="0" fontId="0" fillId="0" borderId="12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7" fillId="8" borderId="0" xfId="0" applyFont="1" applyFill="1" applyBorder="1" applyAlignment="1">
      <alignment/>
    </xf>
    <xf numFmtId="167" fontId="21" fillId="8" borderId="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0" fillId="0" borderId="0" xfId="0" applyFont="1" applyAlignment="1">
      <alignment/>
    </xf>
    <xf numFmtId="0" fontId="19" fillId="4" borderId="0" xfId="0" applyFont="1" applyFill="1" applyAlignment="1">
      <alignment/>
    </xf>
    <xf numFmtId="0" fontId="1" fillId="6" borderId="0" xfId="0" applyFont="1" applyFill="1" applyAlignment="1">
      <alignment horizontal="right"/>
    </xf>
    <xf numFmtId="0" fontId="26" fillId="4" borderId="0" xfId="0" applyFont="1" applyFill="1" applyAlignment="1">
      <alignment/>
    </xf>
    <xf numFmtId="0" fontId="26" fillId="4" borderId="0" xfId="0" applyFont="1" applyFill="1" applyAlignment="1">
      <alignment horizontal="right"/>
    </xf>
    <xf numFmtId="0" fontId="15" fillId="10" borderId="0" xfId="0" applyFont="1" applyFill="1" applyAlignment="1">
      <alignment/>
    </xf>
    <xf numFmtId="0" fontId="25" fillId="10" borderId="0" xfId="0" applyFont="1" applyFill="1" applyAlignment="1">
      <alignment horizontal="right"/>
    </xf>
    <xf numFmtId="0" fontId="25" fillId="10" borderId="0" xfId="0" applyFont="1" applyFill="1" applyAlignment="1">
      <alignment/>
    </xf>
    <xf numFmtId="167" fontId="25" fillId="10" borderId="0" xfId="0" applyNumberFormat="1" applyFont="1" applyFill="1" applyAlignment="1">
      <alignment/>
    </xf>
    <xf numFmtId="167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2" fontId="26" fillId="4" borderId="0" xfId="0" applyNumberFormat="1" applyFont="1" applyFill="1" applyAlignment="1">
      <alignment/>
    </xf>
    <xf numFmtId="0" fontId="0" fillId="10" borderId="0" xfId="0" applyFill="1" applyAlignment="1">
      <alignment/>
    </xf>
    <xf numFmtId="0" fontId="7" fillId="10" borderId="0" xfId="0" applyFont="1" applyFill="1" applyAlignment="1">
      <alignment horizontal="right"/>
    </xf>
    <xf numFmtId="0" fontId="1" fillId="10" borderId="0" xfId="0" applyFont="1" applyFill="1" applyAlignment="1">
      <alignment/>
    </xf>
    <xf numFmtId="167" fontId="1" fillId="10" borderId="0" xfId="0" applyNumberFormat="1" applyFont="1" applyFill="1" applyAlignment="1">
      <alignment/>
    </xf>
    <xf numFmtId="0" fontId="1" fillId="10" borderId="0" xfId="0" applyFont="1" applyFill="1" applyAlignment="1">
      <alignment horizontal="right"/>
    </xf>
    <xf numFmtId="167" fontId="0" fillId="10" borderId="0" xfId="0" applyNumberFormat="1" applyFill="1" applyAlignment="1">
      <alignment/>
    </xf>
    <xf numFmtId="0" fontId="1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PPPL Techs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8075"/>
          <c:w val="0.979"/>
          <c:h val="0.89125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'MIE closeout staff detail'!$B$220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detail'!$J$220:$S$220</c:f>
              <c:numCache>
                <c:ptCount val="10"/>
                <c:pt idx="0">
                  <c:v>23.700000000000003</c:v>
                </c:pt>
                <c:pt idx="1">
                  <c:v>25.3</c:v>
                </c:pt>
                <c:pt idx="2">
                  <c:v>19.000000000000004</c:v>
                </c:pt>
                <c:pt idx="3">
                  <c:v>16.3</c:v>
                </c:pt>
                <c:pt idx="4">
                  <c:v>7.5</c:v>
                </c:pt>
                <c:pt idx="5">
                  <c:v>3.5</c:v>
                </c:pt>
                <c:pt idx="6">
                  <c:v>3.3000000000000003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"/>
          <c:tx>
            <c:strRef>
              <c:f>'MIE closeout staff detail'!$B$221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detail'!$J$221:$S$221</c:f>
              <c:numCache>
                <c:ptCount val="10"/>
                <c:pt idx="0">
                  <c:v>22.95</c:v>
                </c:pt>
                <c:pt idx="1">
                  <c:v>17.88</c:v>
                </c:pt>
              </c:numCache>
            </c:numRef>
          </c:val>
        </c:ser>
        <c:gapWidth val="90"/>
        <c:axId val="51004456"/>
        <c:axId val="56386921"/>
      </c:barChart>
      <c:catAx>
        <c:axId val="510044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  <c:max val="2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17375"/>
          <c:w val="0.22075"/>
          <c:h val="0.17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PPPL Designers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785"/>
          <c:w val="0.97925"/>
          <c:h val="0.89375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'MIE closeout staff detail'!$D$214</c:f>
              <c:strCache>
                <c:ptCount val="1"/>
                <c:pt idx="0">
                  <c:v>Planned DESIGNERS =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detail'!$J$214:$S$214</c:f>
              <c:numCache>
                <c:ptCount val="10"/>
                <c:pt idx="0">
                  <c:v>3</c:v>
                </c:pt>
                <c:pt idx="1">
                  <c:v>3.6</c:v>
                </c:pt>
                <c:pt idx="2">
                  <c:v>3.7</c:v>
                </c:pt>
                <c:pt idx="3">
                  <c:v>3.6</c:v>
                </c:pt>
                <c:pt idx="4">
                  <c:v>3.9999999999999996</c:v>
                </c:pt>
                <c:pt idx="5">
                  <c:v>1.8</c:v>
                </c:pt>
                <c:pt idx="6">
                  <c:v>1.7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"/>
          <c:tx>
            <c:strRef>
              <c:f>'MIE closeout staff detail'!$D$215</c:f>
              <c:strCache>
                <c:ptCount val="1"/>
                <c:pt idx="0">
                  <c:v>Actual DESIGNERS =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detail'!$J$215:$S$215</c:f>
              <c:numCache>
                <c:ptCount val="10"/>
                <c:pt idx="0">
                  <c:v>3.4000000000000004</c:v>
                </c:pt>
                <c:pt idx="1">
                  <c:v>1.5899999999999999</c:v>
                </c:pt>
              </c:numCache>
            </c:numRef>
          </c:val>
        </c:ser>
        <c:gapWidth val="90"/>
        <c:axId val="37720242"/>
        <c:axId val="3937859"/>
      </c:barChart>
      <c:catAx>
        <c:axId val="37720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  <c:max val="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024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PPPL EA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81"/>
          <c:w val="0.979"/>
          <c:h val="0.891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'MIE closeout staff detail'!$D$216</c:f>
              <c:strCache>
                <c:ptCount val="1"/>
                <c:pt idx="0">
                  <c:v>Planned EA ENGINEERS =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detail'!$J$216:$S$216</c:f>
              <c:numCache>
                <c:ptCount val="10"/>
                <c:pt idx="0">
                  <c:v>6.1</c:v>
                </c:pt>
                <c:pt idx="1">
                  <c:v>7.1000000000000005</c:v>
                </c:pt>
                <c:pt idx="2">
                  <c:v>6.9</c:v>
                </c:pt>
                <c:pt idx="3">
                  <c:v>6.500000000000001</c:v>
                </c:pt>
                <c:pt idx="4">
                  <c:v>5.2</c:v>
                </c:pt>
                <c:pt idx="5">
                  <c:v>1.4</c:v>
                </c:pt>
                <c:pt idx="6">
                  <c:v>1.4</c:v>
                </c:pt>
                <c:pt idx="7">
                  <c:v>1.5</c:v>
                </c:pt>
                <c:pt idx="8">
                  <c:v>1.5</c:v>
                </c:pt>
                <c:pt idx="9">
                  <c:v>1.7000000000000002</c:v>
                </c:pt>
              </c:numCache>
            </c:numRef>
          </c:val>
        </c:ser>
        <c:ser>
          <c:idx val="11"/>
          <c:order val="1"/>
          <c:tx>
            <c:strRef>
              <c:f>'MIE closeout staff detail'!$D$217</c:f>
              <c:strCache>
                <c:ptCount val="1"/>
                <c:pt idx="0">
                  <c:v>Actual EA ENGINEERS =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detail'!$J$217:$S$217</c:f>
              <c:numCache>
                <c:ptCount val="10"/>
                <c:pt idx="0">
                  <c:v>8.14</c:v>
                </c:pt>
                <c:pt idx="1">
                  <c:v>6.8500000000000005</c:v>
                </c:pt>
              </c:numCache>
            </c:numRef>
          </c:val>
        </c:ser>
        <c:gapWidth val="90"/>
        <c:axId val="35440732"/>
        <c:axId val="50531133"/>
      </c:barChart>
      <c:catAx>
        <c:axId val="354407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073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PPPL FO&amp;M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7825"/>
          <c:w val="0.97875"/>
          <c:h val="0.894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'MIE closeout staff detail'!$D$218</c:f>
              <c:strCache>
                <c:ptCount val="1"/>
                <c:pt idx="0">
                  <c:v>Planned FO&amp;M ENGINEERS =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detail'!$J$218:$S$218</c:f>
              <c:numCache>
                <c:ptCount val="10"/>
                <c:pt idx="0">
                  <c:v>6.2</c:v>
                </c:pt>
                <c:pt idx="1">
                  <c:v>5.9</c:v>
                </c:pt>
                <c:pt idx="2">
                  <c:v>5.799999999999999</c:v>
                </c:pt>
                <c:pt idx="3">
                  <c:v>6.1</c:v>
                </c:pt>
                <c:pt idx="4">
                  <c:v>2.3000000000000003</c:v>
                </c:pt>
                <c:pt idx="5">
                  <c:v>0.8999999999999999</c:v>
                </c:pt>
                <c:pt idx="6">
                  <c:v>0.8999999999999999</c:v>
                </c:pt>
                <c:pt idx="7">
                  <c:v>0.8</c:v>
                </c:pt>
                <c:pt idx="8">
                  <c:v>0.7</c:v>
                </c:pt>
                <c:pt idx="9">
                  <c:v>0.8</c:v>
                </c:pt>
              </c:numCache>
            </c:numRef>
          </c:val>
        </c:ser>
        <c:ser>
          <c:idx val="11"/>
          <c:order val="1"/>
          <c:tx>
            <c:strRef>
              <c:f>'MIE closeout staff detail'!$D$219</c:f>
              <c:strCache>
                <c:ptCount val="1"/>
                <c:pt idx="0">
                  <c:v>Actual FO&amp;M ENGINEERS =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detail'!$J$219:$S$219</c:f>
              <c:numCache>
                <c:ptCount val="10"/>
                <c:pt idx="0">
                  <c:v>5.010000000000001</c:v>
                </c:pt>
                <c:pt idx="1">
                  <c:v>4.93</c:v>
                </c:pt>
              </c:numCache>
            </c:numRef>
          </c:val>
        </c:ser>
        <c:gapWidth val="90"/>
        <c:axId val="52127014"/>
        <c:axId val="66489943"/>
      </c:barChart>
      <c:catAx>
        <c:axId val="52127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2701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ORNL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81"/>
          <c:w val="0.979"/>
          <c:h val="0.891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'MIE closeout staff detail'!$D$222</c:f>
              <c:strCache>
                <c:ptCount val="1"/>
                <c:pt idx="0">
                  <c:v>Planned ORNL=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detail'!$J$222:$S$222</c:f>
              <c:numCache>
                <c:ptCount val="10"/>
                <c:pt idx="0">
                  <c:v>7.4</c:v>
                </c:pt>
                <c:pt idx="1">
                  <c:v>3.7000000000000006</c:v>
                </c:pt>
                <c:pt idx="2">
                  <c:v>3.0000000000000004</c:v>
                </c:pt>
                <c:pt idx="3">
                  <c:v>2.8000000000000003</c:v>
                </c:pt>
                <c:pt idx="4">
                  <c:v>0.8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0.2</c:v>
                </c:pt>
              </c:numCache>
            </c:numRef>
          </c:val>
        </c:ser>
        <c:ser>
          <c:idx val="11"/>
          <c:order val="1"/>
          <c:tx>
            <c:strRef>
              <c:f>'MIE closeout staff detail'!$D$223</c:f>
              <c:strCache>
                <c:ptCount val="1"/>
                <c:pt idx="0">
                  <c:v>Actual ORNL=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'MIE closeout staff detail'!$J$213:$S$213</c:f>
              <c:strCache>
                <c:ptCount val="10"/>
                <c:pt idx="0">
                  <c:v>  JUN FY08</c:v>
                </c:pt>
                <c:pt idx="1">
                  <c:v>  JUL FY08</c:v>
                </c:pt>
                <c:pt idx="2">
                  <c:v>  AUG FY08</c:v>
                </c:pt>
                <c:pt idx="3">
                  <c:v>  SEP FY08</c:v>
                </c:pt>
                <c:pt idx="4">
                  <c:v>  OCT FY09</c:v>
                </c:pt>
                <c:pt idx="5">
                  <c:v>  NOV FY09</c:v>
                </c:pt>
                <c:pt idx="6">
                  <c:v>  DEC FY09</c:v>
                </c:pt>
                <c:pt idx="7">
                  <c:v>  JAN FY09</c:v>
                </c:pt>
                <c:pt idx="8">
                  <c:v>  FEB FY09</c:v>
                </c:pt>
                <c:pt idx="9">
                  <c:v>  MAR FY09</c:v>
                </c:pt>
              </c:strCache>
            </c:strRef>
          </c:cat>
          <c:val>
            <c:numRef>
              <c:f>'MIE closeout staff detail'!$J$223:$S$223</c:f>
              <c:numCache>
                <c:ptCount val="10"/>
                <c:pt idx="0">
                  <c:v>6.789999999999999</c:v>
                </c:pt>
                <c:pt idx="1">
                  <c:v>0</c:v>
                </c:pt>
              </c:numCache>
            </c:numRef>
          </c:val>
        </c:ser>
        <c:gapWidth val="90"/>
        <c:axId val="61538576"/>
        <c:axId val="16976273"/>
      </c:barChart>
      <c:catAx>
        <c:axId val="615385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3857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229</xdr:row>
      <xdr:rowOff>38100</xdr:rowOff>
    </xdr:from>
    <xdr:to>
      <xdr:col>8</xdr:col>
      <xdr:colOff>352425</xdr:colOff>
      <xdr:row>249</xdr:row>
      <xdr:rowOff>76200</xdr:rowOff>
    </xdr:to>
    <xdr:graphicFrame>
      <xdr:nvGraphicFramePr>
        <xdr:cNvPr id="1" name="Chart 1"/>
        <xdr:cNvGraphicFramePr/>
      </xdr:nvGraphicFramePr>
      <xdr:xfrm>
        <a:off x="1666875" y="38947725"/>
        <a:ext cx="42672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229</xdr:row>
      <xdr:rowOff>38100</xdr:rowOff>
    </xdr:from>
    <xdr:to>
      <xdr:col>16</xdr:col>
      <xdr:colOff>419100</xdr:colOff>
      <xdr:row>249</xdr:row>
      <xdr:rowOff>85725</xdr:rowOff>
    </xdr:to>
    <xdr:graphicFrame>
      <xdr:nvGraphicFramePr>
        <xdr:cNvPr id="2" name="Chart 3"/>
        <xdr:cNvGraphicFramePr/>
      </xdr:nvGraphicFramePr>
      <xdr:xfrm>
        <a:off x="5905500" y="38947725"/>
        <a:ext cx="42862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249</xdr:row>
      <xdr:rowOff>85725</xdr:rowOff>
    </xdr:from>
    <xdr:to>
      <xdr:col>13</xdr:col>
      <xdr:colOff>152400</xdr:colOff>
      <xdr:row>271</xdr:row>
      <xdr:rowOff>19050</xdr:rowOff>
    </xdr:to>
    <xdr:graphicFrame>
      <xdr:nvGraphicFramePr>
        <xdr:cNvPr id="3" name="Chart 4"/>
        <xdr:cNvGraphicFramePr/>
      </xdr:nvGraphicFramePr>
      <xdr:xfrm>
        <a:off x="4067175" y="42491025"/>
        <a:ext cx="42291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249</xdr:row>
      <xdr:rowOff>114300</xdr:rowOff>
    </xdr:from>
    <xdr:to>
      <xdr:col>20</xdr:col>
      <xdr:colOff>571500</xdr:colOff>
      <xdr:row>271</xdr:row>
      <xdr:rowOff>95250</xdr:rowOff>
    </xdr:to>
    <xdr:graphicFrame>
      <xdr:nvGraphicFramePr>
        <xdr:cNvPr id="4" name="Chart 5"/>
        <xdr:cNvGraphicFramePr/>
      </xdr:nvGraphicFramePr>
      <xdr:xfrm>
        <a:off x="8391525" y="42519600"/>
        <a:ext cx="4191000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371475</xdr:colOff>
      <xdr:row>229</xdr:row>
      <xdr:rowOff>57150</xdr:rowOff>
    </xdr:from>
    <xdr:to>
      <xdr:col>23</xdr:col>
      <xdr:colOff>590550</xdr:colOff>
      <xdr:row>249</xdr:row>
      <xdr:rowOff>76200</xdr:rowOff>
    </xdr:to>
    <xdr:graphicFrame>
      <xdr:nvGraphicFramePr>
        <xdr:cNvPr id="5" name="Chart 6"/>
        <xdr:cNvGraphicFramePr/>
      </xdr:nvGraphicFramePr>
      <xdr:xfrm>
        <a:off x="10144125" y="38966775"/>
        <a:ext cx="4286250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89"/>
  <sheetViews>
    <sheetView zoomScale="70" zoomScaleNormal="70" workbookViewId="0" topLeftCell="A97">
      <selection activeCell="C14" sqref="C14"/>
    </sheetView>
  </sheetViews>
  <sheetFormatPr defaultColWidth="9.140625" defaultRowHeight="12.75"/>
  <cols>
    <col min="1" max="1" width="48.00390625" style="0" customWidth="1"/>
    <col min="2" max="2" width="8.8515625" style="111" customWidth="1"/>
    <col min="3" max="3" width="13.8515625" style="111" customWidth="1"/>
    <col min="4" max="4" width="13.8515625" style="15" customWidth="1"/>
    <col min="5" max="5" width="13.8515625" style="111" customWidth="1"/>
    <col min="6" max="7" width="8.8515625" style="111" customWidth="1"/>
    <col min="8" max="16384" width="8.8515625" style="0" customWidth="1"/>
  </cols>
  <sheetData>
    <row r="1" spans="1:8" ht="18">
      <c r="A1" s="363" t="s">
        <v>240</v>
      </c>
      <c r="B1" s="364"/>
      <c r="C1" s="364"/>
      <c r="D1" s="365"/>
      <c r="E1" s="364"/>
      <c r="F1" s="364"/>
      <c r="G1" s="364"/>
      <c r="H1" s="363"/>
    </row>
    <row r="2" spans="2:8" s="2" customFormat="1" ht="12.75">
      <c r="B2" s="110" t="s">
        <v>18</v>
      </c>
      <c r="C2" s="110" t="s">
        <v>19</v>
      </c>
      <c r="D2" s="164" t="s">
        <v>20</v>
      </c>
      <c r="E2" s="110" t="s">
        <v>21</v>
      </c>
      <c r="F2" s="110" t="s">
        <v>22</v>
      </c>
      <c r="G2" s="110" t="s">
        <v>23</v>
      </c>
      <c r="H2" s="9" t="s">
        <v>24</v>
      </c>
    </row>
    <row r="3" ht="3.75" customHeight="1"/>
    <row r="4" spans="1:8" s="142" customFormat="1" ht="15.75">
      <c r="A4" s="139" t="s">
        <v>228</v>
      </c>
      <c r="B4" s="140"/>
      <c r="C4" s="140" t="e">
        <f>SUM(C5:C7)</f>
        <v>#REF!</v>
      </c>
      <c r="D4" s="140" t="e">
        <f>SUM(D5:D7)</f>
        <v>#REF!</v>
      </c>
      <c r="E4" s="140"/>
      <c r="F4" s="140"/>
      <c r="G4" s="140"/>
      <c r="H4" s="141"/>
    </row>
    <row r="5" spans="1:8" s="12" customFormat="1" ht="15.75">
      <c r="A5" s="199" t="s">
        <v>50</v>
      </c>
      <c r="B5" s="112"/>
      <c r="C5" s="200" t="e">
        <f>SUM('NCSX MIE Closeout'!D6)/1000</f>
        <v>#REF!</v>
      </c>
      <c r="D5" s="200" t="e">
        <f>SUM('NCSX MIE Closeout'!E6)/1000</f>
        <v>#REF!</v>
      </c>
      <c r="E5" s="112"/>
      <c r="F5" s="112"/>
      <c r="G5" s="112"/>
      <c r="H5" s="103"/>
    </row>
    <row r="6" spans="1:8" s="2" customFormat="1" ht="15.75">
      <c r="A6" s="104" t="s">
        <v>61</v>
      </c>
      <c r="B6" s="112"/>
      <c r="C6" s="200" t="e">
        <f>SUM('NCSX MIE Closeout'!D8)/1000</f>
        <v>#REF!</v>
      </c>
      <c r="D6" s="201" t="e">
        <f>SUM('NCSX MIE Closeout'!E8)/1000</f>
        <v>#REF!</v>
      </c>
      <c r="E6" s="112"/>
      <c r="F6" s="112"/>
      <c r="G6" s="112"/>
      <c r="H6" s="103"/>
    </row>
    <row r="7" spans="1:8" s="16" customFormat="1" ht="12" customHeight="1">
      <c r="A7" s="143" t="s">
        <v>51</v>
      </c>
      <c r="B7" s="144"/>
      <c r="C7" s="202" t="e">
        <f>SUM('NCSX MIE Closeout'!D7)/1000</f>
        <v>#REF!</v>
      </c>
      <c r="D7" s="203" t="e">
        <f>SUM('NCSX MIE Closeout'!E7)/1000</f>
        <v>#REF!</v>
      </c>
      <c r="E7" s="144"/>
      <c r="F7" s="144"/>
      <c r="G7" s="144"/>
      <c r="H7" s="145"/>
    </row>
    <row r="8" spans="1:9" ht="4.5" customHeight="1">
      <c r="A8" s="49"/>
      <c r="B8" s="113"/>
      <c r="C8" s="113"/>
      <c r="D8" s="165"/>
      <c r="E8" s="113"/>
      <c r="F8" s="113"/>
      <c r="G8" s="113"/>
      <c r="H8" s="48"/>
      <c r="I8" s="11"/>
    </row>
    <row r="9" spans="1:8" s="16" customFormat="1" ht="12.75">
      <c r="A9" s="146" t="s">
        <v>222</v>
      </c>
      <c r="B9" s="147"/>
      <c r="C9" s="147"/>
      <c r="D9" s="166"/>
      <c r="E9" s="144"/>
      <c r="F9" s="144"/>
      <c r="G9" s="144"/>
      <c r="H9" s="145"/>
    </row>
    <row r="10" spans="1:9" ht="12.75">
      <c r="A10" s="49" t="s">
        <v>32</v>
      </c>
      <c r="B10" s="114"/>
      <c r="C10" s="127">
        <f>SUM('NCSX MIE Closeout'!D11)</f>
        <v>0.8200000000000001</v>
      </c>
      <c r="D10" s="50">
        <f>SUM('NCSX MIE Closeout'!E11)</f>
        <v>0.22</v>
      </c>
      <c r="E10" s="127"/>
      <c r="F10" s="127"/>
      <c r="G10" s="127"/>
      <c r="H10" s="51"/>
      <c r="I10" s="11"/>
    </row>
    <row r="11" spans="1:8" s="16" customFormat="1" ht="12.75">
      <c r="A11" s="148" t="s">
        <v>33</v>
      </c>
      <c r="B11" s="147"/>
      <c r="C11" s="150"/>
      <c r="D11" s="149"/>
      <c r="E11" s="150"/>
      <c r="F11" s="150"/>
      <c r="G11" s="150"/>
      <c r="H11" s="151"/>
    </row>
    <row r="12" spans="1:9" ht="12.75">
      <c r="A12" s="49" t="s">
        <v>34</v>
      </c>
      <c r="B12" s="114"/>
      <c r="C12" s="127"/>
      <c r="D12" s="50"/>
      <c r="E12" s="127"/>
      <c r="F12" s="127"/>
      <c r="G12" s="127"/>
      <c r="H12" s="51"/>
      <c r="I12" s="11"/>
    </row>
    <row r="13" spans="1:8" s="16" customFormat="1" ht="12.75">
      <c r="A13" s="148" t="s">
        <v>1</v>
      </c>
      <c r="B13" s="147"/>
      <c r="C13" s="150">
        <f>SUM('NCSX MIE Closeout'!D12)</f>
        <v>0.19</v>
      </c>
      <c r="D13" s="149">
        <f>SUM('NCSX MIE Closeout'!E12)</f>
        <v>0.01</v>
      </c>
      <c r="E13" s="150"/>
      <c r="F13" s="150"/>
      <c r="G13" s="150"/>
      <c r="H13" s="151"/>
    </row>
    <row r="14" spans="1:9" ht="12.75">
      <c r="A14" s="49" t="s">
        <v>2</v>
      </c>
      <c r="B14" s="114"/>
      <c r="C14" s="127">
        <f>SUM('NCSX MIE Closeout'!D13)</f>
        <v>8.51</v>
      </c>
      <c r="D14" s="50">
        <f>SUM('NCSX MIE Closeout'!E13)</f>
        <v>1.27</v>
      </c>
      <c r="E14" s="127"/>
      <c r="F14" s="127"/>
      <c r="G14" s="127"/>
      <c r="H14" s="51"/>
      <c r="I14" s="11"/>
    </row>
    <row r="15" spans="1:8" s="16" customFormat="1" ht="12.75">
      <c r="A15" s="148" t="s">
        <v>35</v>
      </c>
      <c r="B15" s="147"/>
      <c r="C15" s="150">
        <f>SUM('NCSX MIE Closeout'!D14)</f>
        <v>0.17</v>
      </c>
      <c r="D15" s="149">
        <f>SUM('NCSX MIE Closeout'!E14)</f>
        <v>0.05999999999999999</v>
      </c>
      <c r="E15" s="150"/>
      <c r="F15" s="150"/>
      <c r="G15" s="150"/>
      <c r="H15" s="151"/>
    </row>
    <row r="16" spans="1:9" ht="12.75">
      <c r="A16" s="49" t="s">
        <v>36</v>
      </c>
      <c r="B16" s="114"/>
      <c r="C16" s="127">
        <f>SUM('NCSX MIE Closeout'!D15)</f>
        <v>6.959999999999999</v>
      </c>
      <c r="D16" s="50">
        <f>SUM('NCSX MIE Closeout'!E15)</f>
        <v>0.64</v>
      </c>
      <c r="E16" s="127"/>
      <c r="F16" s="127"/>
      <c r="G16" s="127"/>
      <c r="H16" s="51"/>
      <c r="I16" s="11"/>
    </row>
    <row r="17" spans="1:8" s="16" customFormat="1" ht="12.75">
      <c r="A17" s="148" t="s">
        <v>37</v>
      </c>
      <c r="B17" s="147"/>
      <c r="C17" s="150">
        <f>SUM('NCSX MIE Closeout'!D16)</f>
        <v>25</v>
      </c>
      <c r="D17" s="149">
        <f>SUM('NCSX MIE Closeout'!E16)</f>
        <v>1.43</v>
      </c>
      <c r="E17" s="150"/>
      <c r="F17" s="150"/>
      <c r="G17" s="150"/>
      <c r="H17" s="151"/>
    </row>
    <row r="18" spans="1:9" ht="12.75">
      <c r="A18" s="49" t="s">
        <v>212</v>
      </c>
      <c r="B18" s="114"/>
      <c r="C18" s="127">
        <f>SUM('NCSX MIE Closeout'!D17)</f>
        <v>3.5300000000000002</v>
      </c>
      <c r="D18" s="50">
        <f>SUM('NCSX MIE Closeout'!E17)</f>
        <v>0.75</v>
      </c>
      <c r="E18" s="127"/>
      <c r="F18" s="127"/>
      <c r="G18" s="127"/>
      <c r="H18" s="51"/>
      <c r="I18" s="11"/>
    </row>
    <row r="19" spans="1:8" s="16" customFormat="1" ht="12.75">
      <c r="A19" s="148" t="s">
        <v>38</v>
      </c>
      <c r="B19" s="147"/>
      <c r="C19" s="150">
        <f>SUM('NCSX MIE Closeout'!D18)</f>
        <v>3.2300000000000004</v>
      </c>
      <c r="D19" s="149">
        <f>SUM('NCSX MIE Closeout'!E18)</f>
        <v>0.6100000000000001</v>
      </c>
      <c r="E19" s="150"/>
      <c r="F19" s="150"/>
      <c r="G19" s="150"/>
      <c r="H19" s="151"/>
    </row>
    <row r="20" spans="1:9" ht="12.75">
      <c r="A20" s="49"/>
      <c r="B20" s="114"/>
      <c r="C20" s="114"/>
      <c r="D20" s="165"/>
      <c r="E20" s="113"/>
      <c r="F20" s="113"/>
      <c r="G20" s="113"/>
      <c r="H20" s="48"/>
      <c r="I20" s="11"/>
    </row>
    <row r="21" spans="1:9" ht="13.5" thickBot="1">
      <c r="A21" s="105" t="s">
        <v>223</v>
      </c>
      <c r="B21" s="115"/>
      <c r="C21" s="128">
        <f>SUM(C10:C19)</f>
        <v>48.41</v>
      </c>
      <c r="D21" s="167">
        <f>SUM(D10:D19)</f>
        <v>4.99</v>
      </c>
      <c r="E21" s="128"/>
      <c r="F21" s="128"/>
      <c r="G21" s="128"/>
      <c r="H21" s="52"/>
      <c r="I21" s="11"/>
    </row>
    <row r="22" spans="1:9" s="8" customFormat="1" ht="5.25" customHeight="1" thickBot="1">
      <c r="A22" s="92"/>
      <c r="B22" s="116"/>
      <c r="C22" s="129"/>
      <c r="D22" s="168"/>
      <c r="E22" s="129"/>
      <c r="F22" s="129"/>
      <c r="G22" s="129"/>
      <c r="H22" s="94"/>
      <c r="I22" s="92"/>
    </row>
    <row r="23" spans="1:9" s="8" customFormat="1" ht="12.75">
      <c r="A23" s="99" t="s">
        <v>221</v>
      </c>
      <c r="B23" s="117"/>
      <c r="C23" s="137"/>
      <c r="D23" s="169">
        <v>1.75</v>
      </c>
      <c r="E23" s="137"/>
      <c r="F23" s="137"/>
      <c r="G23" s="137"/>
      <c r="H23" s="100"/>
      <c r="I23" s="92"/>
    </row>
    <row r="24" spans="1:9" s="8" customFormat="1" ht="13.5" thickBot="1">
      <c r="A24" s="101"/>
      <c r="B24" s="118"/>
      <c r="C24" s="130"/>
      <c r="D24" s="170"/>
      <c r="E24" s="130"/>
      <c r="F24" s="130"/>
      <c r="G24" s="130"/>
      <c r="H24" s="102"/>
      <c r="I24" s="92"/>
    </row>
    <row r="25" spans="1:9" s="8" customFormat="1" ht="6" customHeight="1" thickBot="1">
      <c r="A25" s="92"/>
      <c r="B25" s="116"/>
      <c r="C25" s="129"/>
      <c r="D25" s="168"/>
      <c r="E25" s="129"/>
      <c r="F25" s="129"/>
      <c r="G25" s="129"/>
      <c r="H25" s="94"/>
      <c r="I25" s="92"/>
    </row>
    <row r="26" spans="1:8" s="2" customFormat="1" ht="15.75">
      <c r="A26" s="53" t="s">
        <v>55</v>
      </c>
      <c r="B26" s="119"/>
      <c r="C26" s="131"/>
      <c r="D26" s="171" t="e">
        <f>SUM(D27:D28)</f>
        <v>#REF!</v>
      </c>
      <c r="E26" s="171" t="e">
        <f>SUM(E27:E28)</f>
        <v>#REF!</v>
      </c>
      <c r="F26" s="171" t="e">
        <f>SUM(F27:F28)</f>
        <v>#REF!</v>
      </c>
      <c r="G26" s="131"/>
      <c r="H26" s="54"/>
    </row>
    <row r="27" spans="1:8" s="142" customFormat="1" ht="15.75">
      <c r="A27" s="195" t="s">
        <v>50</v>
      </c>
      <c r="B27" s="191"/>
      <c r="C27" s="184"/>
      <c r="D27" s="198" t="e">
        <f>SUM('NCSX Risk Reduction'!C6)/1000</f>
        <v>#REF!</v>
      </c>
      <c r="E27" s="198" t="e">
        <f>SUM('NCSX Risk Reduction'!D6)/1000</f>
        <v>#REF!</v>
      </c>
      <c r="F27" s="198" t="e">
        <f>SUM('NCSX Risk Reduction'!E6)/1000</f>
        <v>#REF!</v>
      </c>
      <c r="G27" s="184"/>
      <c r="H27" s="192"/>
    </row>
    <row r="28" spans="1:8" s="16" customFormat="1" ht="12.75">
      <c r="A28" s="183" t="s">
        <v>51</v>
      </c>
      <c r="B28" s="156"/>
      <c r="C28" s="184"/>
      <c r="D28" s="198" t="e">
        <f>SUM('NCSX Risk Reduction'!C7)/1000</f>
        <v>#REF!</v>
      </c>
      <c r="E28" s="198" t="e">
        <f>SUM('NCSX Risk Reduction'!D7)/1000</f>
        <v>#REF!</v>
      </c>
      <c r="F28" s="198" t="e">
        <f>SUM('NCSX Risk Reduction'!E7)/1000</f>
        <v>#REF!</v>
      </c>
      <c r="G28" s="184"/>
      <c r="H28" s="185"/>
    </row>
    <row r="29" spans="1:9" ht="4.5" customHeight="1">
      <c r="A29" s="55"/>
      <c r="B29" s="120"/>
      <c r="C29" s="120"/>
      <c r="D29" s="172"/>
      <c r="E29" s="120"/>
      <c r="F29" s="120"/>
      <c r="G29" s="120"/>
      <c r="H29" s="56"/>
      <c r="I29" s="11"/>
    </row>
    <row r="30" spans="1:9" ht="12.75">
      <c r="A30" s="107" t="s">
        <v>222</v>
      </c>
      <c r="B30" s="121"/>
      <c r="C30" s="120"/>
      <c r="D30" s="172"/>
      <c r="E30" s="120"/>
      <c r="F30" s="120"/>
      <c r="G30" s="120"/>
      <c r="H30" s="56"/>
      <c r="I30" s="11"/>
    </row>
    <row r="31" spans="1:8" s="16" customFormat="1" ht="12.75">
      <c r="A31" s="152" t="s">
        <v>32</v>
      </c>
      <c r="B31" s="153"/>
      <c r="C31" s="154"/>
      <c r="D31" s="173" t="e">
        <f>SUM('NCSX Risk Reduction'!C11)</f>
        <v>#REF!</v>
      </c>
      <c r="E31" s="173" t="e">
        <f>SUM('NCSX Risk Reduction'!D11)</f>
        <v>#REF!</v>
      </c>
      <c r="F31" s="173" t="e">
        <f>SUM('NCSX Risk Reduction'!E11)</f>
        <v>#REF!</v>
      </c>
      <c r="G31" s="154"/>
      <c r="H31" s="155"/>
    </row>
    <row r="32" spans="1:9" ht="12.75">
      <c r="A32" s="55" t="s">
        <v>33</v>
      </c>
      <c r="B32" s="121"/>
      <c r="C32" s="132"/>
      <c r="D32" s="174"/>
      <c r="E32" s="174"/>
      <c r="F32" s="174"/>
      <c r="G32" s="132"/>
      <c r="H32" s="17"/>
      <c r="I32" s="11"/>
    </row>
    <row r="33" spans="1:8" s="16" customFormat="1" ht="12.75">
      <c r="A33" s="152" t="s">
        <v>34</v>
      </c>
      <c r="B33" s="153"/>
      <c r="C33" s="154"/>
      <c r="D33" s="173"/>
      <c r="E33" s="173"/>
      <c r="F33" s="173"/>
      <c r="G33" s="154"/>
      <c r="H33" s="155"/>
    </row>
    <row r="34" spans="1:9" ht="12.75">
      <c r="A34" s="55" t="s">
        <v>1</v>
      </c>
      <c r="B34" s="121"/>
      <c r="C34" s="132"/>
      <c r="D34" s="174"/>
      <c r="E34" s="174"/>
      <c r="F34" s="174"/>
      <c r="G34" s="132"/>
      <c r="H34" s="17"/>
      <c r="I34" s="11"/>
    </row>
    <row r="35" spans="1:8" s="16" customFormat="1" ht="12.75">
      <c r="A35" s="152" t="s">
        <v>2</v>
      </c>
      <c r="B35" s="153"/>
      <c r="C35" s="154"/>
      <c r="D35" s="173" t="e">
        <f>SUM('NCSX Risk Reduction'!C13)</f>
        <v>#REF!</v>
      </c>
      <c r="E35" s="173" t="e">
        <f>SUM('NCSX Risk Reduction'!D13)</f>
        <v>#REF!</v>
      </c>
      <c r="F35" s="173" t="e">
        <f>SUM('NCSX Risk Reduction'!E13)</f>
        <v>#REF!</v>
      </c>
      <c r="G35" s="154"/>
      <c r="H35" s="155"/>
    </row>
    <row r="36" spans="1:9" ht="12.75">
      <c r="A36" s="55" t="s">
        <v>35</v>
      </c>
      <c r="B36" s="121"/>
      <c r="C36" s="132"/>
      <c r="D36" s="174" t="e">
        <f>SUM('NCSX Risk Reduction'!C14)</f>
        <v>#REF!</v>
      </c>
      <c r="E36" s="174" t="e">
        <f>SUM('NCSX Risk Reduction'!D14)</f>
        <v>#REF!</v>
      </c>
      <c r="F36" s="174" t="e">
        <f>SUM('NCSX Risk Reduction'!E14)</f>
        <v>#REF!</v>
      </c>
      <c r="G36" s="132"/>
      <c r="H36" s="17"/>
      <c r="I36" s="11"/>
    </row>
    <row r="37" spans="1:8" s="16" customFormat="1" ht="12.75">
      <c r="A37" s="152" t="s">
        <v>36</v>
      </c>
      <c r="B37" s="153"/>
      <c r="C37" s="154"/>
      <c r="D37" s="173" t="e">
        <f>SUM('NCSX Risk Reduction'!C15)</f>
        <v>#REF!</v>
      </c>
      <c r="E37" s="173" t="e">
        <f>SUM('NCSX Risk Reduction'!D15)</f>
        <v>#REF!</v>
      </c>
      <c r="F37" s="173" t="e">
        <f>SUM('NCSX Risk Reduction'!E15)</f>
        <v>#REF!</v>
      </c>
      <c r="G37" s="154"/>
      <c r="H37" s="155"/>
    </row>
    <row r="38" spans="1:9" ht="12.75">
      <c r="A38" s="55" t="s">
        <v>37</v>
      </c>
      <c r="B38" s="121"/>
      <c r="C38" s="132"/>
      <c r="D38" s="174" t="e">
        <f>SUM('NCSX Risk Reduction'!C16)</f>
        <v>#REF!</v>
      </c>
      <c r="E38" s="174" t="e">
        <f>SUM('NCSX Risk Reduction'!D16)</f>
        <v>#REF!</v>
      </c>
      <c r="F38" s="174" t="e">
        <f>SUM('NCSX Risk Reduction'!E16)</f>
        <v>#REF!</v>
      </c>
      <c r="G38" s="132"/>
      <c r="H38" s="17"/>
      <c r="I38" s="11"/>
    </row>
    <row r="39" spans="1:8" s="16" customFormat="1" ht="12.75">
      <c r="A39" s="152" t="s">
        <v>212</v>
      </c>
      <c r="B39" s="153"/>
      <c r="C39" s="154"/>
      <c r="D39" s="173" t="e">
        <f>SUM('NCSX Risk Reduction'!C17)</f>
        <v>#REF!</v>
      </c>
      <c r="E39" s="173" t="e">
        <f>SUM('NCSX Risk Reduction'!D17)</f>
        <v>#REF!</v>
      </c>
      <c r="F39" s="173" t="e">
        <f>SUM('NCSX Risk Reduction'!E17)</f>
        <v>#REF!</v>
      </c>
      <c r="G39" s="154"/>
      <c r="H39" s="155"/>
    </row>
    <row r="40" spans="1:8" s="16" customFormat="1" ht="12.75">
      <c r="A40" s="152" t="s">
        <v>38</v>
      </c>
      <c r="B40" s="153"/>
      <c r="C40" s="154"/>
      <c r="D40" s="173" t="e">
        <f>SUM('NCSX Risk Reduction'!C18)</f>
        <v>#REF!</v>
      </c>
      <c r="E40" s="173" t="e">
        <f>SUM('NCSX Risk Reduction'!D18)</f>
        <v>#REF!</v>
      </c>
      <c r="F40" s="173" t="e">
        <f>SUM('NCSX Risk Reduction'!E18)</f>
        <v>#REF!</v>
      </c>
      <c r="G40" s="154"/>
      <c r="H40" s="155"/>
    </row>
    <row r="41" spans="1:8" s="16" customFormat="1" ht="12.75">
      <c r="A41" s="152"/>
      <c r="B41" s="153"/>
      <c r="C41" s="156"/>
      <c r="D41" s="175"/>
      <c r="E41" s="156"/>
      <c r="F41" s="156"/>
      <c r="G41" s="156"/>
      <c r="H41" s="157"/>
    </row>
    <row r="42" spans="1:9" ht="13.5" thickBot="1">
      <c r="A42" s="106" t="s">
        <v>223</v>
      </c>
      <c r="B42" s="122"/>
      <c r="C42" s="133">
        <f>SUM(C31:C40)</f>
        <v>0</v>
      </c>
      <c r="D42" s="176" t="e">
        <f>SUM(D31:D40)</f>
        <v>#REF!</v>
      </c>
      <c r="E42" s="176" t="e">
        <f>SUM(E31:E40)</f>
        <v>#REF!</v>
      </c>
      <c r="F42" s="176" t="e">
        <f>SUM(F31:F40)</f>
        <v>#REF!</v>
      </c>
      <c r="G42" s="133"/>
      <c r="H42" s="57"/>
      <c r="I42" s="11"/>
    </row>
    <row r="43" spans="1:9" ht="4.5" customHeight="1" thickBot="1">
      <c r="A43" s="11"/>
      <c r="F43" s="138"/>
      <c r="G43" s="138"/>
      <c r="H43" s="11"/>
      <c r="I43" s="11"/>
    </row>
    <row r="44" spans="1:8" s="2" customFormat="1" ht="15.75">
      <c r="A44" s="58" t="s">
        <v>54</v>
      </c>
      <c r="B44" s="123"/>
      <c r="C44" s="134"/>
      <c r="D44" s="177">
        <f>SUM(D45:D46)</f>
        <v>0.5</v>
      </c>
      <c r="E44" s="177">
        <f>SUM(E45:E46)</f>
        <v>0.5</v>
      </c>
      <c r="F44" s="177">
        <f>SUM(F45:F46)</f>
        <v>0.75</v>
      </c>
      <c r="G44" s="134"/>
      <c r="H44" s="59"/>
    </row>
    <row r="45" spans="1:8" s="142" customFormat="1" ht="15.75">
      <c r="A45" s="196" t="s">
        <v>50</v>
      </c>
      <c r="B45" s="193"/>
      <c r="C45" s="187"/>
      <c r="D45" s="197">
        <f>SUM('Post NCSX R&amp;D'!C6)/1000</f>
        <v>0.375</v>
      </c>
      <c r="E45" s="197">
        <f>SUM('Post NCSX R&amp;D'!D6)/1000</f>
        <v>0.375</v>
      </c>
      <c r="F45" s="197">
        <f>SUM('Post NCSX R&amp;D'!E6)/1000</f>
        <v>0.58</v>
      </c>
      <c r="G45" s="187"/>
      <c r="H45" s="194"/>
    </row>
    <row r="46" spans="1:8" s="16" customFormat="1" ht="12.75">
      <c r="A46" s="186" t="s">
        <v>51</v>
      </c>
      <c r="B46" s="162"/>
      <c r="C46" s="187"/>
      <c r="D46" s="197">
        <f>SUM('Post NCSX R&amp;D'!C7)/1000</f>
        <v>0.125</v>
      </c>
      <c r="E46" s="197">
        <f>SUM('Post NCSX R&amp;D'!D7)/1000</f>
        <v>0.125</v>
      </c>
      <c r="F46" s="197">
        <f>SUM('Post NCSX R&amp;D'!E7)/1000</f>
        <v>0.17</v>
      </c>
      <c r="G46" s="188"/>
      <c r="H46" s="189"/>
    </row>
    <row r="47" spans="1:9" ht="4.5" customHeight="1">
      <c r="A47" s="60"/>
      <c r="B47" s="124"/>
      <c r="C47" s="124"/>
      <c r="D47" s="178"/>
      <c r="E47" s="124"/>
      <c r="F47" s="124"/>
      <c r="G47" s="124"/>
      <c r="H47" s="61"/>
      <c r="I47" s="11"/>
    </row>
    <row r="48" spans="1:9" ht="12.75">
      <c r="A48" s="109" t="s">
        <v>222</v>
      </c>
      <c r="B48" s="125"/>
      <c r="C48" s="125"/>
      <c r="D48" s="178"/>
      <c r="E48" s="124"/>
      <c r="F48" s="124"/>
      <c r="G48" s="124"/>
      <c r="H48" s="61"/>
      <c r="I48" s="11"/>
    </row>
    <row r="49" spans="1:8" s="16" customFormat="1" ht="12.75">
      <c r="A49" s="158" t="s">
        <v>32</v>
      </c>
      <c r="B49" s="159"/>
      <c r="C49" s="160"/>
      <c r="D49" s="179">
        <f>SUM('Post NCSX R&amp;D'!C11)</f>
        <v>0.40849673202614384</v>
      </c>
      <c r="E49" s="179">
        <f>SUM('Post NCSX R&amp;D'!D11)</f>
        <v>0.40849673202614384</v>
      </c>
      <c r="F49" s="179">
        <f>SUM('Post NCSX R&amp;D'!E11)</f>
        <v>0.6318082788671023</v>
      </c>
      <c r="G49" s="160"/>
      <c r="H49" s="161"/>
    </row>
    <row r="50" spans="1:9" ht="12.75">
      <c r="A50" s="60" t="s">
        <v>33</v>
      </c>
      <c r="B50" s="125"/>
      <c r="C50" s="135"/>
      <c r="D50" s="180"/>
      <c r="E50" s="180"/>
      <c r="F50" s="180"/>
      <c r="G50" s="135"/>
      <c r="H50" s="62"/>
      <c r="I50" s="11"/>
    </row>
    <row r="51" spans="1:8" s="16" customFormat="1" ht="12.75">
      <c r="A51" s="158" t="s">
        <v>34</v>
      </c>
      <c r="B51" s="159"/>
      <c r="C51" s="160"/>
      <c r="D51" s="179"/>
      <c r="E51" s="179"/>
      <c r="F51" s="179"/>
      <c r="G51" s="160"/>
      <c r="H51" s="161"/>
    </row>
    <row r="52" spans="1:9" ht="12.75">
      <c r="A52" s="60" t="s">
        <v>1</v>
      </c>
      <c r="B52" s="125"/>
      <c r="C52" s="135"/>
      <c r="D52" s="180"/>
      <c r="E52" s="180"/>
      <c r="F52" s="180"/>
      <c r="G52" s="135"/>
      <c r="H52" s="62"/>
      <c r="I52" s="11"/>
    </row>
    <row r="53" spans="1:8" s="16" customFormat="1" ht="12.75">
      <c r="A53" s="158" t="s">
        <v>2</v>
      </c>
      <c r="B53" s="159"/>
      <c r="C53" s="160"/>
      <c r="D53" s="179">
        <f>SUM('Post NCSX R&amp;D'!C13)</f>
        <v>0.7579545454545454</v>
      </c>
      <c r="E53" s="179">
        <f>SUM('Post NCSX R&amp;D'!D13)</f>
        <v>0.7579545454545454</v>
      </c>
      <c r="F53" s="179">
        <f>SUM('Post NCSX R&amp;D'!E13)</f>
        <v>1.1723030303030304</v>
      </c>
      <c r="G53" s="160"/>
      <c r="H53" s="161"/>
    </row>
    <row r="54" spans="1:9" ht="12.75">
      <c r="A54" s="60" t="s">
        <v>35</v>
      </c>
      <c r="B54" s="125"/>
      <c r="C54" s="135"/>
      <c r="D54" s="180"/>
      <c r="E54" s="135"/>
      <c r="F54" s="135"/>
      <c r="G54" s="135"/>
      <c r="H54" s="62"/>
      <c r="I54" s="11"/>
    </row>
    <row r="55" spans="1:8" s="16" customFormat="1" ht="12.75">
      <c r="A55" s="158" t="s">
        <v>36</v>
      </c>
      <c r="B55" s="159"/>
      <c r="C55" s="160"/>
      <c r="D55" s="179"/>
      <c r="E55" s="160"/>
      <c r="F55" s="160"/>
      <c r="G55" s="160"/>
      <c r="H55" s="161"/>
    </row>
    <row r="56" spans="1:9" ht="12.75">
      <c r="A56" s="60" t="s">
        <v>37</v>
      </c>
      <c r="B56" s="125"/>
      <c r="C56" s="135"/>
      <c r="D56" s="180"/>
      <c r="E56" s="135"/>
      <c r="F56" s="135"/>
      <c r="G56" s="135"/>
      <c r="H56" s="62"/>
      <c r="I56" s="11"/>
    </row>
    <row r="57" spans="1:8" s="16" customFormat="1" ht="12.75">
      <c r="A57" s="158" t="s">
        <v>212</v>
      </c>
      <c r="B57" s="159"/>
      <c r="C57" s="160"/>
      <c r="D57" s="179"/>
      <c r="E57" s="160"/>
      <c r="F57" s="160"/>
      <c r="G57" s="160"/>
      <c r="H57" s="161"/>
    </row>
    <row r="58" spans="1:9" ht="12.75">
      <c r="A58" s="60" t="s">
        <v>38</v>
      </c>
      <c r="B58" s="125"/>
      <c r="C58" s="135"/>
      <c r="D58" s="180"/>
      <c r="E58" s="135"/>
      <c r="F58" s="135"/>
      <c r="G58" s="135"/>
      <c r="H58" s="62"/>
      <c r="I58" s="11"/>
    </row>
    <row r="59" spans="1:8" s="16" customFormat="1" ht="12.75">
      <c r="A59" s="158"/>
      <c r="B59" s="159"/>
      <c r="C59" s="159"/>
      <c r="D59" s="181"/>
      <c r="E59" s="162"/>
      <c r="F59" s="162"/>
      <c r="G59" s="162"/>
      <c r="H59" s="163"/>
    </row>
    <row r="60" spans="1:9" ht="13.5" thickBot="1">
      <c r="A60" s="108" t="s">
        <v>223</v>
      </c>
      <c r="B60" s="126"/>
      <c r="C60" s="136">
        <f>SUM(C49:C58)</f>
        <v>0</v>
      </c>
      <c r="D60" s="182">
        <f>SUM(D49:D58)</f>
        <v>1.1664512774806892</v>
      </c>
      <c r="E60" s="136">
        <f>SUM(E49:E58)</f>
        <v>1.1664512774806892</v>
      </c>
      <c r="F60" s="136">
        <f>SUM(F49:F58)</f>
        <v>1.8041113091701328</v>
      </c>
      <c r="G60" s="136"/>
      <c r="H60" s="63"/>
      <c r="I60" s="11"/>
    </row>
    <row r="61" ht="4.5" customHeight="1"/>
    <row r="62" ht="3.75" customHeight="1" thickBot="1"/>
    <row r="63" spans="1:8" ht="13.5" customHeight="1">
      <c r="A63" s="226" t="s">
        <v>229</v>
      </c>
      <c r="B63" s="227"/>
      <c r="C63" s="228"/>
      <c r="D63" s="229"/>
      <c r="E63" s="229"/>
      <c r="F63" s="229"/>
      <c r="G63" s="228"/>
      <c r="H63" s="230"/>
    </row>
    <row r="64" spans="1:8" ht="13.5" customHeight="1">
      <c r="A64" s="231" t="s">
        <v>50</v>
      </c>
      <c r="B64" s="232"/>
      <c r="C64" s="233">
        <v>0.387</v>
      </c>
      <c r="D64" s="234"/>
      <c r="E64" s="234"/>
      <c r="F64" s="234"/>
      <c r="G64" s="233"/>
      <c r="H64" s="235"/>
    </row>
    <row r="65" spans="1:8" ht="13.5" customHeight="1">
      <c r="A65" s="236" t="s">
        <v>51</v>
      </c>
      <c r="B65" s="237"/>
      <c r="C65" s="233">
        <v>0.22</v>
      </c>
      <c r="D65" s="234"/>
      <c r="E65" s="234"/>
      <c r="F65" s="234"/>
      <c r="G65" s="238"/>
      <c r="H65" s="239"/>
    </row>
    <row r="66" spans="1:8" ht="13.5" customHeight="1">
      <c r="A66" s="240"/>
      <c r="B66" s="241"/>
      <c r="C66" s="241"/>
      <c r="D66" s="242"/>
      <c r="E66" s="241"/>
      <c r="F66" s="241"/>
      <c r="G66" s="241"/>
      <c r="H66" s="243"/>
    </row>
    <row r="67" spans="1:8" ht="13.5" customHeight="1">
      <c r="A67" s="244" t="s">
        <v>222</v>
      </c>
      <c r="B67" s="245"/>
      <c r="C67" s="245"/>
      <c r="D67" s="242"/>
      <c r="E67" s="241"/>
      <c r="F67" s="241"/>
      <c r="G67" s="241"/>
      <c r="H67" s="243"/>
    </row>
    <row r="68" spans="1:8" ht="13.5" customHeight="1">
      <c r="A68" s="246" t="s">
        <v>32</v>
      </c>
      <c r="B68" s="247"/>
      <c r="C68" s="260">
        <v>1.056</v>
      </c>
      <c r="D68" s="249"/>
      <c r="E68" s="249"/>
      <c r="F68" s="249"/>
      <c r="G68" s="248"/>
      <c r="H68" s="250"/>
    </row>
    <row r="69" spans="1:8" ht="13.5" customHeight="1">
      <c r="A69" s="240" t="s">
        <v>33</v>
      </c>
      <c r="B69" s="245"/>
      <c r="C69" s="261"/>
      <c r="D69" s="252"/>
      <c r="E69" s="252"/>
      <c r="F69" s="252"/>
      <c r="G69" s="251"/>
      <c r="H69" s="253"/>
    </row>
    <row r="70" spans="1:8" ht="13.5" customHeight="1">
      <c r="A70" s="246" t="s">
        <v>34</v>
      </c>
      <c r="B70" s="247"/>
      <c r="C70" s="260"/>
      <c r="D70" s="249"/>
      <c r="E70" s="249"/>
      <c r="F70" s="249"/>
      <c r="G70" s="248"/>
      <c r="H70" s="250"/>
    </row>
    <row r="71" spans="1:8" ht="13.5" customHeight="1">
      <c r="A71" s="240" t="s">
        <v>1</v>
      </c>
      <c r="B71" s="245"/>
      <c r="C71" s="261"/>
      <c r="D71" s="252"/>
      <c r="E71" s="252"/>
      <c r="F71" s="252"/>
      <c r="G71" s="251"/>
      <c r="H71" s="253"/>
    </row>
    <row r="72" spans="1:8" ht="13.5" customHeight="1">
      <c r="A72" s="246" t="s">
        <v>2</v>
      </c>
      <c r="B72" s="247"/>
      <c r="C72" s="260">
        <v>0.01</v>
      </c>
      <c r="D72" s="249"/>
      <c r="E72" s="249"/>
      <c r="F72" s="249"/>
      <c r="G72" s="248"/>
      <c r="H72" s="250"/>
    </row>
    <row r="73" spans="1:8" ht="13.5" customHeight="1">
      <c r="A73" s="240" t="s">
        <v>35</v>
      </c>
      <c r="B73" s="245"/>
      <c r="C73" s="261">
        <v>0.06</v>
      </c>
      <c r="D73" s="252"/>
      <c r="E73" s="251"/>
      <c r="F73" s="251"/>
      <c r="G73" s="251"/>
      <c r="H73" s="253"/>
    </row>
    <row r="74" spans="1:8" ht="13.5" customHeight="1">
      <c r="A74" s="246" t="s">
        <v>36</v>
      </c>
      <c r="B74" s="247"/>
      <c r="C74" s="260"/>
      <c r="D74" s="249"/>
      <c r="E74" s="248"/>
      <c r="F74" s="248"/>
      <c r="G74" s="248"/>
      <c r="H74" s="250"/>
    </row>
    <row r="75" spans="1:8" ht="13.5" customHeight="1">
      <c r="A75" s="240" t="s">
        <v>37</v>
      </c>
      <c r="B75" s="245"/>
      <c r="C75" s="261"/>
      <c r="D75" s="252"/>
      <c r="E75" s="251"/>
      <c r="F75" s="251"/>
      <c r="G75" s="251"/>
      <c r="H75" s="253"/>
    </row>
    <row r="76" spans="1:8" ht="13.5" customHeight="1">
      <c r="A76" s="246" t="s">
        <v>212</v>
      </c>
      <c r="B76" s="247"/>
      <c r="C76" s="260"/>
      <c r="D76" s="249"/>
      <c r="E76" s="248"/>
      <c r="F76" s="248"/>
      <c r="G76" s="248"/>
      <c r="H76" s="250"/>
    </row>
    <row r="77" spans="1:8" ht="13.5" customHeight="1">
      <c r="A77" s="240" t="s">
        <v>38</v>
      </c>
      <c r="B77" s="245"/>
      <c r="C77" s="261">
        <v>0.01</v>
      </c>
      <c r="D77" s="252"/>
      <c r="E77" s="251"/>
      <c r="F77" s="251"/>
      <c r="G77" s="251"/>
      <c r="H77" s="253"/>
    </row>
    <row r="78" spans="1:8" ht="13.5" customHeight="1">
      <c r="A78" s="246"/>
      <c r="B78" s="247"/>
      <c r="C78" s="247"/>
      <c r="D78" s="254"/>
      <c r="E78" s="237"/>
      <c r="F78" s="237"/>
      <c r="G78" s="237"/>
      <c r="H78" s="255"/>
    </row>
    <row r="79" spans="1:8" ht="13.5" customHeight="1" thickBot="1">
      <c r="A79" s="256" t="s">
        <v>223</v>
      </c>
      <c r="B79" s="257"/>
      <c r="C79" s="258">
        <f>SUM(C68:C77)</f>
        <v>1.1360000000000001</v>
      </c>
      <c r="D79" s="259"/>
      <c r="E79" s="258"/>
      <c r="F79" s="258"/>
      <c r="G79" s="258"/>
      <c r="H79" s="98"/>
    </row>
    <row r="80" ht="6" customHeight="1"/>
    <row r="81" ht="6" customHeight="1"/>
    <row r="82" spans="1:8" ht="16.5" thickBot="1">
      <c r="A82" s="262"/>
      <c r="B82" s="263" t="s">
        <v>18</v>
      </c>
      <c r="C82" s="263" t="s">
        <v>19</v>
      </c>
      <c r="D82" s="264" t="s">
        <v>20</v>
      </c>
      <c r="E82" s="263" t="s">
        <v>21</v>
      </c>
      <c r="F82" s="263" t="s">
        <v>22</v>
      </c>
      <c r="G82" s="263" t="s">
        <v>23</v>
      </c>
      <c r="H82" s="265" t="s">
        <v>24</v>
      </c>
    </row>
    <row r="83" spans="1:8" s="190" customFormat="1" ht="15.75">
      <c r="A83" s="46" t="s">
        <v>233</v>
      </c>
      <c r="B83" s="266"/>
      <c r="C83" s="267" t="e">
        <f>SUM(C84:C86)</f>
        <v>#REF!</v>
      </c>
      <c r="D83" s="268" t="e">
        <f>SUM(D84:D86)</f>
        <v>#REF!</v>
      </c>
      <c r="E83" s="267" t="e">
        <f>SUM(E84:E86)</f>
        <v>#REF!</v>
      </c>
      <c r="F83" s="267" t="e">
        <f>SUM(F84:F86)</f>
        <v>#REF!</v>
      </c>
      <c r="G83" s="267"/>
      <c r="H83" s="269"/>
    </row>
    <row r="84" spans="1:8" ht="15.75">
      <c r="A84" s="270" t="s">
        <v>225</v>
      </c>
      <c r="B84" s="271"/>
      <c r="C84" s="272" t="e">
        <f>SUM(C45,C27,C23,C5,C64)</f>
        <v>#REF!</v>
      </c>
      <c r="D84" s="272" t="e">
        <f>SUM(D45,D27,D23,D5)</f>
        <v>#REF!</v>
      </c>
      <c r="E84" s="272" t="e">
        <f>SUM(E45,E27,E23,E5)</f>
        <v>#REF!</v>
      </c>
      <c r="F84" s="272" t="e">
        <f>SUM(F45,F27,F23,F5)</f>
        <v>#REF!</v>
      </c>
      <c r="G84" s="273"/>
      <c r="H84" s="274"/>
    </row>
    <row r="85" spans="1:8" ht="15.75">
      <c r="A85" s="270" t="s">
        <v>227</v>
      </c>
      <c r="B85" s="271"/>
      <c r="C85" s="272" t="e">
        <f>SUM(C6)</f>
        <v>#REF!</v>
      </c>
      <c r="D85" s="272" t="e">
        <f>SUM(D6)</f>
        <v>#REF!</v>
      </c>
      <c r="E85" s="272">
        <f>SUM(E6)</f>
        <v>0</v>
      </c>
      <c r="F85" s="272">
        <f>SUM(F6)</f>
        <v>0</v>
      </c>
      <c r="G85" s="273"/>
      <c r="H85" s="274"/>
    </row>
    <row r="86" spans="1:8" ht="15">
      <c r="A86" s="270" t="s">
        <v>226</v>
      </c>
      <c r="B86" s="271"/>
      <c r="C86" s="272" t="e">
        <f>SUM(C46,C28,C7,C65)</f>
        <v>#REF!</v>
      </c>
      <c r="D86" s="272" t="e">
        <f>SUM(D46,D28,D7)</f>
        <v>#REF!</v>
      </c>
      <c r="E86" s="272" t="e">
        <f>SUM(E46,E28,E7)</f>
        <v>#REF!</v>
      </c>
      <c r="F86" s="272" t="e">
        <f>SUM(F46,F28,F7)</f>
        <v>#REF!</v>
      </c>
      <c r="G86" s="272"/>
      <c r="H86" s="275"/>
    </row>
    <row r="87" spans="1:8" ht="15">
      <c r="A87" s="270"/>
      <c r="B87" s="271"/>
      <c r="C87" s="271"/>
      <c r="D87" s="276"/>
      <c r="E87" s="271"/>
      <c r="F87" s="271"/>
      <c r="G87" s="271"/>
      <c r="H87" s="277"/>
    </row>
    <row r="88" spans="1:8" ht="15.75">
      <c r="A88" s="278" t="s">
        <v>222</v>
      </c>
      <c r="B88" s="279"/>
      <c r="C88" s="279"/>
      <c r="D88" s="276"/>
      <c r="E88" s="271"/>
      <c r="F88" s="271"/>
      <c r="G88" s="271"/>
      <c r="H88" s="277"/>
    </row>
    <row r="89" spans="1:8" s="16" customFormat="1" ht="15">
      <c r="A89" s="280" t="s">
        <v>32</v>
      </c>
      <c r="B89" s="281"/>
      <c r="C89" s="282">
        <f>SUM(C49,C31,C10,C68)</f>
        <v>1.8760000000000001</v>
      </c>
      <c r="D89" s="282" t="e">
        <f aca="true" t="shared" si="0" ref="D89:F98">SUM(D49,D31,D10)</f>
        <v>#REF!</v>
      </c>
      <c r="E89" s="282" t="e">
        <f t="shared" si="0"/>
        <v>#REF!</v>
      </c>
      <c r="F89" s="282" t="e">
        <f t="shared" si="0"/>
        <v>#REF!</v>
      </c>
      <c r="G89" s="282"/>
      <c r="H89" s="283"/>
    </row>
    <row r="90" spans="1:8" ht="15">
      <c r="A90" s="270" t="s">
        <v>33</v>
      </c>
      <c r="B90" s="279"/>
      <c r="C90" s="284">
        <f>SUM(C50,C32,C11)</f>
        <v>0</v>
      </c>
      <c r="D90" s="284">
        <f t="shared" si="0"/>
        <v>0</v>
      </c>
      <c r="E90" s="284">
        <f t="shared" si="0"/>
        <v>0</v>
      </c>
      <c r="F90" s="284">
        <f t="shared" si="0"/>
        <v>0</v>
      </c>
      <c r="G90" s="284"/>
      <c r="H90" s="285"/>
    </row>
    <row r="91" spans="1:8" s="16" customFormat="1" ht="15">
      <c r="A91" s="280" t="s">
        <v>34</v>
      </c>
      <c r="B91" s="281"/>
      <c r="C91" s="282">
        <f>SUM(C51,C33,C12)</f>
        <v>0</v>
      </c>
      <c r="D91" s="282">
        <f t="shared" si="0"/>
        <v>0</v>
      </c>
      <c r="E91" s="282">
        <f t="shared" si="0"/>
        <v>0</v>
      </c>
      <c r="F91" s="282">
        <f t="shared" si="0"/>
        <v>0</v>
      </c>
      <c r="G91" s="282"/>
      <c r="H91" s="283"/>
    </row>
    <row r="92" spans="1:8" ht="15">
      <c r="A92" s="270" t="s">
        <v>1</v>
      </c>
      <c r="B92" s="279"/>
      <c r="C92" s="284">
        <f>SUM(C52,C34,C13)</f>
        <v>0.19</v>
      </c>
      <c r="D92" s="284">
        <f t="shared" si="0"/>
        <v>0.01</v>
      </c>
      <c r="E92" s="284">
        <f t="shared" si="0"/>
        <v>0</v>
      </c>
      <c r="F92" s="284">
        <f t="shared" si="0"/>
        <v>0</v>
      </c>
      <c r="G92" s="284"/>
      <c r="H92" s="285"/>
    </row>
    <row r="93" spans="1:8" s="16" customFormat="1" ht="15">
      <c r="A93" s="280" t="s">
        <v>2</v>
      </c>
      <c r="B93" s="281"/>
      <c r="C93" s="282">
        <f>SUM(C53,C35,C14)</f>
        <v>8.51</v>
      </c>
      <c r="D93" s="282" t="e">
        <f t="shared" si="0"/>
        <v>#REF!</v>
      </c>
      <c r="E93" s="282" t="e">
        <f t="shared" si="0"/>
        <v>#REF!</v>
      </c>
      <c r="F93" s="282" t="e">
        <f t="shared" si="0"/>
        <v>#REF!</v>
      </c>
      <c r="G93" s="282"/>
      <c r="H93" s="283"/>
    </row>
    <row r="94" spans="1:8" ht="15">
      <c r="A94" s="270" t="s">
        <v>35</v>
      </c>
      <c r="B94" s="279"/>
      <c r="C94" s="284">
        <f>SUM(C54,C36,C15,C73)</f>
        <v>0.23</v>
      </c>
      <c r="D94" s="284" t="e">
        <f t="shared" si="0"/>
        <v>#REF!</v>
      </c>
      <c r="E94" s="284" t="e">
        <f t="shared" si="0"/>
        <v>#REF!</v>
      </c>
      <c r="F94" s="284" t="e">
        <f t="shared" si="0"/>
        <v>#REF!</v>
      </c>
      <c r="G94" s="284"/>
      <c r="H94" s="285"/>
    </row>
    <row r="95" spans="1:8" s="16" customFormat="1" ht="15">
      <c r="A95" s="280" t="s">
        <v>36</v>
      </c>
      <c r="B95" s="281"/>
      <c r="C95" s="282">
        <f>SUM(C55,C37,C16)</f>
        <v>6.959999999999999</v>
      </c>
      <c r="D95" s="282" t="e">
        <f t="shared" si="0"/>
        <v>#REF!</v>
      </c>
      <c r="E95" s="282" t="e">
        <f t="shared" si="0"/>
        <v>#REF!</v>
      </c>
      <c r="F95" s="282" t="e">
        <f t="shared" si="0"/>
        <v>#REF!</v>
      </c>
      <c r="G95" s="282"/>
      <c r="H95" s="283"/>
    </row>
    <row r="96" spans="1:8" ht="15">
      <c r="A96" s="270" t="s">
        <v>37</v>
      </c>
      <c r="B96" s="279"/>
      <c r="C96" s="284">
        <f>SUM(C56,C38,C17)</f>
        <v>25</v>
      </c>
      <c r="D96" s="284" t="e">
        <f t="shared" si="0"/>
        <v>#REF!</v>
      </c>
      <c r="E96" s="284" t="e">
        <f t="shared" si="0"/>
        <v>#REF!</v>
      </c>
      <c r="F96" s="284" t="e">
        <f t="shared" si="0"/>
        <v>#REF!</v>
      </c>
      <c r="G96" s="284"/>
      <c r="H96" s="285"/>
    </row>
    <row r="97" spans="1:8" s="16" customFormat="1" ht="15">
      <c r="A97" s="280" t="s">
        <v>212</v>
      </c>
      <c r="B97" s="281"/>
      <c r="C97" s="282">
        <f>SUM(C57,C39,C18)</f>
        <v>3.5300000000000002</v>
      </c>
      <c r="D97" s="282" t="e">
        <f t="shared" si="0"/>
        <v>#REF!</v>
      </c>
      <c r="E97" s="282" t="e">
        <f t="shared" si="0"/>
        <v>#REF!</v>
      </c>
      <c r="F97" s="282" t="e">
        <f t="shared" si="0"/>
        <v>#REF!</v>
      </c>
      <c r="G97" s="282"/>
      <c r="H97" s="283"/>
    </row>
    <row r="98" spans="1:8" ht="15">
      <c r="A98" s="270" t="s">
        <v>38</v>
      </c>
      <c r="B98" s="279"/>
      <c r="C98" s="284">
        <f>SUM(C58,C40,C19,C77)</f>
        <v>3.24</v>
      </c>
      <c r="D98" s="284" t="e">
        <f t="shared" si="0"/>
        <v>#REF!</v>
      </c>
      <c r="E98" s="284" t="e">
        <f t="shared" si="0"/>
        <v>#REF!</v>
      </c>
      <c r="F98" s="284" t="e">
        <f t="shared" si="0"/>
        <v>#REF!</v>
      </c>
      <c r="G98" s="284"/>
      <c r="H98" s="285"/>
    </row>
    <row r="99" spans="1:8" s="16" customFormat="1" ht="6.75" customHeight="1">
      <c r="A99" s="280"/>
      <c r="B99" s="281"/>
      <c r="C99" s="281"/>
      <c r="D99" s="286"/>
      <c r="E99" s="287"/>
      <c r="F99" s="287"/>
      <c r="G99" s="287"/>
      <c r="H99" s="288"/>
    </row>
    <row r="100" spans="1:8" ht="16.5" thickBot="1">
      <c r="A100" s="289" t="s">
        <v>223</v>
      </c>
      <c r="B100" s="290"/>
      <c r="C100" s="291">
        <f>SUM(C89:C98)</f>
        <v>49.536</v>
      </c>
      <c r="D100" s="292" t="e">
        <f>SUM(D89:D98)</f>
        <v>#REF!</v>
      </c>
      <c r="E100" s="291" t="e">
        <f>SUM(E89:E98)</f>
        <v>#REF!</v>
      </c>
      <c r="F100" s="291" t="e">
        <f>SUM(F89:F98)</f>
        <v>#REF!</v>
      </c>
      <c r="G100" s="291"/>
      <c r="H100" s="293"/>
    </row>
    <row r="103" spans="1:8" ht="24" thickBot="1">
      <c r="A103" s="359" t="s">
        <v>232</v>
      </c>
      <c r="B103" s="335"/>
      <c r="C103" s="335"/>
      <c r="D103" s="336" t="s">
        <v>20</v>
      </c>
      <c r="E103" s="335" t="s">
        <v>21</v>
      </c>
      <c r="F103" s="335"/>
      <c r="G103" s="337"/>
      <c r="H103" s="338"/>
    </row>
    <row r="104" spans="1:8" ht="15">
      <c r="A104" s="339" t="s">
        <v>224</v>
      </c>
      <c r="B104" s="340"/>
      <c r="C104" s="341"/>
      <c r="D104" s="342">
        <f>SUM(D105:D107)</f>
        <v>20.2</v>
      </c>
      <c r="E104" s="341">
        <f>SUM(E105:E107)</f>
        <v>20.7</v>
      </c>
      <c r="F104" s="341"/>
      <c r="G104" s="337"/>
      <c r="H104" s="338"/>
    </row>
    <row r="105" spans="1:8" ht="15">
      <c r="A105" s="343" t="s">
        <v>225</v>
      </c>
      <c r="B105" s="344"/>
      <c r="C105" s="345"/>
      <c r="D105" s="345">
        <v>18.8</v>
      </c>
      <c r="E105" s="345">
        <v>18.5</v>
      </c>
      <c r="F105" s="345"/>
      <c r="G105" s="337"/>
      <c r="H105" s="338"/>
    </row>
    <row r="106" spans="1:8" ht="15">
      <c r="A106" s="343" t="s">
        <v>227</v>
      </c>
      <c r="B106" s="344"/>
      <c r="C106" s="345"/>
      <c r="D106" s="345">
        <v>0</v>
      </c>
      <c r="E106" s="345">
        <v>0</v>
      </c>
      <c r="F106" s="345"/>
      <c r="G106" s="337"/>
      <c r="H106" s="338"/>
    </row>
    <row r="107" spans="1:8" ht="15">
      <c r="A107" s="343" t="s">
        <v>226</v>
      </c>
      <c r="B107" s="344"/>
      <c r="C107" s="345"/>
      <c r="D107" s="345">
        <v>1.4</v>
      </c>
      <c r="E107" s="345">
        <v>2.2</v>
      </c>
      <c r="F107" s="345"/>
      <c r="G107" s="337"/>
      <c r="H107" s="338"/>
    </row>
    <row r="108" spans="1:8" ht="15">
      <c r="A108" s="343"/>
      <c r="B108" s="344"/>
      <c r="C108" s="344"/>
      <c r="D108" s="346"/>
      <c r="E108" s="344"/>
      <c r="F108" s="344"/>
      <c r="G108" s="337"/>
      <c r="H108" s="338"/>
    </row>
    <row r="109" spans="1:8" ht="15">
      <c r="A109" s="347" t="s">
        <v>222</v>
      </c>
      <c r="B109" s="348"/>
      <c r="C109" s="348"/>
      <c r="D109" s="346"/>
      <c r="E109" s="344"/>
      <c r="F109" s="344"/>
      <c r="G109" s="337"/>
      <c r="H109" s="338"/>
    </row>
    <row r="110" spans="1:8" ht="15">
      <c r="A110" s="349" t="s">
        <v>32</v>
      </c>
      <c r="B110" s="350"/>
      <c r="C110" s="351"/>
      <c r="D110" s="351">
        <v>2.2</v>
      </c>
      <c r="E110" s="351">
        <v>2.5</v>
      </c>
      <c r="F110" s="351"/>
      <c r="G110" s="337"/>
      <c r="H110" s="338"/>
    </row>
    <row r="111" spans="1:8" ht="15">
      <c r="A111" s="343" t="s">
        <v>33</v>
      </c>
      <c r="B111" s="348"/>
      <c r="C111" s="352"/>
      <c r="D111" s="352">
        <v>0</v>
      </c>
      <c r="E111" s="352">
        <v>0</v>
      </c>
      <c r="F111" s="352"/>
      <c r="G111" s="337"/>
      <c r="H111" s="338"/>
    </row>
    <row r="112" spans="1:8" ht="15">
      <c r="A112" s="349" t="s">
        <v>34</v>
      </c>
      <c r="B112" s="350"/>
      <c r="C112" s="351"/>
      <c r="D112" s="351">
        <f>SUM(D72,D54,D33)</f>
        <v>0</v>
      </c>
      <c r="E112" s="351">
        <f>SUM(E72,E54,E33)</f>
        <v>0</v>
      </c>
      <c r="F112" s="351"/>
      <c r="G112" s="337"/>
      <c r="H112" s="338"/>
    </row>
    <row r="113" spans="1:8" ht="15">
      <c r="A113" s="343" t="s">
        <v>1</v>
      </c>
      <c r="B113" s="348"/>
      <c r="C113" s="352"/>
      <c r="D113" s="352">
        <v>0.7</v>
      </c>
      <c r="E113" s="352">
        <v>2.7</v>
      </c>
      <c r="F113" s="352"/>
      <c r="G113" s="337"/>
      <c r="H113" s="338"/>
    </row>
    <row r="114" spans="1:8" ht="15">
      <c r="A114" s="349" t="s">
        <v>2</v>
      </c>
      <c r="B114" s="350"/>
      <c r="C114" s="351"/>
      <c r="D114" s="351">
        <v>6.6</v>
      </c>
      <c r="E114" s="351">
        <v>4.9</v>
      </c>
      <c r="F114" s="351"/>
      <c r="G114" s="337"/>
      <c r="H114" s="338"/>
    </row>
    <row r="115" spans="1:8" ht="15">
      <c r="A115" s="343" t="s">
        <v>35</v>
      </c>
      <c r="B115" s="348"/>
      <c r="C115" s="352"/>
      <c r="D115" s="352">
        <v>2</v>
      </c>
      <c r="E115" s="352">
        <v>1.9</v>
      </c>
      <c r="F115" s="352"/>
      <c r="G115" s="337"/>
      <c r="H115" s="338"/>
    </row>
    <row r="116" spans="1:8" ht="15">
      <c r="A116" s="349" t="s">
        <v>36</v>
      </c>
      <c r="B116" s="350"/>
      <c r="C116" s="351"/>
      <c r="D116" s="351">
        <v>7.4</v>
      </c>
      <c r="E116" s="351">
        <v>5.3</v>
      </c>
      <c r="F116" s="351"/>
      <c r="G116" s="337"/>
      <c r="H116" s="338"/>
    </row>
    <row r="117" spans="1:8" ht="15">
      <c r="A117" s="343" t="s">
        <v>37</v>
      </c>
      <c r="B117" s="348"/>
      <c r="C117" s="352"/>
      <c r="D117" s="352">
        <v>37.3</v>
      </c>
      <c r="E117" s="352">
        <v>41.6</v>
      </c>
      <c r="F117" s="352"/>
      <c r="G117" s="337"/>
      <c r="H117" s="338"/>
    </row>
    <row r="118" spans="1:8" ht="15">
      <c r="A118" s="349" t="s">
        <v>212</v>
      </c>
      <c r="B118" s="350"/>
      <c r="C118" s="351"/>
      <c r="D118" s="351">
        <v>3.6</v>
      </c>
      <c r="E118" s="351">
        <v>2.7</v>
      </c>
      <c r="F118" s="351"/>
      <c r="G118" s="337"/>
      <c r="H118" s="338"/>
    </row>
    <row r="119" spans="1:8" ht="15">
      <c r="A119" s="343" t="s">
        <v>38</v>
      </c>
      <c r="B119" s="348"/>
      <c r="C119" s="352"/>
      <c r="D119" s="352">
        <v>4.4</v>
      </c>
      <c r="E119" s="352">
        <v>5.4</v>
      </c>
      <c r="F119" s="352"/>
      <c r="G119" s="337"/>
      <c r="H119" s="338"/>
    </row>
    <row r="120" spans="1:8" ht="15">
      <c r="A120" s="349"/>
      <c r="B120" s="350"/>
      <c r="C120" s="350"/>
      <c r="D120" s="353"/>
      <c r="E120" s="354"/>
      <c r="F120" s="354"/>
      <c r="G120" s="337"/>
      <c r="H120" s="338"/>
    </row>
    <row r="121" spans="1:8" ht="15.75" thickBot="1">
      <c r="A121" s="355" t="s">
        <v>223</v>
      </c>
      <c r="B121" s="356"/>
      <c r="C121" s="357"/>
      <c r="D121" s="358">
        <f>SUM(D110:D119)</f>
        <v>64.2</v>
      </c>
      <c r="E121" s="358">
        <f>SUM(E110:E119)</f>
        <v>67.00000000000001</v>
      </c>
      <c r="F121" s="357"/>
      <c r="G121" s="337"/>
      <c r="H121" s="338"/>
    </row>
    <row r="123" spans="1:8" ht="24" thickBot="1">
      <c r="A123" s="360" t="s">
        <v>234</v>
      </c>
      <c r="B123" s="312"/>
      <c r="C123" s="312" t="s">
        <v>19</v>
      </c>
      <c r="D123" s="313" t="s">
        <v>20</v>
      </c>
      <c r="E123" s="312" t="s">
        <v>21</v>
      </c>
      <c r="F123" s="314"/>
      <c r="G123" s="314"/>
      <c r="H123" s="315"/>
    </row>
    <row r="124" spans="1:8" ht="15">
      <c r="A124" s="316" t="s">
        <v>224</v>
      </c>
      <c r="B124" s="317"/>
      <c r="C124" s="318">
        <v>32.9</v>
      </c>
      <c r="D124" s="319">
        <v>29.7</v>
      </c>
      <c r="E124" s="319">
        <v>30.3</v>
      </c>
      <c r="F124" s="314"/>
      <c r="G124" s="314"/>
      <c r="H124" s="315"/>
    </row>
    <row r="125" spans="1:8" ht="15">
      <c r="A125" s="320"/>
      <c r="B125" s="321"/>
      <c r="C125" s="321"/>
      <c r="D125" s="322"/>
      <c r="E125" s="321"/>
      <c r="F125" s="314"/>
      <c r="G125" s="314"/>
      <c r="H125" s="315"/>
    </row>
    <row r="126" spans="1:8" ht="15">
      <c r="A126" s="323" t="s">
        <v>222</v>
      </c>
      <c r="B126" s="324"/>
      <c r="C126" s="324"/>
      <c r="D126" s="322"/>
      <c r="E126" s="321"/>
      <c r="F126" s="314"/>
      <c r="G126" s="314"/>
      <c r="H126" s="315"/>
    </row>
    <row r="127" spans="1:8" ht="15">
      <c r="A127" s="325" t="s">
        <v>32</v>
      </c>
      <c r="B127" s="326"/>
      <c r="C127" s="327">
        <v>23.776000000000003</v>
      </c>
      <c r="D127" s="327">
        <v>24.081000000000003</v>
      </c>
      <c r="E127" s="327">
        <v>24.081000000000003</v>
      </c>
      <c r="F127" s="314"/>
      <c r="G127" s="314"/>
      <c r="H127" s="315"/>
    </row>
    <row r="128" spans="1:8" ht="15">
      <c r="A128" s="320" t="s">
        <v>33</v>
      </c>
      <c r="B128" s="324"/>
      <c r="C128" s="328">
        <v>0</v>
      </c>
      <c r="D128" s="328">
        <v>0</v>
      </c>
      <c r="E128" s="328">
        <v>0</v>
      </c>
      <c r="F128" s="314"/>
      <c r="G128" s="314"/>
      <c r="H128" s="315"/>
    </row>
    <row r="129" spans="1:8" ht="15">
      <c r="A129" s="325" t="s">
        <v>34</v>
      </c>
      <c r="B129" s="326"/>
      <c r="C129" s="327">
        <v>1.8</v>
      </c>
      <c r="D129" s="327">
        <v>1.8</v>
      </c>
      <c r="E129" s="327">
        <v>1.8</v>
      </c>
      <c r="F129" s="314"/>
      <c r="G129" s="314"/>
      <c r="H129" s="315"/>
    </row>
    <row r="130" spans="1:8" ht="15">
      <c r="A130" s="320" t="s">
        <v>1</v>
      </c>
      <c r="B130" s="324"/>
      <c r="C130" s="328">
        <v>5.8</v>
      </c>
      <c r="D130" s="328">
        <v>5.9</v>
      </c>
      <c r="E130" s="328">
        <v>5.9</v>
      </c>
      <c r="F130" s="314"/>
      <c r="G130" s="314"/>
      <c r="H130" s="315"/>
    </row>
    <row r="131" spans="1:8" ht="15">
      <c r="A131" s="325" t="s">
        <v>2</v>
      </c>
      <c r="B131" s="326"/>
      <c r="C131" s="327">
        <v>2.05</v>
      </c>
      <c r="D131" s="327">
        <v>1.25</v>
      </c>
      <c r="E131" s="327">
        <v>0.91</v>
      </c>
      <c r="F131" s="314"/>
      <c r="G131" s="314"/>
      <c r="H131" s="315"/>
    </row>
    <row r="132" spans="1:8" ht="15">
      <c r="A132" s="320" t="s">
        <v>35</v>
      </c>
      <c r="B132" s="324"/>
      <c r="C132" s="328">
        <v>11.587000000000003</v>
      </c>
      <c r="D132" s="328">
        <v>10.145</v>
      </c>
      <c r="E132" s="328">
        <v>9.985</v>
      </c>
      <c r="F132" s="314"/>
      <c r="G132" s="314"/>
      <c r="H132" s="315"/>
    </row>
    <row r="133" spans="1:8" ht="15">
      <c r="A133" s="325" t="s">
        <v>36</v>
      </c>
      <c r="B133" s="326"/>
      <c r="C133" s="327">
        <v>5.206</v>
      </c>
      <c r="D133" s="327">
        <v>3.9275</v>
      </c>
      <c r="E133" s="327">
        <v>3.9275</v>
      </c>
      <c r="F133" s="314"/>
      <c r="G133" s="314"/>
      <c r="H133" s="315"/>
    </row>
    <row r="134" spans="1:8" ht="15">
      <c r="A134" s="320" t="s">
        <v>37</v>
      </c>
      <c r="B134" s="324"/>
      <c r="C134" s="328">
        <v>45.699</v>
      </c>
      <c r="D134" s="328">
        <v>41.573</v>
      </c>
      <c r="E134" s="328">
        <v>41.213</v>
      </c>
      <c r="F134" s="314"/>
      <c r="G134" s="314"/>
      <c r="H134" s="315"/>
    </row>
    <row r="135" spans="1:8" ht="15">
      <c r="A135" s="325" t="s">
        <v>212</v>
      </c>
      <c r="B135" s="326"/>
      <c r="C135" s="327">
        <v>3.575</v>
      </c>
      <c r="D135" s="327">
        <v>1.7875</v>
      </c>
      <c r="E135" s="327">
        <v>1.7475</v>
      </c>
      <c r="F135" s="314"/>
      <c r="G135" s="314"/>
      <c r="H135" s="315"/>
    </row>
    <row r="136" spans="1:8" ht="15">
      <c r="A136" s="320" t="s">
        <v>38</v>
      </c>
      <c r="B136" s="324"/>
      <c r="C136" s="328">
        <v>7.25</v>
      </c>
      <c r="D136" s="328">
        <v>7.25</v>
      </c>
      <c r="E136" s="328">
        <v>7</v>
      </c>
      <c r="F136" s="314"/>
      <c r="G136" s="314"/>
      <c r="H136" s="315"/>
    </row>
    <row r="137" spans="1:8" ht="15">
      <c r="A137" s="325"/>
      <c r="B137" s="326"/>
      <c r="C137" s="326"/>
      <c r="D137" s="329"/>
      <c r="E137" s="330"/>
      <c r="F137" s="314"/>
      <c r="G137" s="314"/>
      <c r="H137" s="315"/>
    </row>
    <row r="138" spans="1:8" ht="15.75" thickBot="1">
      <c r="A138" s="331" t="s">
        <v>223</v>
      </c>
      <c r="B138" s="332"/>
      <c r="C138" s="333">
        <v>106.74300000000001</v>
      </c>
      <c r="D138" s="334">
        <v>97.714</v>
      </c>
      <c r="E138" s="334">
        <v>96.56400000000001</v>
      </c>
      <c r="F138" s="314"/>
      <c r="G138" s="314"/>
      <c r="H138" s="315"/>
    </row>
    <row r="139" spans="1:8" ht="15">
      <c r="A139" s="366"/>
      <c r="B139" s="324"/>
      <c r="C139" s="328"/>
      <c r="D139" s="367"/>
      <c r="E139" s="367"/>
      <c r="F139" s="314"/>
      <c r="G139" s="314"/>
      <c r="H139" s="315"/>
    </row>
    <row r="140" spans="1:8" ht="15">
      <c r="A140" s="366"/>
      <c r="B140" s="324"/>
      <c r="C140" s="328"/>
      <c r="D140" s="367"/>
      <c r="E140" s="367"/>
      <c r="F140" s="314"/>
      <c r="G140" s="314"/>
      <c r="H140" s="315"/>
    </row>
    <row r="141" spans="1:5" ht="18.75">
      <c r="A141" s="368" t="s">
        <v>239</v>
      </c>
      <c r="B141" s="361"/>
      <c r="C141" s="361"/>
      <c r="D141" s="362"/>
      <c r="E141" s="361"/>
    </row>
    <row r="142" spans="3:5" ht="15">
      <c r="C142" s="294" t="s">
        <v>19</v>
      </c>
      <c r="D142" s="295" t="s">
        <v>20</v>
      </c>
      <c r="E142" s="294" t="s">
        <v>21</v>
      </c>
    </row>
    <row r="143" ht="12.75">
      <c r="B143" s="296"/>
    </row>
    <row r="144" spans="1:5" ht="12.75">
      <c r="A144" s="299"/>
      <c r="B144" s="305"/>
      <c r="C144" s="306"/>
      <c r="D144" s="307" t="s">
        <v>241</v>
      </c>
      <c r="E144" s="306"/>
    </row>
    <row r="145" spans="1:5" ht="12.75">
      <c r="A145" s="299"/>
      <c r="B145" s="74" t="s">
        <v>235</v>
      </c>
      <c r="C145" s="308" t="e">
        <f>SUM(C124,C84:C85)+2.1</f>
        <v>#REF!</v>
      </c>
      <c r="D145" s="308">
        <f>SUM(D124,D105)</f>
        <v>48.5</v>
      </c>
      <c r="E145" s="308">
        <f>SUM(E124,E105)</f>
        <v>48.8</v>
      </c>
    </row>
    <row r="146" spans="1:5" ht="12.75">
      <c r="A146" s="299"/>
      <c r="B146" s="74" t="s">
        <v>236</v>
      </c>
      <c r="C146" s="308" t="e">
        <f>SUM(C124,C84,C85)+2.1</f>
        <v>#REF!</v>
      </c>
      <c r="D146" s="308" t="e">
        <f>SUM(D124,D84,D85)-2.1</f>
        <v>#REF!</v>
      </c>
      <c r="E146" s="308" t="e">
        <f>SUM(E124,E84,E85)</f>
        <v>#REF!</v>
      </c>
    </row>
    <row r="147" spans="1:2" ht="12.75">
      <c r="A147" s="299"/>
      <c r="B147" s="298"/>
    </row>
    <row r="148" spans="1:5" ht="15">
      <c r="A148" s="299"/>
      <c r="B148" s="311" t="s">
        <v>237</v>
      </c>
      <c r="C148" s="300"/>
      <c r="D148" s="301" t="s">
        <v>218</v>
      </c>
      <c r="E148" s="300"/>
    </row>
    <row r="149" spans="1:5" ht="14.25">
      <c r="A149" s="299"/>
      <c r="B149" s="302" t="s">
        <v>235</v>
      </c>
      <c r="C149" s="303">
        <f>SUM(C138,C100)</f>
        <v>156.279</v>
      </c>
      <c r="D149" s="304">
        <f>SUM(D138,D121)</f>
        <v>161.914</v>
      </c>
      <c r="E149" s="304">
        <f>SUM(E138,E121)</f>
        <v>163.56400000000002</v>
      </c>
    </row>
    <row r="150" spans="1:5" ht="14.25">
      <c r="A150" s="299"/>
      <c r="B150" s="302" t="s">
        <v>236</v>
      </c>
      <c r="C150" s="303">
        <f>SUM(C138,C100)</f>
        <v>156.279</v>
      </c>
      <c r="D150" s="303" t="e">
        <f>SUM(D138,D100)</f>
        <v>#REF!</v>
      </c>
      <c r="E150" s="303" t="e">
        <f>SUM(E138,E100)</f>
        <v>#REF!</v>
      </c>
    </row>
    <row r="151" spans="1:2" ht="12.75">
      <c r="A151" s="299"/>
      <c r="B151" s="298"/>
    </row>
    <row r="152" spans="1:4" ht="12.75">
      <c r="A152" s="299"/>
      <c r="B152" s="305" t="s">
        <v>238</v>
      </c>
      <c r="D152" s="15" t="s">
        <v>218</v>
      </c>
    </row>
    <row r="153" spans="1:5" ht="12.75">
      <c r="A153" s="299"/>
      <c r="B153" s="299" t="s">
        <v>235</v>
      </c>
      <c r="C153" s="297">
        <f>SUM(C127:C129,C89:C91)</f>
        <v>27.452000000000005</v>
      </c>
      <c r="D153" s="297">
        <f>SUM(D127:D129,D110:D112)</f>
        <v>28.081000000000003</v>
      </c>
      <c r="E153" s="297">
        <f>SUM(E127:E129,E110:E112)</f>
        <v>28.381000000000004</v>
      </c>
    </row>
    <row r="154" spans="1:5" ht="12.75">
      <c r="A154" s="299"/>
      <c r="B154" s="299" t="s">
        <v>236</v>
      </c>
      <c r="C154" s="297">
        <f>SUM(C127:C129,C89:C91)</f>
        <v>27.452000000000005</v>
      </c>
      <c r="D154" s="297" t="e">
        <f>SUM(D127:D129,D89:D91)</f>
        <v>#REF!</v>
      </c>
      <c r="E154" s="297" t="e">
        <f>SUM(E127:E129,E89:E91)</f>
        <v>#REF!</v>
      </c>
    </row>
    <row r="155" spans="1:2" ht="12.75">
      <c r="A155" s="299"/>
      <c r="B155" s="298"/>
    </row>
    <row r="156" spans="1:4" ht="15.75">
      <c r="A156" s="299"/>
      <c r="B156" s="309" t="s">
        <v>1</v>
      </c>
      <c r="D156" s="15" t="s">
        <v>218</v>
      </c>
    </row>
    <row r="157" spans="1:5" ht="12.75">
      <c r="A157" s="299"/>
      <c r="B157" s="299" t="s">
        <v>235</v>
      </c>
      <c r="C157" s="297">
        <f>SUM(C130,C92)</f>
        <v>5.99</v>
      </c>
      <c r="D157" s="297">
        <f>SUM(D130,D113)</f>
        <v>6.6000000000000005</v>
      </c>
      <c r="E157" s="297">
        <f>SUM(E130,E113)</f>
        <v>8.600000000000001</v>
      </c>
    </row>
    <row r="158" spans="1:5" ht="12.75">
      <c r="A158" s="299"/>
      <c r="B158" s="299" t="s">
        <v>236</v>
      </c>
      <c r="C158" s="297">
        <f>SUM(C130,C92)</f>
        <v>5.99</v>
      </c>
      <c r="D158" s="297">
        <f>SUM(D130,D92)</f>
        <v>5.91</v>
      </c>
      <c r="E158" s="297">
        <f>SUM(E130,E92)</f>
        <v>5.9</v>
      </c>
    </row>
    <row r="159" spans="1:2" ht="12.75">
      <c r="A159" s="299"/>
      <c r="B159" s="298"/>
    </row>
    <row r="160" spans="1:4" ht="15.75">
      <c r="A160" s="299"/>
      <c r="B160" s="310" t="s">
        <v>2</v>
      </c>
      <c r="D160" s="15" t="s">
        <v>218</v>
      </c>
    </row>
    <row r="161" spans="1:5" ht="12.75">
      <c r="A161" s="299"/>
      <c r="B161" s="299" t="s">
        <v>235</v>
      </c>
      <c r="C161" s="297">
        <f>SUM(C131,C93)</f>
        <v>10.559999999999999</v>
      </c>
      <c r="D161" s="297">
        <f>SUM(D131,D114)</f>
        <v>7.85</v>
      </c>
      <c r="E161" s="297">
        <f>SUM(E131,E114)</f>
        <v>5.8100000000000005</v>
      </c>
    </row>
    <row r="162" spans="1:5" ht="12.75">
      <c r="A162" s="299"/>
      <c r="B162" s="299" t="s">
        <v>236</v>
      </c>
      <c r="C162" s="297">
        <f>SUM(C131,C93)</f>
        <v>10.559999999999999</v>
      </c>
      <c r="D162" s="297" t="e">
        <f>SUM(D131,D93)</f>
        <v>#REF!</v>
      </c>
      <c r="E162" s="297" t="e">
        <f>SUM(E131,E93)</f>
        <v>#REF!</v>
      </c>
    </row>
    <row r="163" spans="1:2" ht="12.75">
      <c r="A163" s="299"/>
      <c r="B163" s="298"/>
    </row>
    <row r="164" spans="1:4" ht="15.75">
      <c r="A164" s="299"/>
      <c r="B164" s="309" t="s">
        <v>35</v>
      </c>
      <c r="D164" s="15" t="s">
        <v>218</v>
      </c>
    </row>
    <row r="165" spans="1:5" ht="12.75">
      <c r="A165" s="299"/>
      <c r="B165" s="299" t="s">
        <v>235</v>
      </c>
      <c r="C165" s="297">
        <f>SUM(C132,C94)</f>
        <v>11.817000000000004</v>
      </c>
      <c r="D165" s="297">
        <f>SUM(D132,D115)</f>
        <v>12.145</v>
      </c>
      <c r="E165" s="297">
        <f>SUM(E132,E115)</f>
        <v>11.885</v>
      </c>
    </row>
    <row r="166" spans="1:5" ht="12.75">
      <c r="A166" s="299"/>
      <c r="B166" s="299" t="s">
        <v>236</v>
      </c>
      <c r="C166" s="297">
        <f>SUM(C132,C94)</f>
        <v>11.817000000000004</v>
      </c>
      <c r="D166" s="297" t="e">
        <f>SUM(D132,D94)</f>
        <v>#REF!</v>
      </c>
      <c r="E166" s="297" t="e">
        <f>SUM(E132,E94)</f>
        <v>#REF!</v>
      </c>
    </row>
    <row r="167" spans="1:2" ht="12.75">
      <c r="A167" s="299"/>
      <c r="B167" s="298"/>
    </row>
    <row r="168" spans="1:2" ht="12.75">
      <c r="A168" s="299"/>
      <c r="B168" s="298"/>
    </row>
    <row r="169" spans="1:4" ht="15.75">
      <c r="A169" s="299"/>
      <c r="B169" s="310" t="s">
        <v>36</v>
      </c>
      <c r="D169" s="15" t="s">
        <v>218</v>
      </c>
    </row>
    <row r="170" spans="1:5" ht="12.75">
      <c r="A170" s="299"/>
      <c r="B170" s="299" t="s">
        <v>235</v>
      </c>
      <c r="C170" s="297">
        <f>SUM(C133,C95)</f>
        <v>12.166</v>
      </c>
      <c r="D170" s="204">
        <f>SUM(D133,D116)</f>
        <v>11.3275</v>
      </c>
      <c r="E170" s="204">
        <f>SUM(E133,E116)</f>
        <v>9.2275</v>
      </c>
    </row>
    <row r="171" spans="1:5" ht="12.75">
      <c r="A171" s="299"/>
      <c r="B171" s="299" t="s">
        <v>236</v>
      </c>
      <c r="C171" s="297">
        <f>SUM(C133,C95)</f>
        <v>12.166</v>
      </c>
      <c r="D171" s="297" t="e">
        <f>SUM(D133,D95)</f>
        <v>#REF!</v>
      </c>
      <c r="E171" s="297" t="e">
        <f>SUM(E133,E95)</f>
        <v>#REF!</v>
      </c>
    </row>
    <row r="172" spans="1:2" ht="12.75">
      <c r="A172" s="299"/>
      <c r="B172" s="298"/>
    </row>
    <row r="173" spans="1:2" ht="12.75">
      <c r="A173" s="299"/>
      <c r="B173" s="298"/>
    </row>
    <row r="174" spans="1:4" ht="15.75">
      <c r="A174" s="299"/>
      <c r="B174" s="309" t="s">
        <v>37</v>
      </c>
      <c r="D174" s="15" t="s">
        <v>218</v>
      </c>
    </row>
    <row r="175" spans="1:5" ht="12.75">
      <c r="A175" s="299"/>
      <c r="B175" s="299" t="s">
        <v>235</v>
      </c>
      <c r="C175" s="297">
        <f>SUM(C134,C96)</f>
        <v>70.699</v>
      </c>
      <c r="D175" s="297">
        <f>SUM(D134,D117)</f>
        <v>78.87299999999999</v>
      </c>
      <c r="E175" s="297">
        <f>SUM(E134,E117)</f>
        <v>82.813</v>
      </c>
    </row>
    <row r="176" spans="1:5" ht="12.75">
      <c r="A176" s="299"/>
      <c r="B176" s="299" t="s">
        <v>236</v>
      </c>
      <c r="C176" s="297">
        <f>SUM(C134,C96)</f>
        <v>70.699</v>
      </c>
      <c r="D176" s="297" t="e">
        <f>SUM(D134,D96)</f>
        <v>#REF!</v>
      </c>
      <c r="E176" s="297" t="e">
        <f>SUM(E134,E96)</f>
        <v>#REF!</v>
      </c>
    </row>
    <row r="177" spans="1:2" ht="12.75">
      <c r="A177" s="299"/>
      <c r="B177" s="298"/>
    </row>
    <row r="178" spans="1:2" ht="12.75">
      <c r="A178" s="299"/>
      <c r="B178" s="298"/>
    </row>
    <row r="179" spans="1:4" ht="15.75">
      <c r="A179" s="299"/>
      <c r="B179" s="310" t="s">
        <v>212</v>
      </c>
      <c r="D179" s="15" t="s">
        <v>218</v>
      </c>
    </row>
    <row r="180" spans="1:5" ht="12.75">
      <c r="A180" s="299"/>
      <c r="B180" s="299" t="s">
        <v>235</v>
      </c>
      <c r="C180" s="297">
        <f>SUM(C135,C97)</f>
        <v>7.105</v>
      </c>
      <c r="D180" s="297">
        <f>SUM(D135,D118)</f>
        <v>5.3875</v>
      </c>
      <c r="E180" s="297">
        <f>SUM(E135,E118)</f>
        <v>4.4475</v>
      </c>
    </row>
    <row r="181" spans="1:5" ht="12.75">
      <c r="A181" s="299"/>
      <c r="B181" s="299" t="s">
        <v>236</v>
      </c>
      <c r="C181" s="297">
        <f>SUM(C135,C97)</f>
        <v>7.105</v>
      </c>
      <c r="D181" s="297" t="e">
        <f>SUM(D135,D97)</f>
        <v>#REF!</v>
      </c>
      <c r="E181" s="297" t="e">
        <f>SUM(E135,E97)</f>
        <v>#REF!</v>
      </c>
    </row>
    <row r="182" spans="1:2" ht="12.75">
      <c r="A182" s="299"/>
      <c r="B182" s="298"/>
    </row>
    <row r="183" spans="1:2" ht="12.75">
      <c r="A183" s="299"/>
      <c r="B183" s="298"/>
    </row>
    <row r="184" spans="1:4" ht="15.75">
      <c r="A184" s="299"/>
      <c r="B184" s="309" t="s">
        <v>38</v>
      </c>
      <c r="D184" s="15" t="s">
        <v>218</v>
      </c>
    </row>
    <row r="185" spans="1:5" ht="12.75">
      <c r="A185" s="299"/>
      <c r="B185" s="299" t="s">
        <v>235</v>
      </c>
      <c r="C185" s="297">
        <f>SUM(C136,C98)</f>
        <v>10.49</v>
      </c>
      <c r="D185" s="297">
        <f>SUM(D136,D119)</f>
        <v>11.65</v>
      </c>
      <c r="E185" s="297">
        <f>SUM(E136,E119)</f>
        <v>12.4</v>
      </c>
    </row>
    <row r="186" spans="1:5" ht="12.75">
      <c r="A186" s="299"/>
      <c r="B186" s="299" t="s">
        <v>236</v>
      </c>
      <c r="C186" s="297">
        <f>SUM(C136,C98)</f>
        <v>10.49</v>
      </c>
      <c r="D186" s="297" t="e">
        <f>SUM(D136,D98)</f>
        <v>#REF!</v>
      </c>
      <c r="E186" s="297" t="e">
        <f>SUM(E136,E98)</f>
        <v>#REF!</v>
      </c>
    </row>
    <row r="188" spans="3:5" ht="12.75">
      <c r="C188" s="297">
        <f aca="true" t="shared" si="1" ref="C188:E189">SUM(C153,C157,C161,C165,C170,C175,C180,C185)</f>
        <v>156.27900000000002</v>
      </c>
      <c r="D188" s="297">
        <f t="shared" si="1"/>
        <v>161.914</v>
      </c>
      <c r="E188" s="297">
        <f t="shared" si="1"/>
        <v>163.564</v>
      </c>
    </row>
    <row r="189" spans="3:5" ht="12.75">
      <c r="C189" s="297">
        <f t="shared" si="1"/>
        <v>156.27900000000002</v>
      </c>
      <c r="D189" s="297" t="e">
        <f t="shared" si="1"/>
        <v>#REF!</v>
      </c>
      <c r="E189" s="297" t="e">
        <f t="shared" si="1"/>
        <v>#REF!</v>
      </c>
    </row>
  </sheetData>
  <printOptions gridLines="1" horizontalCentered="1" verticalCentered="1"/>
  <pageMargins left="0.75" right="0.75" top="0.25" bottom="0.29" header="0.17" footer="0.17"/>
  <pageSetup fitToHeight="1" fitToWidth="1" horizontalDpi="600" verticalDpi="600" orientation="portrait" scale="59" r:id="rId1"/>
  <headerFooter alignWithMargins="0">
    <oddHeader>&amp;L
</oddHeader>
    <oddFooter>&amp;L&amp;12&amp;F&amp;C&amp;12&amp;A&amp;R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41"/>
  <sheetViews>
    <sheetView workbookViewId="0" topLeftCell="A1">
      <selection activeCell="D40" sqref="D40"/>
    </sheetView>
  </sheetViews>
  <sheetFormatPr defaultColWidth="9.140625" defaultRowHeight="12.75"/>
  <cols>
    <col min="1" max="1" width="27.8515625" style="0" customWidth="1"/>
    <col min="2" max="3" width="10.57421875" style="0" customWidth="1"/>
    <col min="4" max="4" width="15.8515625" style="0" customWidth="1"/>
    <col min="5" max="16384" width="11.421875" style="0" customWidth="1"/>
  </cols>
  <sheetData>
    <row r="1" spans="1:3" ht="15.75">
      <c r="A1" s="47" t="s">
        <v>53</v>
      </c>
      <c r="B1" s="64"/>
      <c r="C1" s="64"/>
    </row>
    <row r="2" spans="2:3" ht="18">
      <c r="B2" s="91"/>
      <c r="C2" s="91"/>
    </row>
    <row r="3" spans="2:14" ht="45" customHeight="1">
      <c r="B3" s="14" t="s">
        <v>56</v>
      </c>
      <c r="C3" s="14" t="s">
        <v>57</v>
      </c>
      <c r="D3" s="1" t="s">
        <v>58</v>
      </c>
      <c r="E3" s="1">
        <v>2009</v>
      </c>
      <c r="F3" s="1">
        <v>2010</v>
      </c>
      <c r="G3" s="1">
        <v>2011</v>
      </c>
      <c r="H3" s="1">
        <v>2012</v>
      </c>
      <c r="I3" s="1">
        <v>2013</v>
      </c>
      <c r="J3" s="1">
        <v>2014</v>
      </c>
      <c r="K3" s="1">
        <v>2015</v>
      </c>
      <c r="L3" s="1">
        <v>2016</v>
      </c>
      <c r="M3" s="1">
        <v>2017</v>
      </c>
      <c r="N3" s="1">
        <v>2018</v>
      </c>
    </row>
    <row r="4" spans="1:5" ht="12.75">
      <c r="A4" s="66"/>
      <c r="B4" s="66"/>
      <c r="C4" s="66"/>
      <c r="D4" s="66"/>
      <c r="E4" s="66"/>
    </row>
    <row r="5" spans="1:16" ht="12.75">
      <c r="A5" s="66" t="s">
        <v>49</v>
      </c>
      <c r="B5" s="67">
        <f>SUM(B6:B8)</f>
        <v>10232.046</v>
      </c>
      <c r="C5" s="67" t="e">
        <f>SUM(C6:C8)</f>
        <v>#REF!</v>
      </c>
      <c r="D5" s="68" t="e">
        <f>SUM(D6:D8)</f>
        <v>#REF!</v>
      </c>
      <c r="E5" s="67" t="e">
        <f>SUM(E6:E8)</f>
        <v>#REF!</v>
      </c>
      <c r="F5" s="3"/>
      <c r="G5" s="3"/>
      <c r="H5" s="3"/>
      <c r="I5" s="3"/>
      <c r="J5" s="3"/>
      <c r="K5" s="3"/>
      <c r="L5" s="3"/>
      <c r="M5" s="3"/>
      <c r="N5" s="3"/>
      <c r="P5" s="3"/>
    </row>
    <row r="6" spans="1:14" ht="12.75">
      <c r="A6" s="66" t="s">
        <v>50</v>
      </c>
      <c r="B6" s="67">
        <v>8873.102</v>
      </c>
      <c r="C6" s="67" t="e">
        <f>SUM(#REF!)</f>
        <v>#REF!</v>
      </c>
      <c r="D6" s="67" t="e">
        <f>SUM(B6:C6)</f>
        <v>#REF!</v>
      </c>
      <c r="E6" s="67" t="e">
        <f>SUM(#REF!)</f>
        <v>#REF!</v>
      </c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66" t="s">
        <v>51</v>
      </c>
      <c r="B7" s="67">
        <v>1191.944</v>
      </c>
      <c r="C7" s="67" t="e">
        <f>SUM(#REF!)</f>
        <v>#REF!</v>
      </c>
      <c r="D7" s="67" t="e">
        <f>SUM(B7:C7)</f>
        <v>#REF!</v>
      </c>
      <c r="E7" s="67" t="e">
        <f>SUM(#REF!)</f>
        <v>#REF!</v>
      </c>
      <c r="F7" s="3"/>
      <c r="G7" s="3"/>
      <c r="H7" s="3"/>
      <c r="I7" s="3"/>
      <c r="J7" s="3"/>
      <c r="K7" s="3"/>
      <c r="L7" s="3"/>
      <c r="M7" s="3"/>
      <c r="N7" s="3"/>
    </row>
    <row r="8" spans="1:8" ht="12.75">
      <c r="A8" s="66" t="s">
        <v>61</v>
      </c>
      <c r="B8" s="67">
        <v>167</v>
      </c>
      <c r="C8" s="67" t="e">
        <f>SUM(#REF!)</f>
        <v>#REF!</v>
      </c>
      <c r="D8" s="67" t="e">
        <f>SUM(B8:C8)</f>
        <v>#REF!</v>
      </c>
      <c r="E8" s="67" t="e">
        <f>SUM(#REF!)</f>
        <v>#REF!</v>
      </c>
      <c r="F8" s="3"/>
      <c r="G8" s="3"/>
      <c r="H8" s="3"/>
    </row>
    <row r="10" spans="1:3" ht="12.75">
      <c r="A10" s="2" t="s">
        <v>217</v>
      </c>
      <c r="B10" s="2"/>
      <c r="C10" s="2"/>
    </row>
    <row r="11" spans="1:8" ht="12.75">
      <c r="A11" t="s">
        <v>0</v>
      </c>
      <c r="B11" s="205">
        <v>0.54</v>
      </c>
      <c r="C11" s="85">
        <f>SUM('MIE closeout staff detail'!J210:M210)/4*1.2/3</f>
        <v>0.27999999999999997</v>
      </c>
      <c r="D11" s="85">
        <f>SUM(B11:C11)</f>
        <v>0.8200000000000001</v>
      </c>
      <c r="E11" s="85">
        <f>SUM('MIE closeout staff detail'!N210:S210)/12*1.2</f>
        <v>0.22</v>
      </c>
      <c r="F11" s="4"/>
      <c r="G11" s="4"/>
      <c r="H11" s="4"/>
    </row>
    <row r="12" spans="1:8" ht="12.75">
      <c r="A12" t="s">
        <v>1</v>
      </c>
      <c r="B12" s="205">
        <v>0.16</v>
      </c>
      <c r="C12" s="85">
        <f>SUM('MIE closeout staff detail'!J52:M52)/4*1.2/3</f>
        <v>0.030000000000000002</v>
      </c>
      <c r="D12" s="85">
        <f aca="true" t="shared" si="0" ref="D12:D18">SUM(B12:C12)</f>
        <v>0.19</v>
      </c>
      <c r="E12" s="85">
        <f>SUM('MIE closeout staff detail'!N52:S52)/12*1.2</f>
        <v>0.01</v>
      </c>
      <c r="F12" s="4"/>
      <c r="G12" s="4"/>
      <c r="H12" s="4"/>
    </row>
    <row r="13" spans="1:8" ht="12.75">
      <c r="A13" t="s">
        <v>2</v>
      </c>
      <c r="B13" s="205">
        <v>5.85</v>
      </c>
      <c r="C13" s="85">
        <f>SUM('MIE closeout staff detail'!J135:M135)/4*1.2/3</f>
        <v>2.66</v>
      </c>
      <c r="D13" s="85">
        <f t="shared" si="0"/>
        <v>8.51</v>
      </c>
      <c r="E13" s="85">
        <f>SUM('MIE closeout staff detail'!N135:S135)/12*1.2</f>
        <v>1.27</v>
      </c>
      <c r="F13" s="4"/>
      <c r="G13" s="4"/>
      <c r="H13" s="4"/>
    </row>
    <row r="14" spans="1:8" ht="12.75">
      <c r="A14" t="s">
        <v>3</v>
      </c>
      <c r="B14" s="205">
        <v>0.13</v>
      </c>
      <c r="C14" s="85">
        <f>SUM('MIE closeout staff detail'!J142:M142)/4*1.2/3</f>
        <v>0.04</v>
      </c>
      <c r="D14" s="85">
        <f t="shared" si="0"/>
        <v>0.17</v>
      </c>
      <c r="E14" s="85">
        <f>SUM('MIE closeout staff detail'!N142:S142)/12*1.2</f>
        <v>0.05999999999999999</v>
      </c>
      <c r="F14" s="4"/>
      <c r="G14" s="4"/>
      <c r="H14" s="4"/>
    </row>
    <row r="15" spans="1:8" ht="12.75">
      <c r="A15" t="s">
        <v>4</v>
      </c>
      <c r="B15" s="205">
        <v>4.56</v>
      </c>
      <c r="C15" s="85">
        <f>SUM('MIE closeout staff detail'!J179:M179)/4*1.2/3</f>
        <v>2.4</v>
      </c>
      <c r="D15" s="85">
        <f t="shared" si="0"/>
        <v>6.959999999999999</v>
      </c>
      <c r="E15" s="85">
        <f>SUM('MIE closeout staff detail'!N179:S179)/12*1.2</f>
        <v>0.64</v>
      </c>
      <c r="F15" s="4"/>
      <c r="G15" s="4"/>
      <c r="H15" s="4"/>
    </row>
    <row r="16" spans="1:8" ht="12.75">
      <c r="A16" t="s">
        <v>5</v>
      </c>
      <c r="B16" s="205">
        <v>16.21</v>
      </c>
      <c r="C16" s="85">
        <f>SUM('MIE closeout staff detail'!J182:M182,'MIE closeout staff detail'!J199:M199)/4*1.2/3</f>
        <v>8.790000000000001</v>
      </c>
      <c r="D16" s="85">
        <f t="shared" si="0"/>
        <v>25</v>
      </c>
      <c r="E16" s="85">
        <f>SUM('MIE closeout staff detail'!N182:S182,'MIE closeout staff detail'!N199:S199)/12*1.2</f>
        <v>1.43</v>
      </c>
      <c r="F16" s="4"/>
      <c r="G16" s="4"/>
      <c r="H16" s="4"/>
    </row>
    <row r="17" spans="1:8" ht="12.75">
      <c r="A17" t="s">
        <v>212</v>
      </c>
      <c r="B17" s="205">
        <v>2.14</v>
      </c>
      <c r="C17" s="85">
        <f>SUM('MIE closeout staff detail'!J75:M75)/4*1.2/3</f>
        <v>1.39</v>
      </c>
      <c r="D17" s="85">
        <f t="shared" si="0"/>
        <v>3.5300000000000002</v>
      </c>
      <c r="E17" s="85">
        <f>SUM('MIE closeout staff detail'!N75:S75)/12*1.2</f>
        <v>0.75</v>
      </c>
      <c r="F17" s="4"/>
      <c r="G17" s="4"/>
      <c r="H17" s="4"/>
    </row>
    <row r="18" spans="1:9" ht="12.75">
      <c r="A18" t="s">
        <v>6</v>
      </c>
      <c r="B18" s="206">
        <v>2.47</v>
      </c>
      <c r="C18" s="86">
        <f>SUM('MIE closeout staff detail'!J138:M139,'MIE closeout staff detail'!J202:M202,'MIE closeout staff detail'!J206:M206)/4*1.2/3</f>
        <v>0.7600000000000001</v>
      </c>
      <c r="D18" s="86">
        <f t="shared" si="0"/>
        <v>3.2300000000000004</v>
      </c>
      <c r="E18" s="86">
        <f>SUM('MIE closeout staff detail'!N138:S139,'MIE closeout staff detail'!N202:S202,'MIE closeout staff detail'!N206:S206)/12*1.2</f>
        <v>0.6100000000000001</v>
      </c>
      <c r="F18" s="4"/>
      <c r="G18" s="4"/>
      <c r="H18" s="4"/>
      <c r="I18" s="3"/>
    </row>
    <row r="19" spans="1:5" ht="12.75">
      <c r="A19" s="65" t="s">
        <v>219</v>
      </c>
      <c r="B19" s="87">
        <f>SUM(B11:B18)</f>
        <v>32.06</v>
      </c>
      <c r="C19" s="87">
        <f>SUM(C11:C18)</f>
        <v>16.35</v>
      </c>
      <c r="D19" s="87">
        <f>SUM(D11:D18)</f>
        <v>48.41</v>
      </c>
      <c r="E19" s="87">
        <f>SUM(E11:E18)</f>
        <v>4.99</v>
      </c>
    </row>
    <row r="21" spans="1:8" ht="12.75">
      <c r="A21" t="s">
        <v>214</v>
      </c>
      <c r="B21" s="67">
        <v>1776</v>
      </c>
      <c r="C21" s="67">
        <f>700*1.2</f>
        <v>840</v>
      </c>
      <c r="D21" s="67">
        <f>SUM(B21:C21)</f>
        <v>2616</v>
      </c>
      <c r="E21" s="88">
        <f>80*1.2</f>
        <v>96</v>
      </c>
      <c r="F21" s="5"/>
      <c r="G21" s="5"/>
      <c r="H21" s="5"/>
    </row>
    <row r="24" spans="1:3" ht="12.75">
      <c r="A24" s="2" t="s">
        <v>216</v>
      </c>
      <c r="B24" s="2"/>
      <c r="C24" s="2"/>
    </row>
    <row r="25" spans="1:8" ht="12.75">
      <c r="A25" t="s">
        <v>0</v>
      </c>
      <c r="C25" s="85">
        <f>SUM('MIE closeout staff detail'!J22:M24)/4*1.2/3</f>
        <v>0.22000000000000006</v>
      </c>
      <c r="E25" s="85">
        <f>SUM('MIE closeout staff detail'!N22:S24)/12*1.2</f>
        <v>0.08</v>
      </c>
      <c r="F25" s="4"/>
      <c r="G25" s="4"/>
      <c r="H25" s="4"/>
    </row>
    <row r="26" spans="1:8" ht="12.75">
      <c r="A26" t="s">
        <v>213</v>
      </c>
      <c r="C26" s="86">
        <f>SUM('MIE closeout staff detail'!J51:M51)/4*1.2/3</f>
        <v>1.4800000000000002</v>
      </c>
      <c r="D26" s="84"/>
      <c r="E26" s="86">
        <f>SUM('MIE closeout staff detail'!N51:S51)/12*1.2</f>
        <v>0.06000000000000001</v>
      </c>
      <c r="F26" s="4"/>
      <c r="G26" s="4"/>
      <c r="H26" s="4"/>
    </row>
    <row r="27" spans="1:5" ht="12.75">
      <c r="A27" s="65" t="s">
        <v>220</v>
      </c>
      <c r="C27" s="79">
        <f>SUM(C25:C26)</f>
        <v>1.7000000000000002</v>
      </c>
      <c r="D27" s="65"/>
      <c r="E27" s="79">
        <f>SUM(E25:E26)</f>
        <v>0.14</v>
      </c>
    </row>
    <row r="28" spans="3:5" ht="12.75">
      <c r="C28" s="4"/>
      <c r="E28" s="4"/>
    </row>
    <row r="29" spans="1:8" ht="12.75">
      <c r="A29" t="s">
        <v>7</v>
      </c>
      <c r="C29" s="67" t="e">
        <f>SUM(#REF!)*1.2</f>
        <v>#REF!</v>
      </c>
      <c r="E29" s="67" t="e">
        <f>SUM(#REF!)*1.2</f>
        <v>#REF!</v>
      </c>
      <c r="F29" s="3"/>
      <c r="G29" s="3"/>
      <c r="H29" s="3"/>
    </row>
    <row r="40" ht="12.75">
      <c r="D40" s="369"/>
    </row>
    <row r="41" ht="12.75">
      <c r="E41" s="4">
        <f>SUM(C25:C26,E25:E26,C19,E19)</f>
        <v>23.18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M30"/>
  <sheetViews>
    <sheetView workbookViewId="0" topLeftCell="A1">
      <selection activeCell="C13" sqref="C13"/>
    </sheetView>
  </sheetViews>
  <sheetFormatPr defaultColWidth="9.140625" defaultRowHeight="12.75"/>
  <cols>
    <col min="1" max="1" width="27.8515625" style="0" customWidth="1"/>
    <col min="2" max="2" width="11.28125" style="0" customWidth="1"/>
    <col min="3" max="16384" width="11.421875" style="0" customWidth="1"/>
  </cols>
  <sheetData>
    <row r="1" ht="15.75">
      <c r="A1" s="53" t="s">
        <v>55</v>
      </c>
    </row>
    <row r="3" spans="2:12" ht="12.75">
      <c r="B3" s="1">
        <v>2008</v>
      </c>
      <c r="C3" s="1">
        <f aca="true" t="shared" si="0" ref="C3:L3">B3+1</f>
        <v>2009</v>
      </c>
      <c r="D3" s="1">
        <f t="shared" si="0"/>
        <v>2010</v>
      </c>
      <c r="E3" s="1">
        <f t="shared" si="0"/>
        <v>2011</v>
      </c>
      <c r="F3" s="1">
        <f t="shared" si="0"/>
        <v>2012</v>
      </c>
      <c r="G3" s="1">
        <f t="shared" si="0"/>
        <v>2013</v>
      </c>
      <c r="H3" s="1">
        <f t="shared" si="0"/>
        <v>2014</v>
      </c>
      <c r="I3" s="1">
        <f t="shared" si="0"/>
        <v>2015</v>
      </c>
      <c r="J3" s="1">
        <f t="shared" si="0"/>
        <v>2016</v>
      </c>
      <c r="K3" s="1">
        <f t="shared" si="0"/>
        <v>2017</v>
      </c>
      <c r="L3" s="1">
        <f t="shared" si="0"/>
        <v>2018</v>
      </c>
    </row>
    <row r="5" spans="1:13" ht="12.75">
      <c r="A5" t="s">
        <v>49</v>
      </c>
      <c r="B5" s="6"/>
      <c r="C5" s="68" t="e">
        <f>SUM(C6:C7)</f>
        <v>#REF!</v>
      </c>
      <c r="D5" s="68" t="e">
        <f>SUM(D6:D7)</f>
        <v>#REF!</v>
      </c>
      <c r="E5" s="68" t="e">
        <f>SUM(E6:E7)</f>
        <v>#REF!</v>
      </c>
      <c r="F5" s="3"/>
      <c r="G5" s="3"/>
      <c r="H5" s="3"/>
      <c r="I5" s="3"/>
      <c r="J5" s="3"/>
      <c r="K5" s="3"/>
      <c r="L5" s="3"/>
      <c r="M5" s="3"/>
    </row>
    <row r="6" spans="1:13" ht="12.75">
      <c r="A6" t="s">
        <v>50</v>
      </c>
      <c r="B6" s="3"/>
      <c r="C6" s="67" t="e">
        <f>SUM(#REF!)</f>
        <v>#REF!</v>
      </c>
      <c r="D6" s="67" t="e">
        <f>SUM(#REF!)</f>
        <v>#REF!</v>
      </c>
      <c r="E6" s="67" t="e">
        <f>SUM(#REF!)</f>
        <v>#REF!</v>
      </c>
      <c r="F6" s="3"/>
      <c r="G6" s="3"/>
      <c r="H6" s="3"/>
      <c r="I6" s="3"/>
      <c r="J6" s="3"/>
      <c r="K6" s="3"/>
      <c r="L6" s="3"/>
      <c r="M6" s="3"/>
    </row>
    <row r="7" spans="1:12" ht="12.75">
      <c r="A7" t="s">
        <v>51</v>
      </c>
      <c r="B7" s="3"/>
      <c r="C7" s="67" t="e">
        <f>SUM(#REF!)</f>
        <v>#REF!</v>
      </c>
      <c r="D7" s="67" t="e">
        <f>SUM(#REF!)</f>
        <v>#REF!</v>
      </c>
      <c r="E7" s="67" t="e">
        <f>SUM(#REF!)</f>
        <v>#REF!</v>
      </c>
      <c r="F7" s="3"/>
      <c r="G7" s="3"/>
      <c r="H7" s="3"/>
      <c r="I7" s="3"/>
      <c r="J7" s="3"/>
      <c r="K7" s="3"/>
      <c r="L7" s="3"/>
    </row>
    <row r="8" spans="2:6" ht="12.75">
      <c r="B8" s="3"/>
      <c r="C8" s="3"/>
      <c r="D8" s="3"/>
      <c r="E8" s="3"/>
      <c r="F8" s="3"/>
    </row>
    <row r="10" ht="12.75">
      <c r="A10" s="2" t="s">
        <v>52</v>
      </c>
    </row>
    <row r="11" spans="1:6" ht="12.75">
      <c r="A11" t="s">
        <v>0</v>
      </c>
      <c r="B11" s="4"/>
      <c r="C11" s="85" t="e">
        <f>SUM(#REF!)</f>
        <v>#REF!</v>
      </c>
      <c r="D11" s="85" t="e">
        <f>SUM(#REF!)</f>
        <v>#REF!</v>
      </c>
      <c r="E11" s="85" t="e">
        <f>SUM(#REF!)</f>
        <v>#REF!</v>
      </c>
      <c r="F11" s="4"/>
    </row>
    <row r="12" spans="1:6" ht="12.75">
      <c r="A12" t="s">
        <v>1</v>
      </c>
      <c r="B12" s="4"/>
      <c r="C12" s="85"/>
      <c r="D12" s="85"/>
      <c r="E12" s="85"/>
      <c r="F12" s="4"/>
    </row>
    <row r="13" spans="1:6" ht="12.75">
      <c r="A13" t="s">
        <v>2</v>
      </c>
      <c r="B13" s="4"/>
      <c r="C13" s="85" t="e">
        <f>SUM(#REF!)</f>
        <v>#REF!</v>
      </c>
      <c r="D13" s="85" t="e">
        <f>SUM(#REF!)</f>
        <v>#REF!</v>
      </c>
      <c r="E13" s="85" t="e">
        <f>SUM(#REF!)</f>
        <v>#REF!</v>
      </c>
      <c r="F13" s="4"/>
    </row>
    <row r="14" spans="1:6" ht="12.75">
      <c r="A14" t="s">
        <v>3</v>
      </c>
      <c r="B14" s="4"/>
      <c r="C14" s="85" t="e">
        <f>SUM(#REF!)</f>
        <v>#REF!</v>
      </c>
      <c r="D14" s="85" t="e">
        <f>SUM(#REF!)</f>
        <v>#REF!</v>
      </c>
      <c r="E14" s="85" t="e">
        <f>SUM(#REF!)</f>
        <v>#REF!</v>
      </c>
      <c r="F14" s="4"/>
    </row>
    <row r="15" spans="1:6" ht="12.75">
      <c r="A15" t="s">
        <v>4</v>
      </c>
      <c r="B15" s="4"/>
      <c r="C15" s="85" t="e">
        <f>SUM(#REF!)</f>
        <v>#REF!</v>
      </c>
      <c r="D15" s="85" t="e">
        <f>SUM(#REF!)</f>
        <v>#REF!</v>
      </c>
      <c r="E15" s="85" t="e">
        <f>SUM(#REF!)</f>
        <v>#REF!</v>
      </c>
      <c r="F15" s="4"/>
    </row>
    <row r="16" spans="1:6" ht="12.75">
      <c r="A16" t="s">
        <v>5</v>
      </c>
      <c r="B16" s="4"/>
      <c r="C16" s="85" t="e">
        <f>SUM(#REF!)</f>
        <v>#REF!</v>
      </c>
      <c r="D16" s="85" t="e">
        <f>SUM(#REF!)</f>
        <v>#REF!</v>
      </c>
      <c r="E16" s="85" t="e">
        <f>SUM(#REF!)</f>
        <v>#REF!</v>
      </c>
      <c r="F16" s="4"/>
    </row>
    <row r="17" spans="1:6" ht="12.75">
      <c r="A17" t="s">
        <v>212</v>
      </c>
      <c r="B17" s="4"/>
      <c r="C17" s="85" t="e">
        <f>SUM(#REF!)</f>
        <v>#REF!</v>
      </c>
      <c r="D17" s="85" t="e">
        <f>SUM(#REF!)</f>
        <v>#REF!</v>
      </c>
      <c r="E17" s="85" t="e">
        <f>SUM(#REF!)</f>
        <v>#REF!</v>
      </c>
      <c r="F17" s="4"/>
    </row>
    <row r="18" spans="1:6" ht="12.75">
      <c r="A18" t="s">
        <v>6</v>
      </c>
      <c r="B18" s="4"/>
      <c r="C18" s="86" t="e">
        <f>SUM(#REF!)</f>
        <v>#REF!</v>
      </c>
      <c r="D18" s="86" t="e">
        <f>SUM(#REF!)</f>
        <v>#REF!</v>
      </c>
      <c r="E18" s="86" t="e">
        <f>SUM(#REF!)</f>
        <v>#REF!</v>
      </c>
      <c r="F18" s="4"/>
    </row>
    <row r="19" spans="1:6" ht="12.75">
      <c r="A19" t="s">
        <v>219</v>
      </c>
      <c r="B19" s="4"/>
      <c r="C19" s="87" t="e">
        <f>SUM(C11:C18)</f>
        <v>#REF!</v>
      </c>
      <c r="D19" s="87" t="e">
        <f>SUM(D11:D18)</f>
        <v>#REF!</v>
      </c>
      <c r="E19" s="87" t="e">
        <f>SUM(E11:E18)</f>
        <v>#REF!</v>
      </c>
      <c r="F19" s="4"/>
    </row>
    <row r="21" spans="1:6" ht="12.75">
      <c r="A21" t="s">
        <v>10</v>
      </c>
      <c r="B21" s="5"/>
      <c r="C21" s="88" t="e">
        <f>SUM(#REF!)</f>
        <v>#REF!</v>
      </c>
      <c r="D21" s="88" t="e">
        <f>SUM(#REF!)</f>
        <v>#REF!</v>
      </c>
      <c r="E21" s="88" t="e">
        <f>SUM(#REF!)</f>
        <v>#REF!</v>
      </c>
      <c r="F21" s="5"/>
    </row>
    <row r="24" ht="12.75">
      <c r="A24" s="2" t="s">
        <v>8</v>
      </c>
    </row>
    <row r="25" spans="1:6" ht="12.75">
      <c r="A25" t="s">
        <v>0</v>
      </c>
      <c r="B25" s="4"/>
      <c r="C25" s="4"/>
      <c r="D25" s="4"/>
      <c r="E25" s="4"/>
      <c r="F25" s="4"/>
    </row>
    <row r="26" spans="1:6" ht="12.75">
      <c r="A26" t="s">
        <v>9</v>
      </c>
      <c r="B26" s="4"/>
      <c r="C26" s="85" t="e">
        <f>SUM(#REF!)</f>
        <v>#REF!</v>
      </c>
      <c r="D26" s="85" t="e">
        <f>SUM(#REF!)</f>
        <v>#REF!</v>
      </c>
      <c r="E26" s="85" t="e">
        <f>SUM(#REF!)</f>
        <v>#REF!</v>
      </c>
      <c r="F26" s="4"/>
    </row>
    <row r="28" spans="1:6" ht="12.75">
      <c r="A28" t="s">
        <v>7</v>
      </c>
      <c r="B28" s="3"/>
      <c r="C28" s="67" t="e">
        <f>SUM(#REF!)</f>
        <v>#REF!</v>
      </c>
      <c r="D28" s="67" t="e">
        <f>SUM(#REF!)</f>
        <v>#REF!</v>
      </c>
      <c r="E28" s="67" t="e">
        <f>SUM(#REF!)</f>
        <v>#REF!</v>
      </c>
      <c r="F28" s="3"/>
    </row>
    <row r="30" spans="3:5" ht="12.75">
      <c r="C30" s="4"/>
      <c r="D30" s="4"/>
      <c r="E30" s="4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L45"/>
  <sheetViews>
    <sheetView workbookViewId="0" topLeftCell="A1">
      <selection activeCell="C5" sqref="C5:E27"/>
    </sheetView>
  </sheetViews>
  <sheetFormatPr defaultColWidth="9.140625" defaultRowHeight="12.75"/>
  <cols>
    <col min="1" max="1" width="27.8515625" style="0" customWidth="1"/>
    <col min="2" max="2" width="11.140625" style="0" bestFit="1" customWidth="1"/>
    <col min="3" max="16384" width="11.421875" style="0" customWidth="1"/>
  </cols>
  <sheetData>
    <row r="1" ht="15.75">
      <c r="A1" s="58" t="s">
        <v>54</v>
      </c>
    </row>
    <row r="3" spans="2:12" ht="12.75">
      <c r="B3" s="1">
        <v>2008</v>
      </c>
      <c r="C3" s="1">
        <f>B3+1</f>
        <v>2009</v>
      </c>
      <c r="D3" s="1">
        <f>C3+1</f>
        <v>2010</v>
      </c>
      <c r="E3" s="1">
        <f aca="true" t="shared" si="0" ref="E3:L3">D3+1</f>
        <v>2011</v>
      </c>
      <c r="F3" s="1">
        <f t="shared" si="0"/>
        <v>2012</v>
      </c>
      <c r="G3" s="1">
        <f t="shared" si="0"/>
        <v>2013</v>
      </c>
      <c r="H3" s="1">
        <f t="shared" si="0"/>
        <v>2014</v>
      </c>
      <c r="I3" s="1">
        <f t="shared" si="0"/>
        <v>2015</v>
      </c>
      <c r="J3" s="1">
        <f t="shared" si="0"/>
        <v>2016</v>
      </c>
      <c r="K3" s="1">
        <f t="shared" si="0"/>
        <v>2017</v>
      </c>
      <c r="L3" s="1">
        <f t="shared" si="0"/>
        <v>2018</v>
      </c>
    </row>
    <row r="5" spans="1:12" ht="12.75">
      <c r="A5" t="s">
        <v>49</v>
      </c>
      <c r="B5" s="6"/>
      <c r="C5" s="68">
        <f>SUM(C6:C7)</f>
        <v>500</v>
      </c>
      <c r="D5" s="68">
        <f>SUM(D6:D7)</f>
        <v>500</v>
      </c>
      <c r="E5" s="68">
        <f>SUM(E6:E7)</f>
        <v>750</v>
      </c>
      <c r="F5" s="6"/>
      <c r="G5" s="3"/>
      <c r="H5" s="3"/>
      <c r="I5" s="3"/>
      <c r="J5" s="3"/>
      <c r="K5" s="3"/>
      <c r="L5" s="3"/>
    </row>
    <row r="6" spans="1:12" ht="12.75">
      <c r="A6" t="s">
        <v>50</v>
      </c>
      <c r="B6" s="3"/>
      <c r="C6" s="68">
        <v>375</v>
      </c>
      <c r="D6" s="67">
        <v>375</v>
      </c>
      <c r="E6" s="67">
        <v>580</v>
      </c>
      <c r="F6" s="3"/>
      <c r="G6" s="3"/>
      <c r="H6" s="3"/>
      <c r="I6" s="3"/>
      <c r="J6" s="3"/>
      <c r="K6" s="3"/>
      <c r="L6" s="3"/>
    </row>
    <row r="7" spans="1:12" ht="12.75">
      <c r="A7" t="s">
        <v>51</v>
      </c>
      <c r="B7" s="3"/>
      <c r="C7" s="67">
        <v>125</v>
      </c>
      <c r="D7" s="67">
        <v>125</v>
      </c>
      <c r="E7" s="67">
        <v>170</v>
      </c>
      <c r="F7" s="3"/>
      <c r="G7" s="3"/>
      <c r="H7" s="3"/>
      <c r="I7" s="3"/>
      <c r="J7" s="3"/>
      <c r="K7" s="3"/>
      <c r="L7" s="3"/>
    </row>
    <row r="8" spans="2:6" ht="12.75">
      <c r="B8" s="3"/>
      <c r="C8" s="67"/>
      <c r="D8" s="67"/>
      <c r="E8" s="67"/>
      <c r="F8" s="3"/>
    </row>
    <row r="9" spans="3:5" ht="12.75">
      <c r="C9" s="66"/>
      <c r="D9" s="66"/>
      <c r="E9" s="66"/>
    </row>
    <row r="10" spans="1:5" ht="12.75">
      <c r="A10" s="2" t="s">
        <v>52</v>
      </c>
      <c r="C10" s="66"/>
      <c r="D10" s="66"/>
      <c r="E10" s="66"/>
    </row>
    <row r="11" spans="1:6" ht="12.75">
      <c r="A11" t="s">
        <v>0</v>
      </c>
      <c r="B11" s="4"/>
      <c r="C11" s="85">
        <f>+C6/306/3</f>
        <v>0.40849673202614384</v>
      </c>
      <c r="D11" s="85">
        <f>+D6/306/3</f>
        <v>0.40849673202614384</v>
      </c>
      <c r="E11" s="85">
        <f>+E6/306/3</f>
        <v>0.6318082788671023</v>
      </c>
      <c r="F11" s="4"/>
    </row>
    <row r="12" spans="1:6" ht="12.75">
      <c r="A12" t="s">
        <v>1</v>
      </c>
      <c r="B12" s="4"/>
      <c r="C12" s="85"/>
      <c r="D12" s="85"/>
      <c r="E12" s="85"/>
      <c r="F12" s="4"/>
    </row>
    <row r="13" spans="1:6" ht="12.75">
      <c r="A13" t="s">
        <v>2</v>
      </c>
      <c r="B13" s="4"/>
      <c r="C13" s="85">
        <f>+C6*0.667/330</f>
        <v>0.7579545454545454</v>
      </c>
      <c r="D13" s="85">
        <f>+D6*0.667/330</f>
        <v>0.7579545454545454</v>
      </c>
      <c r="E13" s="85">
        <f>+E6*0.667/330</f>
        <v>1.1723030303030304</v>
      </c>
      <c r="F13" s="4"/>
    </row>
    <row r="14" spans="1:6" ht="12.75">
      <c r="A14" t="s">
        <v>3</v>
      </c>
      <c r="B14" s="4"/>
      <c r="C14" s="85"/>
      <c r="D14" s="85"/>
      <c r="E14" s="85"/>
      <c r="F14" s="4"/>
    </row>
    <row r="15" spans="1:6" ht="12.75">
      <c r="A15" t="s">
        <v>4</v>
      </c>
      <c r="B15" s="4"/>
      <c r="C15" s="85"/>
      <c r="D15" s="85"/>
      <c r="E15" s="85"/>
      <c r="F15" s="4"/>
    </row>
    <row r="16" spans="1:6" ht="12.75">
      <c r="A16" t="s">
        <v>5</v>
      </c>
      <c r="B16" s="4"/>
      <c r="C16" s="85"/>
      <c r="D16" s="85"/>
      <c r="E16" s="85"/>
      <c r="F16" s="4"/>
    </row>
    <row r="17" spans="1:6" ht="12.75">
      <c r="A17" t="s">
        <v>6</v>
      </c>
      <c r="B17" s="4"/>
      <c r="C17" s="85"/>
      <c r="D17" s="85"/>
      <c r="E17" s="85"/>
      <c r="F17" s="4"/>
    </row>
    <row r="18" spans="3:5" ht="12.75">
      <c r="C18" s="66"/>
      <c r="D18" s="66"/>
      <c r="E18" s="66"/>
    </row>
    <row r="19" spans="1:6" ht="12.75">
      <c r="A19" t="s">
        <v>10</v>
      </c>
      <c r="B19" s="5"/>
      <c r="C19" s="88">
        <v>20</v>
      </c>
      <c r="D19" s="88">
        <v>20</v>
      </c>
      <c r="E19" s="88">
        <v>20</v>
      </c>
      <c r="F19" s="5"/>
    </row>
    <row r="20" spans="3:5" ht="12.75">
      <c r="C20" s="66"/>
      <c r="D20" s="66"/>
      <c r="E20" s="66"/>
    </row>
    <row r="21" spans="3:5" ht="12.75">
      <c r="C21" s="66"/>
      <c r="D21" s="66"/>
      <c r="E21" s="66"/>
    </row>
    <row r="22" spans="1:5" ht="12.75">
      <c r="A22" s="2" t="s">
        <v>8</v>
      </c>
      <c r="C22" s="66"/>
      <c r="D22" s="66"/>
      <c r="E22" s="66"/>
    </row>
    <row r="23" spans="1:6" ht="12.75">
      <c r="A23" t="s">
        <v>0</v>
      </c>
      <c r="B23" s="4"/>
      <c r="C23" s="85">
        <v>0.2</v>
      </c>
      <c r="D23" s="85">
        <v>0.2</v>
      </c>
      <c r="E23" s="85">
        <v>0.3</v>
      </c>
      <c r="F23" s="4"/>
    </row>
    <row r="24" spans="1:6" ht="12.75">
      <c r="A24" t="s">
        <v>9</v>
      </c>
      <c r="B24" s="4"/>
      <c r="C24" s="85">
        <v>0.2</v>
      </c>
      <c r="D24" s="85">
        <v>0.2</v>
      </c>
      <c r="E24" s="85">
        <v>0.3</v>
      </c>
      <c r="F24" s="4"/>
    </row>
    <row r="25" spans="3:5" ht="12.75">
      <c r="C25" s="66"/>
      <c r="D25" s="66"/>
      <c r="E25" s="66"/>
    </row>
    <row r="26" spans="1:6" ht="12.75">
      <c r="A26" t="s">
        <v>7</v>
      </c>
      <c r="B26" s="3"/>
      <c r="C26" s="67">
        <v>2</v>
      </c>
      <c r="D26" s="67">
        <v>2</v>
      </c>
      <c r="E26" s="67">
        <v>2</v>
      </c>
      <c r="F26" s="3"/>
    </row>
    <row r="27" spans="3:5" ht="12.75">
      <c r="C27" s="66"/>
      <c r="D27" s="66"/>
      <c r="E27" s="66"/>
    </row>
    <row r="35" ht="12.75">
      <c r="A35" s="2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3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119"/>
  <sheetViews>
    <sheetView workbookViewId="0" topLeftCell="A1">
      <selection activeCell="Y38" sqref="Y38"/>
    </sheetView>
  </sheetViews>
  <sheetFormatPr defaultColWidth="9.140625" defaultRowHeight="12.75"/>
  <cols>
    <col min="1" max="1" width="29.8515625" style="8" customWidth="1"/>
    <col min="2" max="7" width="8.8515625" style="8" customWidth="1"/>
    <col min="8" max="13" width="5.28125" style="19" customWidth="1"/>
    <col min="14" max="15" width="5.28125" style="8" customWidth="1"/>
    <col min="16" max="16" width="29.8515625" style="8" customWidth="1"/>
    <col min="17" max="21" width="8.8515625" style="8" customWidth="1"/>
    <col min="22" max="28" width="8.8515625" style="19" customWidth="1"/>
    <col min="29" max="16384" width="8.8515625" style="8" customWidth="1"/>
  </cols>
  <sheetData>
    <row r="1" spans="2:28" s="7" customFormat="1" ht="12.75">
      <c r="B1" s="207" t="s">
        <v>18</v>
      </c>
      <c r="C1" s="207" t="s">
        <v>19</v>
      </c>
      <c r="D1" s="207" t="s">
        <v>20</v>
      </c>
      <c r="E1" s="207" t="s">
        <v>21</v>
      </c>
      <c r="F1" s="207" t="s">
        <v>22</v>
      </c>
      <c r="G1" s="207" t="s">
        <v>23</v>
      </c>
      <c r="H1" s="22" t="s">
        <v>24</v>
      </c>
      <c r="I1" s="22" t="s">
        <v>25</v>
      </c>
      <c r="J1" s="22" t="s">
        <v>26</v>
      </c>
      <c r="K1" s="22" t="s">
        <v>27</v>
      </c>
      <c r="L1" s="22" t="s">
        <v>28</v>
      </c>
      <c r="M1" s="22" t="s">
        <v>29</v>
      </c>
      <c r="Q1" s="207" t="s">
        <v>18</v>
      </c>
      <c r="R1" s="207" t="s">
        <v>19</v>
      </c>
      <c r="S1" s="207" t="s">
        <v>20</v>
      </c>
      <c r="T1" s="207" t="s">
        <v>21</v>
      </c>
      <c r="U1" s="207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</row>
    <row r="2" ht="13.5" thickBot="1"/>
    <row r="3" spans="1:28" ht="12.75">
      <c r="A3" s="208"/>
      <c r="B3" s="209"/>
      <c r="C3" s="209"/>
      <c r="D3" s="209"/>
      <c r="E3" s="210">
        <f>E6/T6</f>
        <v>1</v>
      </c>
      <c r="F3" s="210">
        <f aca="true" t="shared" si="0" ref="F3:M3">F6/U6</f>
        <v>1</v>
      </c>
      <c r="G3" s="210">
        <f t="shared" si="0"/>
        <v>1</v>
      </c>
      <c r="H3" s="24">
        <f t="shared" si="0"/>
        <v>1</v>
      </c>
      <c r="I3" s="24">
        <f t="shared" si="0"/>
        <v>1</v>
      </c>
      <c r="J3" s="24">
        <f t="shared" si="0"/>
        <v>1</v>
      </c>
      <c r="K3" s="24">
        <f t="shared" si="0"/>
        <v>1</v>
      </c>
      <c r="L3" s="24">
        <f t="shared" si="0"/>
        <v>1</v>
      </c>
      <c r="M3" s="25">
        <f t="shared" si="0"/>
        <v>1</v>
      </c>
      <c r="P3" s="208"/>
      <c r="Q3" s="209"/>
      <c r="R3" s="209"/>
      <c r="S3" s="209"/>
      <c r="T3" s="209"/>
      <c r="U3" s="209"/>
      <c r="V3" s="23"/>
      <c r="W3" s="23"/>
      <c r="X3" s="23"/>
      <c r="Y3" s="23"/>
      <c r="Z3" s="23"/>
      <c r="AA3" s="23"/>
      <c r="AB3" s="26"/>
    </row>
    <row r="4" spans="1:28" ht="12.75">
      <c r="A4" s="13"/>
      <c r="B4" s="92"/>
      <c r="C4" s="92"/>
      <c r="D4" s="92"/>
      <c r="E4" s="92"/>
      <c r="F4" s="92"/>
      <c r="G4" s="92"/>
      <c r="H4" s="21"/>
      <c r="I4" s="21"/>
      <c r="J4" s="21"/>
      <c r="K4" s="21"/>
      <c r="L4" s="21"/>
      <c r="M4" s="27"/>
      <c r="P4" s="13"/>
      <c r="Q4" s="92"/>
      <c r="R4" s="92"/>
      <c r="S4" s="92"/>
      <c r="T4" s="92"/>
      <c r="U4" s="92"/>
      <c r="V4" s="21"/>
      <c r="W4" s="21"/>
      <c r="X4" s="21"/>
      <c r="Y4" s="21"/>
      <c r="Z4" s="21"/>
      <c r="AA4" s="21"/>
      <c r="AB4" s="27"/>
    </row>
    <row r="5" spans="1:28" ht="12.75">
      <c r="A5" s="13"/>
      <c r="B5" s="92"/>
      <c r="C5" s="92"/>
      <c r="D5" s="92"/>
      <c r="E5" s="92"/>
      <c r="F5" s="92"/>
      <c r="G5" s="92"/>
      <c r="H5" s="21"/>
      <c r="I5" s="21"/>
      <c r="J5" s="21"/>
      <c r="K5" s="21"/>
      <c r="L5" s="21"/>
      <c r="M5" s="27"/>
      <c r="P5" s="13"/>
      <c r="Q5" s="92"/>
      <c r="R5" s="92"/>
      <c r="S5" s="92"/>
      <c r="T5" s="92"/>
      <c r="U5" s="92"/>
      <c r="V5" s="21"/>
      <c r="W5" s="21"/>
      <c r="X5" s="21"/>
      <c r="Y5" s="21"/>
      <c r="Z5" s="21"/>
      <c r="AA5" s="21"/>
      <c r="AB5" s="27"/>
    </row>
    <row r="6" spans="1:28" s="7" customFormat="1" ht="12.75">
      <c r="A6" s="211" t="s">
        <v>30</v>
      </c>
      <c r="B6" s="10"/>
      <c r="C6" s="10"/>
      <c r="D6" s="10"/>
      <c r="E6" s="10">
        <f>T6</f>
        <v>2</v>
      </c>
      <c r="F6" s="10">
        <f aca="true" t="shared" si="1" ref="F6:M6">U6</f>
        <v>3</v>
      </c>
      <c r="G6" s="10">
        <f t="shared" si="1"/>
        <v>4</v>
      </c>
      <c r="H6" s="28">
        <f t="shared" si="1"/>
        <v>22</v>
      </c>
      <c r="I6" s="28">
        <f t="shared" si="1"/>
        <v>22</v>
      </c>
      <c r="J6" s="28">
        <f t="shared" si="1"/>
        <v>22</v>
      </c>
      <c r="K6" s="28">
        <f t="shared" si="1"/>
        <v>22</v>
      </c>
      <c r="L6" s="28">
        <f t="shared" si="1"/>
        <v>22</v>
      </c>
      <c r="M6" s="29">
        <f t="shared" si="1"/>
        <v>22</v>
      </c>
      <c r="P6" s="211" t="s">
        <v>30</v>
      </c>
      <c r="Q6" s="10"/>
      <c r="R6" s="10"/>
      <c r="S6" s="10"/>
      <c r="T6" s="10">
        <v>2</v>
      </c>
      <c r="U6" s="10">
        <v>3</v>
      </c>
      <c r="V6" s="28">
        <v>4</v>
      </c>
      <c r="W6" s="28">
        <v>22</v>
      </c>
      <c r="X6" s="28">
        <v>22</v>
      </c>
      <c r="Y6" s="28">
        <v>22</v>
      </c>
      <c r="Z6" s="28">
        <v>22</v>
      </c>
      <c r="AA6" s="28">
        <v>22</v>
      </c>
      <c r="AB6" s="29">
        <v>22</v>
      </c>
    </row>
    <row r="7" spans="1:28" ht="12.75">
      <c r="A7" s="13"/>
      <c r="B7" s="92"/>
      <c r="C7" s="92"/>
      <c r="D7" s="92"/>
      <c r="E7" s="92"/>
      <c r="F7" s="92"/>
      <c r="G7" s="92"/>
      <c r="H7" s="21"/>
      <c r="I7" s="21"/>
      <c r="J7" s="21"/>
      <c r="K7" s="21"/>
      <c r="L7" s="21"/>
      <c r="M7" s="27"/>
      <c r="P7" s="13"/>
      <c r="Q7" s="92"/>
      <c r="R7" s="92"/>
      <c r="S7" s="92"/>
      <c r="T7" s="92"/>
      <c r="U7" s="92"/>
      <c r="V7" s="21"/>
      <c r="W7" s="21"/>
      <c r="X7" s="21"/>
      <c r="Y7" s="21"/>
      <c r="Z7" s="21"/>
      <c r="AA7" s="21"/>
      <c r="AB7" s="27"/>
    </row>
    <row r="8" spans="1:28" ht="12.75">
      <c r="A8" s="13"/>
      <c r="B8" s="92"/>
      <c r="C8" s="92"/>
      <c r="D8" s="92"/>
      <c r="E8" s="92"/>
      <c r="F8" s="92"/>
      <c r="G8" s="92"/>
      <c r="H8" s="21"/>
      <c r="I8" s="21"/>
      <c r="J8" s="21"/>
      <c r="K8" s="21"/>
      <c r="L8" s="21"/>
      <c r="M8" s="27"/>
      <c r="N8" s="92"/>
      <c r="P8" s="13"/>
      <c r="Q8" s="92"/>
      <c r="R8" s="92"/>
      <c r="S8" s="92"/>
      <c r="T8" s="92"/>
      <c r="U8" s="92"/>
      <c r="V8" s="21"/>
      <c r="W8" s="21"/>
      <c r="X8" s="21"/>
      <c r="Y8" s="21"/>
      <c r="Z8" s="21"/>
      <c r="AA8" s="21"/>
      <c r="AB8" s="27"/>
    </row>
    <row r="9" spans="1:28" ht="12.75">
      <c r="A9" s="13" t="s">
        <v>31</v>
      </c>
      <c r="B9" s="93"/>
      <c r="C9" s="93"/>
      <c r="D9" s="92"/>
      <c r="E9" s="92"/>
      <c r="F9" s="92"/>
      <c r="G9" s="92"/>
      <c r="H9" s="21"/>
      <c r="I9" s="21"/>
      <c r="J9" s="21"/>
      <c r="K9" s="21"/>
      <c r="L9" s="21"/>
      <c r="M9" s="27"/>
      <c r="N9" s="92"/>
      <c r="P9" s="13" t="s">
        <v>31</v>
      </c>
      <c r="Q9" s="93"/>
      <c r="R9" s="93"/>
      <c r="S9" s="92"/>
      <c r="T9" s="92"/>
      <c r="U9" s="92"/>
      <c r="V9" s="21"/>
      <c r="W9" s="21"/>
      <c r="X9" s="21"/>
      <c r="Y9" s="21"/>
      <c r="Z9" s="21"/>
      <c r="AA9" s="21"/>
      <c r="AB9" s="27"/>
    </row>
    <row r="10" spans="1:28" ht="12.75">
      <c r="A10" s="13" t="s">
        <v>32</v>
      </c>
      <c r="B10" s="93"/>
      <c r="C10" s="94"/>
      <c r="D10" s="94"/>
      <c r="E10" s="94">
        <f aca="true" t="shared" si="2" ref="E10:E18">T10*E$3</f>
        <v>0.2</v>
      </c>
      <c r="F10" s="94">
        <f aca="true" t="shared" si="3" ref="F10:F18">U10*F$3</f>
        <v>0.3</v>
      </c>
      <c r="G10" s="94">
        <f aca="true" t="shared" si="4" ref="G10:G18">V10*G$3</f>
        <v>0.25</v>
      </c>
      <c r="H10" s="30">
        <f aca="true" t="shared" si="5" ref="H10:H18">W10*H$3</f>
        <v>0.9782608695652175</v>
      </c>
      <c r="I10" s="30">
        <f aca="true" t="shared" si="6" ref="I10:I18">X10*I$3</f>
        <v>0.9782608695652175</v>
      </c>
      <c r="J10" s="30">
        <f aca="true" t="shared" si="7" ref="J10:J18">Y10*J$3</f>
        <v>0.9782608695652175</v>
      </c>
      <c r="K10" s="30">
        <f aca="true" t="shared" si="8" ref="K10:K18">Z10*K$3</f>
        <v>0.9782608695652175</v>
      </c>
      <c r="L10" s="30">
        <f aca="true" t="shared" si="9" ref="L10:L18">AA10*L$3</f>
        <v>0.9782608695652175</v>
      </c>
      <c r="M10" s="31">
        <f aca="true" t="shared" si="10" ref="M10:M18">AB10*M$3</f>
        <v>0.9782608695652175</v>
      </c>
      <c r="N10" s="92"/>
      <c r="P10" s="13" t="s">
        <v>32</v>
      </c>
      <c r="Q10" s="93"/>
      <c r="R10" s="94"/>
      <c r="S10" s="94"/>
      <c r="T10" s="94">
        <v>0.2</v>
      </c>
      <c r="U10" s="94">
        <v>0.3</v>
      </c>
      <c r="V10" s="30">
        <v>0.25</v>
      </c>
      <c r="W10" s="30">
        <f aca="true" t="shared" si="11" ref="W10:AB10">0.9*20/18.4</f>
        <v>0.9782608695652175</v>
      </c>
      <c r="X10" s="30">
        <f t="shared" si="11"/>
        <v>0.9782608695652175</v>
      </c>
      <c r="Y10" s="30">
        <f t="shared" si="11"/>
        <v>0.9782608695652175</v>
      </c>
      <c r="Z10" s="30">
        <f t="shared" si="11"/>
        <v>0.9782608695652175</v>
      </c>
      <c r="AA10" s="30">
        <f t="shared" si="11"/>
        <v>0.9782608695652175</v>
      </c>
      <c r="AB10" s="31">
        <f t="shared" si="11"/>
        <v>0.9782608695652175</v>
      </c>
    </row>
    <row r="11" spans="1:28" ht="12.75">
      <c r="A11" s="13" t="s">
        <v>33</v>
      </c>
      <c r="B11" s="93"/>
      <c r="C11" s="94"/>
      <c r="D11" s="94"/>
      <c r="E11" s="94">
        <f t="shared" si="2"/>
        <v>0</v>
      </c>
      <c r="F11" s="94">
        <f t="shared" si="3"/>
        <v>0</v>
      </c>
      <c r="G11" s="94">
        <f t="shared" si="4"/>
        <v>0</v>
      </c>
      <c r="H11" s="30">
        <f t="shared" si="5"/>
        <v>0</v>
      </c>
      <c r="I11" s="30">
        <f t="shared" si="6"/>
        <v>0</v>
      </c>
      <c r="J11" s="30">
        <f t="shared" si="7"/>
        <v>0</v>
      </c>
      <c r="K11" s="30">
        <f t="shared" si="8"/>
        <v>0</v>
      </c>
      <c r="L11" s="30">
        <f t="shared" si="9"/>
        <v>0</v>
      </c>
      <c r="M11" s="31">
        <f t="shared" si="10"/>
        <v>0</v>
      </c>
      <c r="N11" s="92"/>
      <c r="P11" s="13" t="s">
        <v>33</v>
      </c>
      <c r="Q11" s="93"/>
      <c r="R11" s="94"/>
      <c r="S11" s="94"/>
      <c r="T11" s="94"/>
      <c r="U11" s="94"/>
      <c r="V11" s="30"/>
      <c r="W11" s="30"/>
      <c r="X11" s="30"/>
      <c r="Y11" s="30"/>
      <c r="Z11" s="30"/>
      <c r="AA11" s="30"/>
      <c r="AB11" s="31"/>
    </row>
    <row r="12" spans="1:28" ht="12.75">
      <c r="A12" s="13" t="s">
        <v>34</v>
      </c>
      <c r="B12" s="93"/>
      <c r="C12" s="94"/>
      <c r="D12" s="94"/>
      <c r="E12" s="94">
        <f t="shared" si="2"/>
        <v>0</v>
      </c>
      <c r="F12" s="94">
        <f t="shared" si="3"/>
        <v>0</v>
      </c>
      <c r="G12" s="94">
        <f t="shared" si="4"/>
        <v>0.2</v>
      </c>
      <c r="H12" s="30">
        <f t="shared" si="5"/>
        <v>2.173913043478261</v>
      </c>
      <c r="I12" s="30">
        <f t="shared" si="6"/>
        <v>2.173913043478261</v>
      </c>
      <c r="J12" s="30">
        <f t="shared" si="7"/>
        <v>2.173913043478261</v>
      </c>
      <c r="K12" s="30">
        <f t="shared" si="8"/>
        <v>2.173913043478261</v>
      </c>
      <c r="L12" s="30">
        <f t="shared" si="9"/>
        <v>2.173913043478261</v>
      </c>
      <c r="M12" s="31">
        <f t="shared" si="10"/>
        <v>2.173913043478261</v>
      </c>
      <c r="N12" s="92"/>
      <c r="P12" s="13" t="s">
        <v>34</v>
      </c>
      <c r="Q12" s="93"/>
      <c r="R12" s="94"/>
      <c r="S12" s="94"/>
      <c r="T12" s="94"/>
      <c r="U12" s="94"/>
      <c r="V12" s="30">
        <v>0.2</v>
      </c>
      <c r="W12" s="30">
        <f aca="true" t="shared" si="12" ref="W12:AB12">2*20/18.4</f>
        <v>2.173913043478261</v>
      </c>
      <c r="X12" s="30">
        <f t="shared" si="12"/>
        <v>2.173913043478261</v>
      </c>
      <c r="Y12" s="30">
        <f t="shared" si="12"/>
        <v>2.173913043478261</v>
      </c>
      <c r="Z12" s="30">
        <f t="shared" si="12"/>
        <v>2.173913043478261</v>
      </c>
      <c r="AA12" s="30">
        <f t="shared" si="12"/>
        <v>2.173913043478261</v>
      </c>
      <c r="AB12" s="31">
        <f t="shared" si="12"/>
        <v>2.173913043478261</v>
      </c>
    </row>
    <row r="13" spans="1:28" ht="12.75">
      <c r="A13" s="13" t="s">
        <v>1</v>
      </c>
      <c r="B13" s="93"/>
      <c r="C13" s="94"/>
      <c r="D13" s="94"/>
      <c r="E13" s="94">
        <f t="shared" si="2"/>
        <v>0.3</v>
      </c>
      <c r="F13" s="94">
        <f t="shared" si="3"/>
        <v>1</v>
      </c>
      <c r="G13" s="94">
        <f t="shared" si="4"/>
        <v>1</v>
      </c>
      <c r="H13" s="30">
        <f t="shared" si="5"/>
        <v>5.782608695652175</v>
      </c>
      <c r="I13" s="30">
        <f t="shared" si="6"/>
        <v>5.782608695652175</v>
      </c>
      <c r="J13" s="30">
        <f t="shared" si="7"/>
        <v>5.782608695652175</v>
      </c>
      <c r="K13" s="30">
        <f t="shared" si="8"/>
        <v>5.782608695652175</v>
      </c>
      <c r="L13" s="30">
        <f t="shared" si="9"/>
        <v>5.782608695652175</v>
      </c>
      <c r="M13" s="31">
        <f t="shared" si="10"/>
        <v>5.782608695652175</v>
      </c>
      <c r="N13" s="92"/>
      <c r="P13" s="13" t="s">
        <v>1</v>
      </c>
      <c r="Q13" s="93"/>
      <c r="R13" s="94"/>
      <c r="S13" s="94"/>
      <c r="T13" s="94">
        <v>0.3</v>
      </c>
      <c r="U13" s="94">
        <v>1</v>
      </c>
      <c r="V13" s="30">
        <v>1</v>
      </c>
      <c r="W13" s="30">
        <f aca="true" t="shared" si="13" ref="W13:AB13">(1.7+2.7+0.92)*20/18.4</f>
        <v>5.782608695652175</v>
      </c>
      <c r="X13" s="30">
        <f t="shared" si="13"/>
        <v>5.782608695652175</v>
      </c>
      <c r="Y13" s="30">
        <f t="shared" si="13"/>
        <v>5.782608695652175</v>
      </c>
      <c r="Z13" s="30">
        <f t="shared" si="13"/>
        <v>5.782608695652175</v>
      </c>
      <c r="AA13" s="30">
        <f t="shared" si="13"/>
        <v>5.782608695652175</v>
      </c>
      <c r="AB13" s="31">
        <f t="shared" si="13"/>
        <v>5.782608695652175</v>
      </c>
    </row>
    <row r="14" spans="1:28" ht="12.75">
      <c r="A14" s="13" t="s">
        <v>2</v>
      </c>
      <c r="B14" s="93"/>
      <c r="C14" s="94"/>
      <c r="D14" s="94"/>
      <c r="E14" s="94">
        <f t="shared" si="2"/>
        <v>0</v>
      </c>
      <c r="F14" s="94">
        <f t="shared" si="3"/>
        <v>0</v>
      </c>
      <c r="G14" s="94">
        <f t="shared" si="4"/>
        <v>0</v>
      </c>
      <c r="H14" s="30">
        <f t="shared" si="5"/>
        <v>1.0108695652173914</v>
      </c>
      <c r="I14" s="30">
        <f t="shared" si="6"/>
        <v>1.0108695652173914</v>
      </c>
      <c r="J14" s="30">
        <f t="shared" si="7"/>
        <v>1.0108695652173914</v>
      </c>
      <c r="K14" s="30">
        <f t="shared" si="8"/>
        <v>1.0108695652173914</v>
      </c>
      <c r="L14" s="30">
        <f t="shared" si="9"/>
        <v>1.0108695652173914</v>
      </c>
      <c r="M14" s="31">
        <f t="shared" si="10"/>
        <v>1.0108695652173914</v>
      </c>
      <c r="N14" s="92"/>
      <c r="P14" s="13" t="s">
        <v>2</v>
      </c>
      <c r="Q14" s="93"/>
      <c r="R14" s="94"/>
      <c r="S14" s="94"/>
      <c r="T14" s="94"/>
      <c r="U14" s="94"/>
      <c r="V14" s="30"/>
      <c r="W14" s="30">
        <f aca="true" t="shared" si="14" ref="W14:AB14">0.93*20/18.4</f>
        <v>1.0108695652173914</v>
      </c>
      <c r="X14" s="30">
        <f t="shared" si="14"/>
        <v>1.0108695652173914</v>
      </c>
      <c r="Y14" s="30">
        <f t="shared" si="14"/>
        <v>1.0108695652173914</v>
      </c>
      <c r="Z14" s="30">
        <f t="shared" si="14"/>
        <v>1.0108695652173914</v>
      </c>
      <c r="AA14" s="30">
        <f t="shared" si="14"/>
        <v>1.0108695652173914</v>
      </c>
      <c r="AB14" s="31">
        <f t="shared" si="14"/>
        <v>1.0108695652173914</v>
      </c>
    </row>
    <row r="15" spans="1:28" ht="12.75">
      <c r="A15" s="13" t="s">
        <v>35</v>
      </c>
      <c r="B15" s="93"/>
      <c r="C15" s="94"/>
      <c r="D15" s="94"/>
      <c r="E15" s="94">
        <f t="shared" si="2"/>
        <v>1.5</v>
      </c>
      <c r="F15" s="94">
        <f t="shared" si="3"/>
        <v>2.25</v>
      </c>
      <c r="G15" s="94">
        <f t="shared" si="4"/>
        <v>3</v>
      </c>
      <c r="H15" s="30">
        <f t="shared" si="5"/>
        <v>11.217391304347828</v>
      </c>
      <c r="I15" s="30">
        <f t="shared" si="6"/>
        <v>11.217391304347828</v>
      </c>
      <c r="J15" s="30">
        <f t="shared" si="7"/>
        <v>11.217391304347828</v>
      </c>
      <c r="K15" s="30">
        <f t="shared" si="8"/>
        <v>11.217391304347828</v>
      </c>
      <c r="L15" s="30">
        <f t="shared" si="9"/>
        <v>11.217391304347828</v>
      </c>
      <c r="M15" s="31">
        <f t="shared" si="10"/>
        <v>11.217391304347828</v>
      </c>
      <c r="N15" s="92"/>
      <c r="P15" s="13" t="s">
        <v>35</v>
      </c>
      <c r="Q15" s="93"/>
      <c r="R15" s="94"/>
      <c r="S15" s="94"/>
      <c r="T15" s="94">
        <v>1.5</v>
      </c>
      <c r="U15" s="94">
        <v>2.25</v>
      </c>
      <c r="V15" s="30">
        <v>3</v>
      </c>
      <c r="W15" s="30">
        <f aca="true" t="shared" si="15" ref="W15:AB15">(1.2+1.9+1.85+1.2+0.92+3.25)*20/18.4</f>
        <v>11.217391304347828</v>
      </c>
      <c r="X15" s="30">
        <f t="shared" si="15"/>
        <v>11.217391304347828</v>
      </c>
      <c r="Y15" s="30">
        <f t="shared" si="15"/>
        <v>11.217391304347828</v>
      </c>
      <c r="Z15" s="30">
        <f t="shared" si="15"/>
        <v>11.217391304347828</v>
      </c>
      <c r="AA15" s="30">
        <f t="shared" si="15"/>
        <v>11.217391304347828</v>
      </c>
      <c r="AB15" s="31">
        <f t="shared" si="15"/>
        <v>11.217391304347828</v>
      </c>
    </row>
    <row r="16" spans="1:28" ht="12.75">
      <c r="A16" s="13" t="s">
        <v>36</v>
      </c>
      <c r="B16" s="93"/>
      <c r="C16" s="94"/>
      <c r="D16" s="94"/>
      <c r="E16" s="94">
        <f t="shared" si="2"/>
        <v>0.5</v>
      </c>
      <c r="F16" s="94">
        <f t="shared" si="3"/>
        <v>0.75</v>
      </c>
      <c r="G16" s="94">
        <f t="shared" si="4"/>
        <v>1</v>
      </c>
      <c r="H16" s="30">
        <f t="shared" si="5"/>
        <v>5.456521739130435</v>
      </c>
      <c r="I16" s="30">
        <f t="shared" si="6"/>
        <v>5.456521739130435</v>
      </c>
      <c r="J16" s="30">
        <f t="shared" si="7"/>
        <v>5.456521739130435</v>
      </c>
      <c r="K16" s="30">
        <f t="shared" si="8"/>
        <v>5.456521739130435</v>
      </c>
      <c r="L16" s="30">
        <f t="shared" si="9"/>
        <v>5.456521739130435</v>
      </c>
      <c r="M16" s="31">
        <f t="shared" si="10"/>
        <v>5.456521739130435</v>
      </c>
      <c r="N16" s="92"/>
      <c r="P16" s="13" t="s">
        <v>36</v>
      </c>
      <c r="Q16" s="93"/>
      <c r="R16" s="94"/>
      <c r="S16" s="94"/>
      <c r="T16" s="94">
        <v>0.5</v>
      </c>
      <c r="U16" s="94">
        <v>0.75</v>
      </c>
      <c r="V16" s="30">
        <v>1</v>
      </c>
      <c r="W16" s="30">
        <f aca="true" t="shared" si="16" ref="W16:AB16">(0.9+1.6+1.85+0.67)*20/18.4</f>
        <v>5.456521739130435</v>
      </c>
      <c r="X16" s="30">
        <f t="shared" si="16"/>
        <v>5.456521739130435</v>
      </c>
      <c r="Y16" s="30">
        <f t="shared" si="16"/>
        <v>5.456521739130435</v>
      </c>
      <c r="Z16" s="30">
        <f t="shared" si="16"/>
        <v>5.456521739130435</v>
      </c>
      <c r="AA16" s="30">
        <f t="shared" si="16"/>
        <v>5.456521739130435</v>
      </c>
      <c r="AB16" s="31">
        <f t="shared" si="16"/>
        <v>5.456521739130435</v>
      </c>
    </row>
    <row r="17" spans="1:28" ht="12.75">
      <c r="A17" s="13" t="s">
        <v>37</v>
      </c>
      <c r="B17" s="93"/>
      <c r="C17" s="94"/>
      <c r="D17" s="94"/>
      <c r="E17" s="94">
        <f t="shared" si="2"/>
        <v>3</v>
      </c>
      <c r="F17" s="94">
        <f t="shared" si="3"/>
        <v>5.5</v>
      </c>
      <c r="G17" s="94">
        <f t="shared" si="4"/>
        <v>6.5</v>
      </c>
      <c r="H17" s="30">
        <f t="shared" si="5"/>
        <v>40</v>
      </c>
      <c r="I17" s="30">
        <f t="shared" si="6"/>
        <v>40</v>
      </c>
      <c r="J17" s="30">
        <f t="shared" si="7"/>
        <v>40</v>
      </c>
      <c r="K17" s="30">
        <f t="shared" si="8"/>
        <v>40</v>
      </c>
      <c r="L17" s="30">
        <f t="shared" si="9"/>
        <v>40</v>
      </c>
      <c r="M17" s="31">
        <f t="shared" si="10"/>
        <v>40</v>
      </c>
      <c r="N17" s="92"/>
      <c r="P17" s="13" t="s">
        <v>37</v>
      </c>
      <c r="Q17" s="93"/>
      <c r="R17" s="94"/>
      <c r="S17" s="94"/>
      <c r="T17" s="94">
        <v>3</v>
      </c>
      <c r="U17" s="94">
        <v>5.5</v>
      </c>
      <c r="V17" s="30">
        <v>6.5</v>
      </c>
      <c r="W17" s="30">
        <v>40</v>
      </c>
      <c r="X17" s="30">
        <v>40</v>
      </c>
      <c r="Y17" s="30">
        <v>40</v>
      </c>
      <c r="Z17" s="30">
        <v>40</v>
      </c>
      <c r="AA17" s="30">
        <v>40</v>
      </c>
      <c r="AB17" s="31">
        <v>40</v>
      </c>
    </row>
    <row r="18" spans="1:28" ht="12.75">
      <c r="A18" s="13" t="s">
        <v>38</v>
      </c>
      <c r="B18" s="93"/>
      <c r="C18" s="94"/>
      <c r="D18" s="94"/>
      <c r="E18" s="94">
        <f t="shared" si="2"/>
        <v>0.5</v>
      </c>
      <c r="F18" s="94">
        <f t="shared" si="3"/>
        <v>0.5</v>
      </c>
      <c r="G18" s="94">
        <f t="shared" si="4"/>
        <v>0.75</v>
      </c>
      <c r="H18" s="30">
        <f t="shared" si="5"/>
        <v>2.5</v>
      </c>
      <c r="I18" s="30">
        <f t="shared" si="6"/>
        <v>2.5</v>
      </c>
      <c r="J18" s="30">
        <f t="shared" si="7"/>
        <v>2.5</v>
      </c>
      <c r="K18" s="30">
        <f t="shared" si="8"/>
        <v>2.5</v>
      </c>
      <c r="L18" s="30">
        <f t="shared" si="9"/>
        <v>2.5</v>
      </c>
      <c r="M18" s="31">
        <f t="shared" si="10"/>
        <v>2.5</v>
      </c>
      <c r="N18" s="92"/>
      <c r="P18" s="13" t="s">
        <v>38</v>
      </c>
      <c r="Q18" s="93"/>
      <c r="R18" s="94"/>
      <c r="S18" s="94"/>
      <c r="T18" s="94">
        <v>0.5</v>
      </c>
      <c r="U18" s="94">
        <v>0.5</v>
      </c>
      <c r="V18" s="30">
        <v>0.75</v>
      </c>
      <c r="W18" s="30">
        <v>2.5</v>
      </c>
      <c r="X18" s="30">
        <v>2.5</v>
      </c>
      <c r="Y18" s="30">
        <v>2.5</v>
      </c>
      <c r="Z18" s="30">
        <v>2.5</v>
      </c>
      <c r="AA18" s="30">
        <v>2.5</v>
      </c>
      <c r="AB18" s="31">
        <v>2.5</v>
      </c>
    </row>
    <row r="19" spans="1:28" ht="12.75">
      <c r="A19" s="13"/>
      <c r="B19" s="93"/>
      <c r="C19" s="93"/>
      <c r="D19" s="92"/>
      <c r="E19" s="92"/>
      <c r="F19" s="92"/>
      <c r="G19" s="92"/>
      <c r="H19" s="21"/>
      <c r="I19" s="21"/>
      <c r="J19" s="21"/>
      <c r="K19" s="21"/>
      <c r="L19" s="21"/>
      <c r="M19" s="27"/>
      <c r="N19" s="92"/>
      <c r="P19" s="13"/>
      <c r="Q19" s="93"/>
      <c r="R19" s="93"/>
      <c r="S19" s="92"/>
      <c r="T19" s="92"/>
      <c r="U19" s="92"/>
      <c r="V19" s="21"/>
      <c r="W19" s="21"/>
      <c r="X19" s="21"/>
      <c r="Y19" s="21"/>
      <c r="Z19" s="21"/>
      <c r="AA19" s="21"/>
      <c r="AB19" s="27"/>
    </row>
    <row r="20" spans="1:28" ht="13.5" thickBot="1">
      <c r="A20" s="95" t="s">
        <v>39</v>
      </c>
      <c r="B20" s="96"/>
      <c r="C20" s="97"/>
      <c r="D20" s="97"/>
      <c r="E20" s="97">
        <f aca="true" t="shared" si="17" ref="E20:M20">SUM(E10:E18)</f>
        <v>6</v>
      </c>
      <c r="F20" s="97">
        <f t="shared" si="17"/>
        <v>10.3</v>
      </c>
      <c r="G20" s="97">
        <f t="shared" si="17"/>
        <v>12.7</v>
      </c>
      <c r="H20" s="32">
        <f t="shared" si="17"/>
        <v>69.11956521739131</v>
      </c>
      <c r="I20" s="32">
        <f t="shared" si="17"/>
        <v>69.11956521739131</v>
      </c>
      <c r="J20" s="32">
        <f t="shared" si="17"/>
        <v>69.11956521739131</v>
      </c>
      <c r="K20" s="32">
        <f t="shared" si="17"/>
        <v>69.11956521739131</v>
      </c>
      <c r="L20" s="32">
        <f t="shared" si="17"/>
        <v>69.11956521739131</v>
      </c>
      <c r="M20" s="33">
        <f t="shared" si="17"/>
        <v>69.11956521739131</v>
      </c>
      <c r="N20" s="92"/>
      <c r="P20" s="95" t="s">
        <v>39</v>
      </c>
      <c r="Q20" s="96"/>
      <c r="R20" s="97"/>
      <c r="S20" s="97"/>
      <c r="T20" s="97">
        <f aca="true" t="shared" si="18" ref="T20:AB20">SUM(T10:T18)</f>
        <v>6</v>
      </c>
      <c r="U20" s="97">
        <f t="shared" si="18"/>
        <v>10.3</v>
      </c>
      <c r="V20" s="32">
        <f t="shared" si="18"/>
        <v>12.7</v>
      </c>
      <c r="W20" s="32">
        <f t="shared" si="18"/>
        <v>69.11956521739131</v>
      </c>
      <c r="X20" s="32">
        <f t="shared" si="18"/>
        <v>69.11956521739131</v>
      </c>
      <c r="Y20" s="32">
        <f t="shared" si="18"/>
        <v>69.11956521739131</v>
      </c>
      <c r="Z20" s="32">
        <f t="shared" si="18"/>
        <v>69.11956521739131</v>
      </c>
      <c r="AA20" s="32">
        <f t="shared" si="18"/>
        <v>69.11956521739131</v>
      </c>
      <c r="AB20" s="33">
        <f t="shared" si="18"/>
        <v>69.11956521739131</v>
      </c>
    </row>
    <row r="21" spans="1:28" ht="12.75">
      <c r="A21" s="92"/>
      <c r="B21" s="92"/>
      <c r="C21" s="92"/>
      <c r="D21" s="92"/>
      <c r="E21" s="212"/>
      <c r="F21" s="212"/>
      <c r="G21" s="212"/>
      <c r="H21" s="34"/>
      <c r="I21" s="21"/>
      <c r="J21" s="21"/>
      <c r="K21" s="21"/>
      <c r="L21" s="21"/>
      <c r="M21" s="21"/>
      <c r="N21" s="92"/>
      <c r="P21" s="92"/>
      <c r="Q21" s="92"/>
      <c r="R21" s="92"/>
      <c r="S21" s="92"/>
      <c r="T21" s="212"/>
      <c r="U21" s="212"/>
      <c r="V21" s="34"/>
      <c r="W21" s="34"/>
      <c r="X21" s="21"/>
      <c r="Y21" s="21"/>
      <c r="Z21" s="21"/>
      <c r="AA21" s="21"/>
      <c r="AB21" s="21"/>
    </row>
    <row r="22" spans="2:28" ht="13.5" thickBot="1">
      <c r="B22" s="207" t="s">
        <v>18</v>
      </c>
      <c r="C22" s="207" t="s">
        <v>19</v>
      </c>
      <c r="D22" s="207" t="s">
        <v>20</v>
      </c>
      <c r="E22" s="207" t="s">
        <v>21</v>
      </c>
      <c r="F22" s="207" t="s">
        <v>22</v>
      </c>
      <c r="G22" s="207" t="s">
        <v>23</v>
      </c>
      <c r="H22" s="22" t="s">
        <v>24</v>
      </c>
      <c r="I22" s="22" t="s">
        <v>25</v>
      </c>
      <c r="J22" s="22" t="s">
        <v>26</v>
      </c>
      <c r="K22" s="22" t="s">
        <v>27</v>
      </c>
      <c r="L22" s="22" t="s">
        <v>28</v>
      </c>
      <c r="M22" s="22" t="s">
        <v>29</v>
      </c>
      <c r="N22" s="92"/>
      <c r="P22" s="92"/>
      <c r="Q22" s="92"/>
      <c r="R22" s="92"/>
      <c r="S22" s="92"/>
      <c r="T22" s="92"/>
      <c r="U22" s="92"/>
      <c r="V22" s="21"/>
      <c r="W22" s="21"/>
      <c r="X22" s="21"/>
      <c r="Y22" s="21"/>
      <c r="Z22" s="21"/>
      <c r="AA22" s="21"/>
      <c r="AB22" s="21"/>
    </row>
    <row r="23" spans="1:28" ht="12.75">
      <c r="A23" s="208"/>
      <c r="B23" s="209"/>
      <c r="C23" s="210">
        <f>C27/R27</f>
        <v>1</v>
      </c>
      <c r="D23" s="210">
        <f>D27/S27</f>
        <v>1</v>
      </c>
      <c r="E23" s="210">
        <f aca="true" t="shared" si="19" ref="E23:M23">E27/T27</f>
        <v>1</v>
      </c>
      <c r="F23" s="210">
        <f t="shared" si="19"/>
        <v>1</v>
      </c>
      <c r="G23" s="210">
        <f t="shared" si="19"/>
        <v>1</v>
      </c>
      <c r="H23" s="24">
        <f t="shared" si="19"/>
        <v>1</v>
      </c>
      <c r="I23" s="24">
        <f t="shared" si="19"/>
        <v>1</v>
      </c>
      <c r="J23" s="24">
        <f t="shared" si="19"/>
        <v>1</v>
      </c>
      <c r="K23" s="24">
        <f t="shared" si="19"/>
        <v>1</v>
      </c>
      <c r="L23" s="24">
        <f t="shared" si="19"/>
        <v>1</v>
      </c>
      <c r="M23" s="25">
        <f t="shared" si="19"/>
        <v>1</v>
      </c>
      <c r="N23" s="92"/>
      <c r="P23" s="92"/>
      <c r="Q23" s="92"/>
      <c r="R23" s="92"/>
      <c r="S23" s="92"/>
      <c r="T23" s="92"/>
      <c r="U23" s="92"/>
      <c r="V23" s="21"/>
      <c r="W23" s="21"/>
      <c r="X23" s="21"/>
      <c r="Y23" s="21"/>
      <c r="Z23" s="21"/>
      <c r="AA23" s="21"/>
      <c r="AB23" s="21"/>
    </row>
    <row r="24" spans="1:28" ht="12.75">
      <c r="A24" s="13"/>
      <c r="B24" s="92"/>
      <c r="C24" s="92"/>
      <c r="D24" s="92"/>
      <c r="E24" s="92"/>
      <c r="F24" s="92"/>
      <c r="G24" s="92"/>
      <c r="H24" s="21"/>
      <c r="I24" s="21"/>
      <c r="J24" s="21"/>
      <c r="K24" s="21"/>
      <c r="L24" s="21"/>
      <c r="M24" s="27"/>
      <c r="N24" s="92"/>
      <c r="P24" s="92"/>
      <c r="Q24" s="92"/>
      <c r="R24" s="92"/>
      <c r="S24" s="92"/>
      <c r="T24" s="92"/>
      <c r="U24" s="92"/>
      <c r="V24" s="21"/>
      <c r="W24" s="21"/>
      <c r="X24" s="21"/>
      <c r="Y24" s="21"/>
      <c r="Z24" s="21"/>
      <c r="AA24" s="21"/>
      <c r="AB24" s="21"/>
    </row>
    <row r="25" spans="1:28" ht="13.5" thickBot="1">
      <c r="A25" s="13"/>
      <c r="B25" s="92"/>
      <c r="C25" s="92"/>
      <c r="D25" s="92"/>
      <c r="E25" s="92"/>
      <c r="F25" s="92"/>
      <c r="G25" s="92"/>
      <c r="H25" s="21"/>
      <c r="I25" s="21"/>
      <c r="J25" s="21"/>
      <c r="K25" s="21"/>
      <c r="L25" s="21"/>
      <c r="M25" s="27"/>
      <c r="N25" s="92"/>
      <c r="P25" s="92"/>
      <c r="Q25" s="92"/>
      <c r="R25" s="92"/>
      <c r="S25" s="92"/>
      <c r="T25" s="92"/>
      <c r="U25" s="92"/>
      <c r="V25" s="21"/>
      <c r="W25" s="21"/>
      <c r="X25" s="21"/>
      <c r="Y25" s="21"/>
      <c r="Z25" s="21"/>
      <c r="AA25" s="21"/>
      <c r="AB25" s="21"/>
    </row>
    <row r="26" spans="1:28" ht="12.75">
      <c r="A26" s="13" t="s">
        <v>40</v>
      </c>
      <c r="B26" s="92"/>
      <c r="C26" s="213">
        <f>SUM(C27:C28)</f>
        <v>0.7</v>
      </c>
      <c r="D26" s="213">
        <f>SUM(D27:D28)</f>
        <v>0.7</v>
      </c>
      <c r="E26" s="213">
        <f>SUM(E27:E28)</f>
        <v>0.7</v>
      </c>
      <c r="F26" s="213">
        <f aca="true" t="shared" si="20" ref="F26:M26">SUM(F27:F28)</f>
        <v>3</v>
      </c>
      <c r="G26" s="213">
        <f t="shared" si="20"/>
        <v>8</v>
      </c>
      <c r="H26" s="35">
        <f t="shared" si="20"/>
        <v>12</v>
      </c>
      <c r="I26" s="35">
        <f t="shared" si="20"/>
        <v>15</v>
      </c>
      <c r="J26" s="35">
        <f t="shared" si="20"/>
        <v>18</v>
      </c>
      <c r="K26" s="35">
        <f t="shared" si="20"/>
        <v>18</v>
      </c>
      <c r="L26" s="35">
        <f t="shared" si="20"/>
        <v>18</v>
      </c>
      <c r="M26" s="36">
        <f t="shared" si="20"/>
        <v>18</v>
      </c>
      <c r="P26" s="208" t="s">
        <v>40</v>
      </c>
      <c r="Q26" s="209"/>
      <c r="R26" s="214">
        <v>0.7</v>
      </c>
      <c r="S26" s="214">
        <v>0.7</v>
      </c>
      <c r="T26" s="214">
        <v>0.7</v>
      </c>
      <c r="U26" s="214">
        <f aca="true" t="shared" si="21" ref="U26:AB26">SUM(U27:U28)</f>
        <v>3</v>
      </c>
      <c r="V26" s="37">
        <f t="shared" si="21"/>
        <v>8</v>
      </c>
      <c r="W26" s="37">
        <f t="shared" si="21"/>
        <v>12</v>
      </c>
      <c r="X26" s="37">
        <f t="shared" si="21"/>
        <v>15</v>
      </c>
      <c r="Y26" s="37">
        <f t="shared" si="21"/>
        <v>18</v>
      </c>
      <c r="Z26" s="37">
        <f t="shared" si="21"/>
        <v>18</v>
      </c>
      <c r="AA26" s="37">
        <f t="shared" si="21"/>
        <v>18</v>
      </c>
      <c r="AB26" s="38">
        <f t="shared" si="21"/>
        <v>18</v>
      </c>
    </row>
    <row r="27" spans="1:28" s="7" customFormat="1" ht="12.75">
      <c r="A27" s="211" t="s">
        <v>41</v>
      </c>
      <c r="B27" s="215"/>
      <c r="C27" s="10">
        <f>R27</f>
        <v>0.375</v>
      </c>
      <c r="D27" s="10">
        <f aca="true" t="shared" si="22" ref="D27:M28">S27</f>
        <v>0.375</v>
      </c>
      <c r="E27" s="10">
        <f t="shared" si="22"/>
        <v>0.375</v>
      </c>
      <c r="F27" s="10">
        <f t="shared" si="22"/>
        <v>1.5</v>
      </c>
      <c r="G27" s="10">
        <f t="shared" si="22"/>
        <v>4</v>
      </c>
      <c r="H27" s="28">
        <f t="shared" si="22"/>
        <v>6</v>
      </c>
      <c r="I27" s="28">
        <f t="shared" si="22"/>
        <v>7.5</v>
      </c>
      <c r="J27" s="28">
        <f t="shared" si="22"/>
        <v>9</v>
      </c>
      <c r="K27" s="28">
        <f t="shared" si="22"/>
        <v>9</v>
      </c>
      <c r="L27" s="28">
        <f t="shared" si="22"/>
        <v>9</v>
      </c>
      <c r="M27" s="29">
        <f t="shared" si="22"/>
        <v>9</v>
      </c>
      <c r="P27" s="211" t="s">
        <v>41</v>
      </c>
      <c r="Q27" s="215"/>
      <c r="R27" s="10">
        <v>0.375</v>
      </c>
      <c r="S27" s="10">
        <v>0.375</v>
      </c>
      <c r="T27" s="10">
        <v>0.375</v>
      </c>
      <c r="U27" s="10">
        <v>1.5</v>
      </c>
      <c r="V27" s="28">
        <v>4</v>
      </c>
      <c r="W27" s="28">
        <v>6</v>
      </c>
      <c r="X27" s="28">
        <v>7.5</v>
      </c>
      <c r="Y27" s="28">
        <v>9</v>
      </c>
      <c r="Z27" s="28">
        <v>9</v>
      </c>
      <c r="AA27" s="28">
        <v>9</v>
      </c>
      <c r="AB27" s="29">
        <v>9</v>
      </c>
    </row>
    <row r="28" spans="1:28" ht="12.75">
      <c r="A28" s="13" t="s">
        <v>42</v>
      </c>
      <c r="B28" s="92"/>
      <c r="C28" s="213">
        <f>R28</f>
        <v>0.325</v>
      </c>
      <c r="D28" s="213">
        <f t="shared" si="22"/>
        <v>0.325</v>
      </c>
      <c r="E28" s="213">
        <f t="shared" si="22"/>
        <v>0.325</v>
      </c>
      <c r="F28" s="213">
        <f t="shared" si="22"/>
        <v>1.5</v>
      </c>
      <c r="G28" s="213">
        <f t="shared" si="22"/>
        <v>4</v>
      </c>
      <c r="H28" s="35">
        <f t="shared" si="22"/>
        <v>6</v>
      </c>
      <c r="I28" s="35">
        <f t="shared" si="22"/>
        <v>7.5</v>
      </c>
      <c r="J28" s="35">
        <f t="shared" si="22"/>
        <v>9</v>
      </c>
      <c r="K28" s="35">
        <f t="shared" si="22"/>
        <v>9</v>
      </c>
      <c r="L28" s="35">
        <f t="shared" si="22"/>
        <v>9</v>
      </c>
      <c r="M28" s="36">
        <f t="shared" si="22"/>
        <v>9</v>
      </c>
      <c r="P28" s="13" t="s">
        <v>42</v>
      </c>
      <c r="Q28" s="92"/>
      <c r="R28" s="216">
        <v>0.325</v>
      </c>
      <c r="S28" s="216">
        <v>0.325</v>
      </c>
      <c r="T28" s="216">
        <v>0.325</v>
      </c>
      <c r="U28" s="216">
        <v>1.5</v>
      </c>
      <c r="V28" s="39">
        <v>4</v>
      </c>
      <c r="W28" s="39">
        <v>6</v>
      </c>
      <c r="X28" s="39">
        <v>7.5</v>
      </c>
      <c r="Y28" s="39">
        <v>9</v>
      </c>
      <c r="Z28" s="39">
        <v>9</v>
      </c>
      <c r="AA28" s="39">
        <v>9</v>
      </c>
      <c r="AB28" s="40">
        <v>9</v>
      </c>
    </row>
    <row r="29" spans="1:28" ht="12.75">
      <c r="A29" s="13"/>
      <c r="B29" s="92"/>
      <c r="C29" s="92"/>
      <c r="D29" s="92"/>
      <c r="E29" s="92"/>
      <c r="F29" s="92"/>
      <c r="G29" s="92"/>
      <c r="H29" s="21"/>
      <c r="I29" s="21"/>
      <c r="J29" s="21"/>
      <c r="K29" s="21"/>
      <c r="L29" s="21"/>
      <c r="M29" s="27"/>
      <c r="N29" s="92"/>
      <c r="P29" s="13"/>
      <c r="Q29" s="92"/>
      <c r="R29" s="92"/>
      <c r="S29" s="92"/>
      <c r="T29" s="92"/>
      <c r="U29" s="92"/>
      <c r="V29" s="21"/>
      <c r="W29" s="21"/>
      <c r="X29" s="21"/>
      <c r="Y29" s="21"/>
      <c r="Z29" s="21"/>
      <c r="AA29" s="21"/>
      <c r="AB29" s="27"/>
    </row>
    <row r="30" spans="1:28" ht="12.75">
      <c r="A30" s="13" t="s">
        <v>31</v>
      </c>
      <c r="B30" s="93"/>
      <c r="C30" s="92"/>
      <c r="D30" s="92"/>
      <c r="E30" s="92"/>
      <c r="F30" s="92"/>
      <c r="G30" s="92"/>
      <c r="H30" s="21"/>
      <c r="I30" s="21"/>
      <c r="J30" s="21"/>
      <c r="K30" s="21"/>
      <c r="L30" s="21"/>
      <c r="M30" s="27"/>
      <c r="N30" s="92"/>
      <c r="P30" s="13" t="s">
        <v>31</v>
      </c>
      <c r="Q30" s="93"/>
      <c r="R30" s="92"/>
      <c r="S30" s="92"/>
      <c r="T30" s="92"/>
      <c r="U30" s="92"/>
      <c r="V30" s="21"/>
      <c r="W30" s="21"/>
      <c r="X30" s="21"/>
      <c r="Y30" s="21"/>
      <c r="Z30" s="21"/>
      <c r="AA30" s="21"/>
      <c r="AB30" s="27"/>
    </row>
    <row r="31" spans="1:28" ht="12.75">
      <c r="A31" s="13" t="s">
        <v>32</v>
      </c>
      <c r="B31" s="93"/>
      <c r="C31" s="94">
        <f aca="true" t="shared" si="23" ref="C31:C39">R31*C$23</f>
        <v>1</v>
      </c>
      <c r="D31" s="94">
        <f aca="true" t="shared" si="24" ref="D31:D39">S31*D$23</f>
        <v>1</v>
      </c>
      <c r="E31" s="94">
        <f aca="true" t="shared" si="25" ref="E31:E39">T31*E$23</f>
        <v>1</v>
      </c>
      <c r="F31" s="94">
        <f aca="true" t="shared" si="26" ref="F31:F39">U31*F$23</f>
        <v>3.1166666666666663</v>
      </c>
      <c r="G31" s="94">
        <f aca="true" t="shared" si="27" ref="G31:G39">V31*G$23</f>
        <v>8.31111111111111</v>
      </c>
      <c r="H31" s="30">
        <f aca="true" t="shared" si="28" ref="H31:H39">W31*H$23</f>
        <v>12.466666666666665</v>
      </c>
      <c r="I31" s="30">
        <f aca="true" t="shared" si="29" ref="I31:I39">X31*I$23</f>
        <v>15.583333333333334</v>
      </c>
      <c r="J31" s="30">
        <f aca="true" t="shared" si="30" ref="J31:J39">Y31*J$23</f>
        <v>18.7</v>
      </c>
      <c r="K31" s="30">
        <f aca="true" t="shared" si="31" ref="K31:K39">Z31*K$23</f>
        <v>18.7</v>
      </c>
      <c r="L31" s="30">
        <f aca="true" t="shared" si="32" ref="L31:L39">AA31*L$23</f>
        <v>18.7</v>
      </c>
      <c r="M31" s="31">
        <f aca="true" t="shared" si="33" ref="M31:M39">AB31*M$23</f>
        <v>18.7</v>
      </c>
      <c r="N31" s="92"/>
      <c r="P31" s="13" t="s">
        <v>32</v>
      </c>
      <c r="Q31" s="93"/>
      <c r="R31" s="94">
        <v>1</v>
      </c>
      <c r="S31" s="94">
        <v>1</v>
      </c>
      <c r="T31" s="94">
        <v>1</v>
      </c>
      <c r="U31" s="94">
        <f>1.5/9*Y31</f>
        <v>3.1166666666666663</v>
      </c>
      <c r="V31" s="30">
        <f>4/9*Y31</f>
        <v>8.31111111111111</v>
      </c>
      <c r="W31" s="30">
        <f>6/9*Y31</f>
        <v>12.466666666666665</v>
      </c>
      <c r="X31" s="30">
        <f>7.5/9*Y31</f>
        <v>15.583333333333334</v>
      </c>
      <c r="Y31" s="30">
        <v>18.7</v>
      </c>
      <c r="Z31" s="30">
        <v>18.7</v>
      </c>
      <c r="AA31" s="30">
        <v>18.7</v>
      </c>
      <c r="AB31" s="31">
        <v>18.7</v>
      </c>
    </row>
    <row r="32" spans="1:28" ht="12.75">
      <c r="A32" s="13" t="s">
        <v>33</v>
      </c>
      <c r="B32" s="93"/>
      <c r="C32" s="94">
        <f t="shared" si="23"/>
        <v>0</v>
      </c>
      <c r="D32" s="94">
        <f t="shared" si="24"/>
        <v>0</v>
      </c>
      <c r="E32" s="94">
        <f t="shared" si="25"/>
        <v>0</v>
      </c>
      <c r="F32" s="94">
        <f t="shared" si="26"/>
        <v>0.3333333333333333</v>
      </c>
      <c r="G32" s="94">
        <f t="shared" si="27"/>
        <v>0.8888888888888888</v>
      </c>
      <c r="H32" s="30">
        <f t="shared" si="28"/>
        <v>1.3333333333333333</v>
      </c>
      <c r="I32" s="30">
        <f t="shared" si="29"/>
        <v>1.6666666666666667</v>
      </c>
      <c r="J32" s="30">
        <f t="shared" si="30"/>
        <v>2</v>
      </c>
      <c r="K32" s="30">
        <f t="shared" si="31"/>
        <v>2</v>
      </c>
      <c r="L32" s="30">
        <f t="shared" si="32"/>
        <v>2</v>
      </c>
      <c r="M32" s="31">
        <f t="shared" si="33"/>
        <v>2</v>
      </c>
      <c r="N32" s="92"/>
      <c r="P32" s="13" t="s">
        <v>33</v>
      </c>
      <c r="Q32" s="93"/>
      <c r="R32" s="94"/>
      <c r="S32" s="94"/>
      <c r="T32" s="94"/>
      <c r="U32" s="94">
        <f>1.5/9*Y32</f>
        <v>0.3333333333333333</v>
      </c>
      <c r="V32" s="30">
        <f>4/9*Y32</f>
        <v>0.8888888888888888</v>
      </c>
      <c r="W32" s="30">
        <f>6/9*Y32</f>
        <v>1.3333333333333333</v>
      </c>
      <c r="X32" s="30">
        <f>7.5/9*Y32</f>
        <v>1.6666666666666667</v>
      </c>
      <c r="Y32" s="30">
        <v>2</v>
      </c>
      <c r="Z32" s="30">
        <v>2</v>
      </c>
      <c r="AA32" s="30">
        <v>2</v>
      </c>
      <c r="AB32" s="31">
        <v>2</v>
      </c>
    </row>
    <row r="33" spans="1:28" ht="12.75">
      <c r="A33" s="13" t="s">
        <v>34</v>
      </c>
      <c r="B33" s="93"/>
      <c r="C33" s="94">
        <f t="shared" si="23"/>
        <v>0</v>
      </c>
      <c r="D33" s="94">
        <f t="shared" si="24"/>
        <v>0</v>
      </c>
      <c r="E33" s="94">
        <f t="shared" si="25"/>
        <v>0</v>
      </c>
      <c r="F33" s="94">
        <f t="shared" si="26"/>
        <v>0</v>
      </c>
      <c r="G33" s="94">
        <f t="shared" si="27"/>
        <v>0</v>
      </c>
      <c r="H33" s="30">
        <f t="shared" si="28"/>
        <v>0</v>
      </c>
      <c r="I33" s="30">
        <f t="shared" si="29"/>
        <v>0</v>
      </c>
      <c r="J33" s="30">
        <f t="shared" si="30"/>
        <v>0</v>
      </c>
      <c r="K33" s="30">
        <f t="shared" si="31"/>
        <v>0</v>
      </c>
      <c r="L33" s="30">
        <f t="shared" si="32"/>
        <v>0</v>
      </c>
      <c r="M33" s="31">
        <f t="shared" si="33"/>
        <v>0</v>
      </c>
      <c r="N33" s="92"/>
      <c r="P33" s="13" t="s">
        <v>34</v>
      </c>
      <c r="Q33" s="93"/>
      <c r="R33" s="94"/>
      <c r="S33" s="94"/>
      <c r="T33" s="94"/>
      <c r="U33" s="94"/>
      <c r="V33" s="30"/>
      <c r="W33" s="30"/>
      <c r="X33" s="30"/>
      <c r="Y33" s="30"/>
      <c r="Z33" s="30"/>
      <c r="AA33" s="30"/>
      <c r="AB33" s="31"/>
    </row>
    <row r="34" spans="1:28" ht="12.75">
      <c r="A34" s="13" t="s">
        <v>1</v>
      </c>
      <c r="B34" s="93"/>
      <c r="C34" s="94">
        <f t="shared" si="23"/>
        <v>0</v>
      </c>
      <c r="D34" s="94">
        <f t="shared" si="24"/>
        <v>0</v>
      </c>
      <c r="E34" s="94">
        <f t="shared" si="25"/>
        <v>0</v>
      </c>
      <c r="F34" s="94">
        <f t="shared" si="26"/>
        <v>0</v>
      </c>
      <c r="G34" s="94">
        <f t="shared" si="27"/>
        <v>0</v>
      </c>
      <c r="H34" s="30">
        <f t="shared" si="28"/>
        <v>0</v>
      </c>
      <c r="I34" s="30">
        <f t="shared" si="29"/>
        <v>0</v>
      </c>
      <c r="J34" s="30">
        <f t="shared" si="30"/>
        <v>0</v>
      </c>
      <c r="K34" s="30">
        <f t="shared" si="31"/>
        <v>0</v>
      </c>
      <c r="L34" s="30">
        <f t="shared" si="32"/>
        <v>0</v>
      </c>
      <c r="M34" s="31">
        <f t="shared" si="33"/>
        <v>0</v>
      </c>
      <c r="N34" s="92"/>
      <c r="P34" s="13" t="s">
        <v>1</v>
      </c>
      <c r="Q34" s="93"/>
      <c r="R34" s="94"/>
      <c r="S34" s="94"/>
      <c r="T34" s="94"/>
      <c r="U34" s="94"/>
      <c r="V34" s="30"/>
      <c r="W34" s="30"/>
      <c r="X34" s="30"/>
      <c r="Y34" s="30"/>
      <c r="Z34" s="30"/>
      <c r="AA34" s="30"/>
      <c r="AB34" s="31"/>
    </row>
    <row r="35" spans="1:28" ht="12.75">
      <c r="A35" s="13" t="s">
        <v>2</v>
      </c>
      <c r="B35" s="93"/>
      <c r="C35" s="94">
        <f t="shared" si="23"/>
        <v>0</v>
      </c>
      <c r="D35" s="94">
        <f t="shared" si="24"/>
        <v>0</v>
      </c>
      <c r="E35" s="94">
        <f t="shared" si="25"/>
        <v>0</v>
      </c>
      <c r="F35" s="94">
        <f t="shared" si="26"/>
        <v>0</v>
      </c>
      <c r="G35" s="94">
        <f t="shared" si="27"/>
        <v>0</v>
      </c>
      <c r="H35" s="30">
        <f t="shared" si="28"/>
        <v>0</v>
      </c>
      <c r="I35" s="30">
        <f t="shared" si="29"/>
        <v>0</v>
      </c>
      <c r="J35" s="30">
        <f t="shared" si="30"/>
        <v>0</v>
      </c>
      <c r="K35" s="30">
        <f t="shared" si="31"/>
        <v>0</v>
      </c>
      <c r="L35" s="30">
        <f t="shared" si="32"/>
        <v>0</v>
      </c>
      <c r="M35" s="31">
        <f t="shared" si="33"/>
        <v>0</v>
      </c>
      <c r="N35" s="92"/>
      <c r="P35" s="13" t="s">
        <v>2</v>
      </c>
      <c r="Q35" s="93"/>
      <c r="R35" s="94"/>
      <c r="S35" s="94"/>
      <c r="T35" s="94"/>
      <c r="U35" s="94"/>
      <c r="V35" s="30"/>
      <c r="W35" s="30"/>
      <c r="X35" s="30"/>
      <c r="Y35" s="30"/>
      <c r="Z35" s="30"/>
      <c r="AA35" s="30"/>
      <c r="AB35" s="31"/>
    </row>
    <row r="36" spans="1:28" ht="12.75">
      <c r="A36" s="13" t="s">
        <v>35</v>
      </c>
      <c r="B36" s="93"/>
      <c r="C36" s="94">
        <f t="shared" si="23"/>
        <v>0</v>
      </c>
      <c r="D36" s="94">
        <f t="shared" si="24"/>
        <v>0</v>
      </c>
      <c r="E36" s="94">
        <f t="shared" si="25"/>
        <v>0</v>
      </c>
      <c r="F36" s="94">
        <f t="shared" si="26"/>
        <v>0</v>
      </c>
      <c r="G36" s="94">
        <f t="shared" si="27"/>
        <v>0</v>
      </c>
      <c r="H36" s="30">
        <f t="shared" si="28"/>
        <v>0</v>
      </c>
      <c r="I36" s="30">
        <f t="shared" si="29"/>
        <v>0</v>
      </c>
      <c r="J36" s="30">
        <f t="shared" si="30"/>
        <v>0</v>
      </c>
      <c r="K36" s="30">
        <f t="shared" si="31"/>
        <v>0</v>
      </c>
      <c r="L36" s="30">
        <f t="shared" si="32"/>
        <v>0</v>
      </c>
      <c r="M36" s="31">
        <f t="shared" si="33"/>
        <v>0</v>
      </c>
      <c r="N36" s="92"/>
      <c r="P36" s="13" t="s">
        <v>35</v>
      </c>
      <c r="Q36" s="93"/>
      <c r="R36" s="94"/>
      <c r="S36" s="94"/>
      <c r="T36" s="94"/>
      <c r="U36" s="94"/>
      <c r="V36" s="30"/>
      <c r="W36" s="30"/>
      <c r="X36" s="30"/>
      <c r="Y36" s="30"/>
      <c r="Z36" s="30"/>
      <c r="AA36" s="30"/>
      <c r="AB36" s="31"/>
    </row>
    <row r="37" spans="1:28" ht="12.75">
      <c r="A37" s="13" t="s">
        <v>36</v>
      </c>
      <c r="B37" s="93"/>
      <c r="C37" s="94">
        <f t="shared" si="23"/>
        <v>0</v>
      </c>
      <c r="D37" s="94">
        <f t="shared" si="24"/>
        <v>0</v>
      </c>
      <c r="E37" s="94">
        <f t="shared" si="25"/>
        <v>0</v>
      </c>
      <c r="F37" s="94">
        <f t="shared" si="26"/>
        <v>0</v>
      </c>
      <c r="G37" s="94">
        <f t="shared" si="27"/>
        <v>0</v>
      </c>
      <c r="H37" s="30">
        <f t="shared" si="28"/>
        <v>0</v>
      </c>
      <c r="I37" s="30">
        <f t="shared" si="29"/>
        <v>0</v>
      </c>
      <c r="J37" s="30">
        <f t="shared" si="30"/>
        <v>0</v>
      </c>
      <c r="K37" s="30">
        <f t="shared" si="31"/>
        <v>0</v>
      </c>
      <c r="L37" s="30">
        <f t="shared" si="32"/>
        <v>0</v>
      </c>
      <c r="M37" s="31">
        <f t="shared" si="33"/>
        <v>0</v>
      </c>
      <c r="N37" s="92"/>
      <c r="P37" s="13" t="s">
        <v>36</v>
      </c>
      <c r="Q37" s="93"/>
      <c r="R37" s="94"/>
      <c r="S37" s="94"/>
      <c r="T37" s="94"/>
      <c r="U37" s="94"/>
      <c r="V37" s="30"/>
      <c r="W37" s="30"/>
      <c r="X37" s="30"/>
      <c r="Y37" s="30"/>
      <c r="Z37" s="21"/>
      <c r="AA37" s="30"/>
      <c r="AB37" s="31"/>
    </row>
    <row r="38" spans="1:28" ht="12.75">
      <c r="A38" s="13" t="s">
        <v>37</v>
      </c>
      <c r="B38" s="93"/>
      <c r="C38" s="94">
        <f t="shared" si="23"/>
        <v>0</v>
      </c>
      <c r="D38" s="94">
        <f t="shared" si="24"/>
        <v>0</v>
      </c>
      <c r="E38" s="94">
        <f t="shared" si="25"/>
        <v>0</v>
      </c>
      <c r="F38" s="94">
        <f t="shared" si="26"/>
        <v>0</v>
      </c>
      <c r="G38" s="94">
        <f t="shared" si="27"/>
        <v>0</v>
      </c>
      <c r="H38" s="30">
        <f t="shared" si="28"/>
        <v>0</v>
      </c>
      <c r="I38" s="30">
        <f t="shared" si="29"/>
        <v>0</v>
      </c>
      <c r="J38" s="30">
        <f t="shared" si="30"/>
        <v>0</v>
      </c>
      <c r="K38" s="30">
        <f t="shared" si="31"/>
        <v>0</v>
      </c>
      <c r="L38" s="30">
        <f t="shared" si="32"/>
        <v>0</v>
      </c>
      <c r="M38" s="31">
        <f t="shared" si="33"/>
        <v>0</v>
      </c>
      <c r="N38" s="92"/>
      <c r="P38" s="13" t="s">
        <v>37</v>
      </c>
      <c r="Q38" s="93"/>
      <c r="R38" s="94"/>
      <c r="S38" s="94"/>
      <c r="T38" s="94"/>
      <c r="U38" s="94"/>
      <c r="V38" s="30"/>
      <c r="W38" s="30"/>
      <c r="X38" s="30"/>
      <c r="Y38" s="30"/>
      <c r="Z38" s="30"/>
      <c r="AA38" s="30"/>
      <c r="AB38" s="31"/>
    </row>
    <row r="39" spans="1:28" ht="12.75">
      <c r="A39" s="13" t="s">
        <v>38</v>
      </c>
      <c r="B39" s="93"/>
      <c r="C39" s="94">
        <f t="shared" si="23"/>
        <v>0</v>
      </c>
      <c r="D39" s="94">
        <f t="shared" si="24"/>
        <v>0</v>
      </c>
      <c r="E39" s="94">
        <f t="shared" si="25"/>
        <v>0</v>
      </c>
      <c r="F39" s="94">
        <f t="shared" si="26"/>
        <v>0</v>
      </c>
      <c r="G39" s="94">
        <f t="shared" si="27"/>
        <v>0</v>
      </c>
      <c r="H39" s="30">
        <f t="shared" si="28"/>
        <v>0</v>
      </c>
      <c r="I39" s="30">
        <f t="shared" si="29"/>
        <v>0</v>
      </c>
      <c r="J39" s="30">
        <f t="shared" si="30"/>
        <v>0</v>
      </c>
      <c r="K39" s="30">
        <f t="shared" si="31"/>
        <v>0</v>
      </c>
      <c r="L39" s="30">
        <f t="shared" si="32"/>
        <v>0</v>
      </c>
      <c r="M39" s="31">
        <f t="shared" si="33"/>
        <v>0</v>
      </c>
      <c r="N39" s="92"/>
      <c r="P39" s="13" t="s">
        <v>38</v>
      </c>
      <c r="Q39" s="93"/>
      <c r="R39" s="94"/>
      <c r="S39" s="94"/>
      <c r="T39" s="94"/>
      <c r="U39" s="94"/>
      <c r="V39" s="30"/>
      <c r="W39" s="30"/>
      <c r="X39" s="30"/>
      <c r="Y39" s="30"/>
      <c r="Z39" s="30"/>
      <c r="AA39" s="30"/>
      <c r="AB39" s="31"/>
    </row>
    <row r="40" spans="1:28" ht="12.75">
      <c r="A40" s="13"/>
      <c r="B40" s="93"/>
      <c r="C40" s="92"/>
      <c r="D40" s="92"/>
      <c r="E40" s="92"/>
      <c r="F40" s="92"/>
      <c r="G40" s="92"/>
      <c r="H40" s="21"/>
      <c r="I40" s="21"/>
      <c r="J40" s="21"/>
      <c r="K40" s="21"/>
      <c r="L40" s="21"/>
      <c r="M40" s="27"/>
      <c r="N40" s="92"/>
      <c r="P40" s="13"/>
      <c r="Q40" s="93"/>
      <c r="R40" s="92"/>
      <c r="S40" s="92"/>
      <c r="T40" s="92"/>
      <c r="U40" s="92"/>
      <c r="V40" s="21"/>
      <c r="W40" s="21"/>
      <c r="X40" s="21"/>
      <c r="Y40" s="21"/>
      <c r="Z40" s="21"/>
      <c r="AA40" s="21"/>
      <c r="AB40" s="27"/>
    </row>
    <row r="41" spans="1:28" ht="13.5" thickBot="1">
      <c r="A41" s="95" t="s">
        <v>39</v>
      </c>
      <c r="B41" s="96"/>
      <c r="C41" s="97">
        <f>SUM(C31:C39)</f>
        <v>1</v>
      </c>
      <c r="D41" s="97">
        <f aca="true" t="shared" si="34" ref="D41:M41">SUM(D31:D39)</f>
        <v>1</v>
      </c>
      <c r="E41" s="97">
        <f t="shared" si="34"/>
        <v>1</v>
      </c>
      <c r="F41" s="97">
        <f t="shared" si="34"/>
        <v>3.4499999999999997</v>
      </c>
      <c r="G41" s="97">
        <f t="shared" si="34"/>
        <v>9.2</v>
      </c>
      <c r="H41" s="32">
        <f t="shared" si="34"/>
        <v>13.799999999999999</v>
      </c>
      <c r="I41" s="32">
        <f t="shared" si="34"/>
        <v>17.25</v>
      </c>
      <c r="J41" s="32">
        <f t="shared" si="34"/>
        <v>20.7</v>
      </c>
      <c r="K41" s="32">
        <f t="shared" si="34"/>
        <v>20.7</v>
      </c>
      <c r="L41" s="32">
        <f t="shared" si="34"/>
        <v>20.7</v>
      </c>
      <c r="M41" s="33">
        <f t="shared" si="34"/>
        <v>20.7</v>
      </c>
      <c r="N41" s="92"/>
      <c r="P41" s="95" t="s">
        <v>39</v>
      </c>
      <c r="Q41" s="96"/>
      <c r="R41" s="97">
        <f>SUM(R31:R39)</f>
        <v>1</v>
      </c>
      <c r="S41" s="97">
        <f aca="true" t="shared" si="35" ref="S41:AB41">SUM(S31:S39)</f>
        <v>1</v>
      </c>
      <c r="T41" s="97">
        <f t="shared" si="35"/>
        <v>1</v>
      </c>
      <c r="U41" s="97">
        <f t="shared" si="35"/>
        <v>3.4499999999999997</v>
      </c>
      <c r="V41" s="32">
        <f t="shared" si="35"/>
        <v>9.2</v>
      </c>
      <c r="W41" s="32">
        <f t="shared" si="35"/>
        <v>13.799999999999999</v>
      </c>
      <c r="X41" s="32">
        <f t="shared" si="35"/>
        <v>17.25</v>
      </c>
      <c r="Y41" s="32">
        <f t="shared" si="35"/>
        <v>20.7</v>
      </c>
      <c r="Z41" s="32">
        <f t="shared" si="35"/>
        <v>20.7</v>
      </c>
      <c r="AA41" s="32">
        <f t="shared" si="35"/>
        <v>20.7</v>
      </c>
      <c r="AB41" s="33">
        <f t="shared" si="35"/>
        <v>20.7</v>
      </c>
    </row>
    <row r="42" spans="1:28" ht="12.75">
      <c r="A42" s="92"/>
      <c r="B42" s="92"/>
      <c r="C42" s="92"/>
      <c r="D42" s="92"/>
      <c r="E42" s="92"/>
      <c r="F42" s="217"/>
      <c r="G42" s="217"/>
      <c r="H42" s="20"/>
      <c r="I42" s="20"/>
      <c r="J42" s="20"/>
      <c r="K42" s="21"/>
      <c r="L42" s="21"/>
      <c r="M42" s="21"/>
      <c r="N42" s="92"/>
      <c r="P42" s="92"/>
      <c r="Q42" s="92"/>
      <c r="R42" s="92"/>
      <c r="S42" s="92"/>
      <c r="T42" s="92"/>
      <c r="U42" s="217"/>
      <c r="V42" s="20"/>
      <c r="W42" s="20"/>
      <c r="X42" s="20"/>
      <c r="Y42" s="20"/>
      <c r="Z42" s="21"/>
      <c r="AA42" s="21"/>
      <c r="AB42" s="21"/>
    </row>
    <row r="45" spans="2:13" ht="13.5" thickBot="1">
      <c r="B45" s="207" t="s">
        <v>18</v>
      </c>
      <c r="C45" s="207" t="s">
        <v>19</v>
      </c>
      <c r="D45" s="207" t="s">
        <v>20</v>
      </c>
      <c r="E45" s="207" t="s">
        <v>21</v>
      </c>
      <c r="F45" s="207" t="s">
        <v>22</v>
      </c>
      <c r="G45" s="207" t="s">
        <v>23</v>
      </c>
      <c r="H45" s="22" t="s">
        <v>24</v>
      </c>
      <c r="I45" s="22" t="s">
        <v>25</v>
      </c>
      <c r="J45" s="22" t="s">
        <v>26</v>
      </c>
      <c r="K45" s="22" t="s">
        <v>27</v>
      </c>
      <c r="L45" s="22" t="s">
        <v>28</v>
      </c>
      <c r="M45" s="22" t="s">
        <v>29</v>
      </c>
    </row>
    <row r="46" spans="1:13" ht="12.75">
      <c r="A46" s="208"/>
      <c r="B46" s="209"/>
      <c r="C46" s="209"/>
      <c r="D46" s="210"/>
      <c r="E46" s="210"/>
      <c r="F46" s="210">
        <f>F50/U50</f>
        <v>1</v>
      </c>
      <c r="G46" s="210">
        <f aca="true" t="shared" si="36" ref="G46:M46">G50/V50</f>
        <v>1.25</v>
      </c>
      <c r="H46" s="24">
        <f t="shared" si="36"/>
        <v>0.9375</v>
      </c>
      <c r="I46" s="24">
        <f t="shared" si="36"/>
        <v>1.0714285714285714</v>
      </c>
      <c r="J46" s="24">
        <f t="shared" si="36"/>
        <v>1</v>
      </c>
      <c r="K46" s="24">
        <f t="shared" si="36"/>
        <v>1</v>
      </c>
      <c r="L46" s="24">
        <f t="shared" si="36"/>
        <v>1</v>
      </c>
      <c r="M46" s="25">
        <f t="shared" si="36"/>
        <v>1</v>
      </c>
    </row>
    <row r="47" spans="1:13" ht="12.75">
      <c r="A47" s="13"/>
      <c r="B47" s="92"/>
      <c r="C47" s="92"/>
      <c r="D47" s="92"/>
      <c r="E47" s="92"/>
      <c r="F47" s="92"/>
      <c r="G47" s="92"/>
      <c r="H47" s="21"/>
      <c r="I47" s="21"/>
      <c r="J47" s="21"/>
      <c r="K47" s="21"/>
      <c r="L47" s="21"/>
      <c r="M47" s="27"/>
    </row>
    <row r="48" spans="1:13" ht="13.5" thickBot="1">
      <c r="A48" s="13"/>
      <c r="B48" s="92"/>
      <c r="C48" s="92"/>
      <c r="D48" s="92"/>
      <c r="E48" s="92"/>
      <c r="F48" s="92"/>
      <c r="G48" s="92"/>
      <c r="H48" s="21"/>
      <c r="I48" s="21"/>
      <c r="J48" s="21"/>
      <c r="K48" s="21"/>
      <c r="L48" s="21"/>
      <c r="M48" s="27"/>
    </row>
    <row r="49" spans="1:28" ht="12.75">
      <c r="A49" s="13" t="s">
        <v>43</v>
      </c>
      <c r="B49" s="92"/>
      <c r="C49" s="216"/>
      <c r="D49" s="216"/>
      <c r="E49" s="216"/>
      <c r="F49" s="216">
        <f aca="true" t="shared" si="37" ref="F49:M49">SUM(F50:F51)</f>
        <v>10</v>
      </c>
      <c r="G49" s="216">
        <f t="shared" si="37"/>
        <v>24</v>
      </c>
      <c r="H49" s="39">
        <f t="shared" si="37"/>
        <v>9.5</v>
      </c>
      <c r="I49" s="39">
        <f t="shared" si="37"/>
        <v>7.4</v>
      </c>
      <c r="J49" s="39">
        <f t="shared" si="37"/>
        <v>6</v>
      </c>
      <c r="K49" s="39">
        <f t="shared" si="37"/>
        <v>6</v>
      </c>
      <c r="L49" s="39">
        <f t="shared" si="37"/>
        <v>6</v>
      </c>
      <c r="M49" s="40">
        <f t="shared" si="37"/>
        <v>6</v>
      </c>
      <c r="P49" s="208" t="s">
        <v>43</v>
      </c>
      <c r="Q49" s="209"/>
      <c r="R49" s="214"/>
      <c r="S49" s="214"/>
      <c r="T49" s="214"/>
      <c r="U49" s="214">
        <f aca="true" t="shared" si="38" ref="U49:AB49">SUM(U50:U51)</f>
        <v>10</v>
      </c>
      <c r="V49" s="37">
        <f t="shared" si="38"/>
        <v>20</v>
      </c>
      <c r="W49" s="37">
        <f t="shared" si="38"/>
        <v>10</v>
      </c>
      <c r="X49" s="37">
        <f t="shared" si="38"/>
        <v>7</v>
      </c>
      <c r="Y49" s="37">
        <f t="shared" si="38"/>
        <v>6</v>
      </c>
      <c r="Z49" s="37">
        <f t="shared" si="38"/>
        <v>6</v>
      </c>
      <c r="AA49" s="37">
        <f t="shared" si="38"/>
        <v>6</v>
      </c>
      <c r="AB49" s="38">
        <f t="shared" si="38"/>
        <v>6</v>
      </c>
    </row>
    <row r="50" spans="1:28" s="7" customFormat="1" ht="12.75">
      <c r="A50" s="211" t="s">
        <v>44</v>
      </c>
      <c r="B50" s="215"/>
      <c r="C50" s="10"/>
      <c r="D50" s="10"/>
      <c r="E50" s="10"/>
      <c r="F50" s="10">
        <f aca="true" t="shared" si="39" ref="F50:M51">U50</f>
        <v>8</v>
      </c>
      <c r="G50" s="10">
        <v>20</v>
      </c>
      <c r="H50" s="28">
        <v>7.5</v>
      </c>
      <c r="I50" s="28">
        <v>6</v>
      </c>
      <c r="J50" s="28">
        <f t="shared" si="39"/>
        <v>4.5</v>
      </c>
      <c r="K50" s="28">
        <f t="shared" si="39"/>
        <v>4.5</v>
      </c>
      <c r="L50" s="28">
        <f t="shared" si="39"/>
        <v>4.5</v>
      </c>
      <c r="M50" s="29">
        <f t="shared" si="39"/>
        <v>4.5</v>
      </c>
      <c r="P50" s="211" t="s">
        <v>44</v>
      </c>
      <c r="Q50" s="215"/>
      <c r="R50" s="10"/>
      <c r="S50" s="10"/>
      <c r="T50" s="10"/>
      <c r="U50" s="10">
        <v>8</v>
      </c>
      <c r="V50" s="28">
        <v>16</v>
      </c>
      <c r="W50" s="28">
        <v>8</v>
      </c>
      <c r="X50" s="28">
        <v>5.6</v>
      </c>
      <c r="Y50" s="28">
        <v>4.5</v>
      </c>
      <c r="Z50" s="28">
        <v>4.5</v>
      </c>
      <c r="AA50" s="28">
        <v>4.5</v>
      </c>
      <c r="AB50" s="29">
        <v>4.5</v>
      </c>
    </row>
    <row r="51" spans="1:28" ht="12.75">
      <c r="A51" s="13" t="s">
        <v>45</v>
      </c>
      <c r="B51" s="92"/>
      <c r="C51" s="216"/>
      <c r="D51" s="216"/>
      <c r="E51" s="216"/>
      <c r="F51" s="216">
        <f t="shared" si="39"/>
        <v>2</v>
      </c>
      <c r="G51" s="216">
        <f t="shared" si="39"/>
        <v>4</v>
      </c>
      <c r="H51" s="39">
        <f t="shared" si="39"/>
        <v>2</v>
      </c>
      <c r="I51" s="39">
        <f t="shared" si="39"/>
        <v>1.4</v>
      </c>
      <c r="J51" s="39">
        <f t="shared" si="39"/>
        <v>1.5</v>
      </c>
      <c r="K51" s="39">
        <f t="shared" si="39"/>
        <v>1.5</v>
      </c>
      <c r="L51" s="39">
        <f t="shared" si="39"/>
        <v>1.5</v>
      </c>
      <c r="M51" s="40">
        <f t="shared" si="39"/>
        <v>1.5</v>
      </c>
      <c r="P51" s="13" t="s">
        <v>45</v>
      </c>
      <c r="Q51" s="92"/>
      <c r="R51" s="216"/>
      <c r="S51" s="216"/>
      <c r="T51" s="216"/>
      <c r="U51" s="216">
        <v>2</v>
      </c>
      <c r="V51" s="39">
        <v>4</v>
      </c>
      <c r="W51" s="39">
        <v>2</v>
      </c>
      <c r="X51" s="39">
        <v>1.4</v>
      </c>
      <c r="Y51" s="39">
        <v>1.5</v>
      </c>
      <c r="Z51" s="39">
        <v>1.5</v>
      </c>
      <c r="AA51" s="39">
        <v>1.5</v>
      </c>
      <c r="AB51" s="40">
        <v>1.5</v>
      </c>
    </row>
    <row r="52" spans="1:28" ht="12.75">
      <c r="A52" s="13"/>
      <c r="B52" s="92"/>
      <c r="C52" s="92"/>
      <c r="D52" s="92"/>
      <c r="E52" s="92"/>
      <c r="F52" s="92"/>
      <c r="G52" s="92"/>
      <c r="H52" s="21"/>
      <c r="I52" s="21"/>
      <c r="J52" s="21"/>
      <c r="K52" s="21"/>
      <c r="L52" s="21"/>
      <c r="M52" s="27"/>
      <c r="N52" s="92"/>
      <c r="P52" s="13"/>
      <c r="Q52" s="92"/>
      <c r="R52" s="92"/>
      <c r="S52" s="92"/>
      <c r="T52" s="92"/>
      <c r="U52" s="92"/>
      <c r="V52" s="21"/>
      <c r="W52" s="21"/>
      <c r="X52" s="21"/>
      <c r="Y52" s="21"/>
      <c r="Z52" s="21"/>
      <c r="AA52" s="21"/>
      <c r="AB52" s="27"/>
    </row>
    <row r="53" spans="1:28" ht="12.75">
      <c r="A53" s="13" t="s">
        <v>31</v>
      </c>
      <c r="B53" s="93"/>
      <c r="C53" s="93"/>
      <c r="D53" s="92"/>
      <c r="E53" s="92"/>
      <c r="F53" s="92"/>
      <c r="G53" s="92"/>
      <c r="H53" s="21"/>
      <c r="I53" s="21"/>
      <c r="J53" s="21"/>
      <c r="K53" s="21"/>
      <c r="L53" s="21"/>
      <c r="M53" s="27"/>
      <c r="N53" s="92"/>
      <c r="P53" s="13" t="s">
        <v>31</v>
      </c>
      <c r="Q53" s="93"/>
      <c r="R53" s="93"/>
      <c r="S53" s="92"/>
      <c r="T53" s="92"/>
      <c r="U53" s="92"/>
      <c r="V53" s="21"/>
      <c r="W53" s="21"/>
      <c r="X53" s="21"/>
      <c r="Y53" s="21"/>
      <c r="Z53" s="21"/>
      <c r="AA53" s="21"/>
      <c r="AB53" s="27"/>
    </row>
    <row r="54" spans="1:28" ht="12.75">
      <c r="A54" s="13" t="s">
        <v>32</v>
      </c>
      <c r="B54" s="93"/>
      <c r="C54" s="94"/>
      <c r="D54" s="94"/>
      <c r="E54" s="94"/>
      <c r="F54" s="94"/>
      <c r="G54" s="94"/>
      <c r="H54" s="30"/>
      <c r="I54" s="30"/>
      <c r="J54" s="30"/>
      <c r="K54" s="30"/>
      <c r="L54" s="30"/>
      <c r="M54" s="31"/>
      <c r="N54" s="92"/>
      <c r="P54" s="13" t="s">
        <v>32</v>
      </c>
      <c r="Q54" s="93"/>
      <c r="R54" s="94"/>
      <c r="S54" s="94"/>
      <c r="T54" s="94"/>
      <c r="U54" s="94"/>
      <c r="V54" s="30"/>
      <c r="W54" s="30"/>
      <c r="X54" s="30"/>
      <c r="Y54" s="30"/>
      <c r="Z54" s="30"/>
      <c r="AA54" s="30"/>
      <c r="AB54" s="31"/>
    </row>
    <row r="55" spans="1:28" ht="12.75">
      <c r="A55" s="13" t="s">
        <v>33</v>
      </c>
      <c r="B55" s="93"/>
      <c r="C55" s="94"/>
      <c r="D55" s="94"/>
      <c r="E55" s="94"/>
      <c r="F55" s="94"/>
      <c r="G55" s="94"/>
      <c r="H55" s="30"/>
      <c r="I55" s="30"/>
      <c r="J55" s="30"/>
      <c r="K55" s="30"/>
      <c r="L55" s="30"/>
      <c r="M55" s="31"/>
      <c r="N55" s="92"/>
      <c r="P55" s="13" t="s">
        <v>33</v>
      </c>
      <c r="Q55" s="93"/>
      <c r="R55" s="94"/>
      <c r="S55" s="94"/>
      <c r="T55" s="94"/>
      <c r="U55" s="94"/>
      <c r="V55" s="30"/>
      <c r="W55" s="30"/>
      <c r="X55" s="30"/>
      <c r="Y55" s="30"/>
      <c r="Z55" s="30"/>
      <c r="AA55" s="30"/>
      <c r="AB55" s="31"/>
    </row>
    <row r="56" spans="1:28" ht="12.75">
      <c r="A56" s="13" t="s">
        <v>34</v>
      </c>
      <c r="B56" s="93"/>
      <c r="C56" s="94"/>
      <c r="D56" s="94"/>
      <c r="E56" s="94"/>
      <c r="F56" s="94"/>
      <c r="G56" s="94"/>
      <c r="H56" s="30"/>
      <c r="I56" s="30"/>
      <c r="J56" s="30"/>
      <c r="K56" s="30"/>
      <c r="L56" s="30"/>
      <c r="M56" s="31"/>
      <c r="N56" s="92"/>
      <c r="P56" s="13" t="s">
        <v>34</v>
      </c>
      <c r="Q56" s="93"/>
      <c r="R56" s="94"/>
      <c r="S56" s="94"/>
      <c r="T56" s="94"/>
      <c r="U56" s="94"/>
      <c r="V56" s="30"/>
      <c r="W56" s="30"/>
      <c r="X56" s="30"/>
      <c r="Y56" s="30"/>
      <c r="Z56" s="30"/>
      <c r="AA56" s="30"/>
      <c r="AB56" s="31"/>
    </row>
    <row r="57" spans="1:28" ht="12.75">
      <c r="A57" s="13" t="s">
        <v>1</v>
      </c>
      <c r="B57" s="93"/>
      <c r="C57" s="94"/>
      <c r="D57" s="94"/>
      <c r="E57" s="94"/>
      <c r="F57" s="94">
        <f aca="true" t="shared" si="40" ref="F57:K61">U57*F$46</f>
        <v>0.236</v>
      </c>
      <c r="G57" s="94">
        <f t="shared" si="40"/>
        <v>1.575</v>
      </c>
      <c r="H57" s="30">
        <f t="shared" si="40"/>
        <v>0.22125</v>
      </c>
      <c r="I57" s="30">
        <f t="shared" si="40"/>
        <v>0.8035714285714286</v>
      </c>
      <c r="J57" s="30">
        <f t="shared" si="40"/>
        <v>0.4</v>
      </c>
      <c r="K57" s="30">
        <f t="shared" si="40"/>
        <v>0.4</v>
      </c>
      <c r="L57" s="30">
        <f aca="true" t="shared" si="41" ref="L57:M61">AA57*L$46</f>
        <v>0.4</v>
      </c>
      <c r="M57" s="31">
        <f t="shared" si="41"/>
        <v>0.4</v>
      </c>
      <c r="N57" s="92"/>
      <c r="P57" s="13" t="s">
        <v>1</v>
      </c>
      <c r="Q57" s="93"/>
      <c r="R57" s="94"/>
      <c r="S57" s="94"/>
      <c r="T57" s="94"/>
      <c r="U57" s="94">
        <v>0.236</v>
      </c>
      <c r="V57" s="30">
        <v>1.26</v>
      </c>
      <c r="W57" s="30">
        <v>0.236</v>
      </c>
      <c r="X57" s="30">
        <v>0.75</v>
      </c>
      <c r="Y57" s="30">
        <v>0.4</v>
      </c>
      <c r="Z57" s="30">
        <v>0.4</v>
      </c>
      <c r="AA57" s="30">
        <v>0.4</v>
      </c>
      <c r="AB57" s="31">
        <v>0.4</v>
      </c>
    </row>
    <row r="58" spans="1:28" ht="12.75">
      <c r="A58" s="13" t="s">
        <v>2</v>
      </c>
      <c r="B58" s="93"/>
      <c r="C58" s="94"/>
      <c r="D58" s="94"/>
      <c r="E58" s="94"/>
      <c r="F58" s="94">
        <f t="shared" si="40"/>
        <v>0.063</v>
      </c>
      <c r="G58" s="94">
        <f t="shared" si="40"/>
        <v>0.125</v>
      </c>
      <c r="H58" s="30">
        <f t="shared" si="40"/>
        <v>0.059062500000000004</v>
      </c>
      <c r="I58" s="30">
        <f t="shared" si="40"/>
        <v>0.6000000000000001</v>
      </c>
      <c r="J58" s="30">
        <f t="shared" si="40"/>
        <v>0.4</v>
      </c>
      <c r="K58" s="30">
        <f t="shared" si="40"/>
        <v>0.4</v>
      </c>
      <c r="L58" s="30">
        <f t="shared" si="41"/>
        <v>0.4</v>
      </c>
      <c r="M58" s="31">
        <f t="shared" si="41"/>
        <v>0.4</v>
      </c>
      <c r="N58" s="92"/>
      <c r="P58" s="13" t="s">
        <v>2</v>
      </c>
      <c r="Q58" s="93"/>
      <c r="R58" s="94"/>
      <c r="S58" s="94"/>
      <c r="T58" s="94"/>
      <c r="U58" s="94">
        <v>0.063</v>
      </c>
      <c r="V58" s="30">
        <v>0.1</v>
      </c>
      <c r="W58" s="30">
        <v>0.063</v>
      </c>
      <c r="X58" s="30">
        <v>0.56</v>
      </c>
      <c r="Y58" s="30">
        <v>0.4</v>
      </c>
      <c r="Z58" s="30">
        <v>0.4</v>
      </c>
      <c r="AA58" s="30">
        <v>0.4</v>
      </c>
      <c r="AB58" s="31">
        <v>0.4</v>
      </c>
    </row>
    <row r="59" spans="1:28" ht="12.75">
      <c r="A59" s="13" t="s">
        <v>35</v>
      </c>
      <c r="B59" s="93"/>
      <c r="C59" s="94"/>
      <c r="D59" s="94"/>
      <c r="E59" s="94"/>
      <c r="F59" s="94">
        <f t="shared" si="40"/>
        <v>0.783</v>
      </c>
      <c r="G59" s="94">
        <f t="shared" si="40"/>
        <v>6.1875</v>
      </c>
      <c r="H59" s="30">
        <f t="shared" si="40"/>
        <v>0.7340625000000001</v>
      </c>
      <c r="I59" s="30">
        <f t="shared" si="40"/>
        <v>1.6071428571428572</v>
      </c>
      <c r="J59" s="30">
        <f t="shared" si="40"/>
        <v>1.1</v>
      </c>
      <c r="K59" s="30">
        <f t="shared" si="40"/>
        <v>1.1</v>
      </c>
      <c r="L59" s="30">
        <f t="shared" si="41"/>
        <v>1.1</v>
      </c>
      <c r="M59" s="31">
        <f t="shared" si="41"/>
        <v>1.1</v>
      </c>
      <c r="N59" s="92"/>
      <c r="P59" s="13" t="s">
        <v>35</v>
      </c>
      <c r="Q59" s="93"/>
      <c r="R59" s="94"/>
      <c r="S59" s="94"/>
      <c r="T59" s="94"/>
      <c r="U59" s="94">
        <v>0.783</v>
      </c>
      <c r="V59" s="30">
        <v>4.95</v>
      </c>
      <c r="W59" s="30">
        <v>0.783</v>
      </c>
      <c r="X59" s="30">
        <v>1.5</v>
      </c>
      <c r="Y59" s="30">
        <f>0.7+0.4</f>
        <v>1.1</v>
      </c>
      <c r="Z59" s="30">
        <f>0.7+0.4</f>
        <v>1.1</v>
      </c>
      <c r="AA59" s="30">
        <f>0.7+0.4</f>
        <v>1.1</v>
      </c>
      <c r="AB59" s="31">
        <f>0.7+0.4</f>
        <v>1.1</v>
      </c>
    </row>
    <row r="60" spans="1:28" ht="12.75">
      <c r="A60" s="13" t="s">
        <v>36</v>
      </c>
      <c r="B60" s="93"/>
      <c r="C60" s="94"/>
      <c r="D60" s="94"/>
      <c r="E60" s="94"/>
      <c r="F60" s="94">
        <f t="shared" si="40"/>
        <v>2.03</v>
      </c>
      <c r="G60" s="94">
        <f t="shared" si="40"/>
        <v>2.2375</v>
      </c>
      <c r="H60" s="30">
        <f t="shared" si="40"/>
        <v>1.9031249999999997</v>
      </c>
      <c r="I60" s="30">
        <f t="shared" si="40"/>
        <v>1.4999999999999998</v>
      </c>
      <c r="J60" s="30">
        <f t="shared" si="40"/>
        <v>0.96</v>
      </c>
      <c r="K60" s="30">
        <f t="shared" si="40"/>
        <v>0.96</v>
      </c>
      <c r="L60" s="30">
        <f t="shared" si="41"/>
        <v>0.96</v>
      </c>
      <c r="M60" s="31">
        <f t="shared" si="41"/>
        <v>0.96</v>
      </c>
      <c r="N60" s="92"/>
      <c r="P60" s="13" t="s">
        <v>36</v>
      </c>
      <c r="Q60" s="93"/>
      <c r="R60" s="94"/>
      <c r="S60" s="94"/>
      <c r="T60" s="94"/>
      <c r="U60" s="94">
        <v>2.03</v>
      </c>
      <c r="V60" s="30">
        <v>1.79</v>
      </c>
      <c r="W60" s="30">
        <v>2.03</v>
      </c>
      <c r="X60" s="30">
        <v>1.4</v>
      </c>
      <c r="Y60" s="30">
        <v>0.96</v>
      </c>
      <c r="Z60" s="30">
        <v>0.96</v>
      </c>
      <c r="AA60" s="30">
        <v>0.96</v>
      </c>
      <c r="AB60" s="31">
        <v>0.96</v>
      </c>
    </row>
    <row r="61" spans="1:28" ht="12.75">
      <c r="A61" s="13" t="s">
        <v>37</v>
      </c>
      <c r="B61" s="93"/>
      <c r="C61" s="94"/>
      <c r="D61" s="94"/>
      <c r="E61" s="94"/>
      <c r="F61" s="94">
        <f t="shared" si="40"/>
        <v>13.93</v>
      </c>
      <c r="G61" s="94">
        <f t="shared" si="40"/>
        <v>24.125</v>
      </c>
      <c r="H61" s="30">
        <f t="shared" si="40"/>
        <v>13.059375</v>
      </c>
      <c r="I61" s="30">
        <f t="shared" si="40"/>
        <v>10.714285714285714</v>
      </c>
      <c r="J61" s="30">
        <f t="shared" si="40"/>
        <v>8</v>
      </c>
      <c r="K61" s="30">
        <f t="shared" si="40"/>
        <v>8</v>
      </c>
      <c r="L61" s="30">
        <f t="shared" si="41"/>
        <v>8</v>
      </c>
      <c r="M61" s="31">
        <f t="shared" si="41"/>
        <v>8</v>
      </c>
      <c r="N61" s="92"/>
      <c r="P61" s="13" t="s">
        <v>37</v>
      </c>
      <c r="Q61" s="93"/>
      <c r="R61" s="94"/>
      <c r="S61" s="94"/>
      <c r="T61" s="94"/>
      <c r="U61" s="94">
        <v>13.93</v>
      </c>
      <c r="V61" s="30">
        <v>19.3</v>
      </c>
      <c r="W61" s="30">
        <v>13.93</v>
      </c>
      <c r="X61" s="30">
        <v>10</v>
      </c>
      <c r="Y61" s="30">
        <v>8</v>
      </c>
      <c r="Z61" s="30">
        <v>8</v>
      </c>
      <c r="AA61" s="30">
        <v>8</v>
      </c>
      <c r="AB61" s="31">
        <v>8</v>
      </c>
    </row>
    <row r="62" spans="1:28" ht="12.75">
      <c r="A62" s="13" t="s">
        <v>38</v>
      </c>
      <c r="B62" s="93"/>
      <c r="C62" s="94"/>
      <c r="D62" s="94"/>
      <c r="E62" s="94"/>
      <c r="F62" s="94"/>
      <c r="G62" s="94"/>
      <c r="H62" s="30"/>
      <c r="I62" s="30"/>
      <c r="J62" s="30"/>
      <c r="K62" s="30"/>
      <c r="L62" s="30"/>
      <c r="M62" s="31"/>
      <c r="N62" s="92"/>
      <c r="P62" s="13" t="s">
        <v>38</v>
      </c>
      <c r="Q62" s="93"/>
      <c r="R62" s="94"/>
      <c r="S62" s="94"/>
      <c r="T62" s="94"/>
      <c r="U62" s="94"/>
      <c r="V62" s="30"/>
      <c r="W62" s="30"/>
      <c r="X62" s="30"/>
      <c r="Y62" s="30"/>
      <c r="Z62" s="30"/>
      <c r="AA62" s="30"/>
      <c r="AB62" s="31"/>
    </row>
    <row r="63" spans="1:28" ht="12.75">
      <c r="A63" s="13"/>
      <c r="B63" s="93"/>
      <c r="C63" s="93"/>
      <c r="D63" s="92"/>
      <c r="E63" s="92"/>
      <c r="F63" s="92"/>
      <c r="G63" s="92"/>
      <c r="H63" s="21"/>
      <c r="I63" s="21"/>
      <c r="J63" s="21"/>
      <c r="K63" s="21"/>
      <c r="L63" s="21"/>
      <c r="M63" s="27"/>
      <c r="N63" s="92"/>
      <c r="P63" s="13"/>
      <c r="Q63" s="93"/>
      <c r="R63" s="93"/>
      <c r="S63" s="92"/>
      <c r="T63" s="92"/>
      <c r="U63" s="92"/>
      <c r="V63" s="21"/>
      <c r="W63" s="21"/>
      <c r="X63" s="21"/>
      <c r="Y63" s="21"/>
      <c r="Z63" s="21"/>
      <c r="AA63" s="21"/>
      <c r="AB63" s="27"/>
    </row>
    <row r="64" spans="1:28" ht="13.5" thickBot="1">
      <c r="A64" s="95" t="s">
        <v>39</v>
      </c>
      <c r="B64" s="96"/>
      <c r="C64" s="97"/>
      <c r="D64" s="97"/>
      <c r="E64" s="97"/>
      <c r="F64" s="97">
        <f aca="true" t="shared" si="42" ref="F64:M64">SUM(F54:F62)</f>
        <v>17.042</v>
      </c>
      <c r="G64" s="97">
        <f t="shared" si="42"/>
        <v>34.25</v>
      </c>
      <c r="H64" s="32">
        <f t="shared" si="42"/>
        <v>15.976875</v>
      </c>
      <c r="I64" s="32">
        <f t="shared" si="42"/>
        <v>15.225</v>
      </c>
      <c r="J64" s="32">
        <f t="shared" si="42"/>
        <v>10.86</v>
      </c>
      <c r="K64" s="32">
        <f t="shared" si="42"/>
        <v>10.86</v>
      </c>
      <c r="L64" s="32">
        <f t="shared" si="42"/>
        <v>10.86</v>
      </c>
      <c r="M64" s="33">
        <f t="shared" si="42"/>
        <v>10.86</v>
      </c>
      <c r="N64" s="92"/>
      <c r="P64" s="95" t="s">
        <v>39</v>
      </c>
      <c r="Q64" s="96"/>
      <c r="R64" s="97"/>
      <c r="S64" s="97"/>
      <c r="T64" s="97"/>
      <c r="U64" s="97">
        <f aca="true" t="shared" si="43" ref="U64:AB64">SUM(U54:U62)</f>
        <v>17.042</v>
      </c>
      <c r="V64" s="32">
        <f t="shared" si="43"/>
        <v>27.400000000000002</v>
      </c>
      <c r="W64" s="32">
        <f t="shared" si="43"/>
        <v>17.042</v>
      </c>
      <c r="X64" s="32">
        <f t="shared" si="43"/>
        <v>14.21</v>
      </c>
      <c r="Y64" s="32">
        <f t="shared" si="43"/>
        <v>10.86</v>
      </c>
      <c r="Z64" s="32">
        <f t="shared" si="43"/>
        <v>10.86</v>
      </c>
      <c r="AA64" s="32">
        <f t="shared" si="43"/>
        <v>10.86</v>
      </c>
      <c r="AB64" s="33">
        <f t="shared" si="43"/>
        <v>10.86</v>
      </c>
    </row>
    <row r="68" spans="2:28" ht="12.75">
      <c r="B68" s="207" t="s">
        <v>18</v>
      </c>
      <c r="C68" s="207" t="s">
        <v>19</v>
      </c>
      <c r="D68" s="207" t="s">
        <v>20</v>
      </c>
      <c r="E68" s="207" t="s">
        <v>21</v>
      </c>
      <c r="F68" s="207" t="s">
        <v>22</v>
      </c>
      <c r="G68" s="207" t="s">
        <v>23</v>
      </c>
      <c r="H68" s="22" t="s">
        <v>24</v>
      </c>
      <c r="I68" s="22" t="s">
        <v>25</v>
      </c>
      <c r="J68" s="22" t="s">
        <v>26</v>
      </c>
      <c r="K68" s="22" t="s">
        <v>27</v>
      </c>
      <c r="L68" s="22" t="s">
        <v>28</v>
      </c>
      <c r="M68" s="22" t="s">
        <v>29</v>
      </c>
      <c r="Q68" s="207" t="s">
        <v>18</v>
      </c>
      <c r="R68" s="207" t="s">
        <v>19</v>
      </c>
      <c r="S68" s="207" t="s">
        <v>20</v>
      </c>
      <c r="T68" s="207" t="s">
        <v>21</v>
      </c>
      <c r="U68" s="207" t="s">
        <v>22</v>
      </c>
      <c r="V68" s="22" t="s">
        <v>23</v>
      </c>
      <c r="W68" s="22" t="s">
        <v>24</v>
      </c>
      <c r="X68" s="22" t="s">
        <v>25</v>
      </c>
      <c r="Y68" s="22" t="s">
        <v>26</v>
      </c>
      <c r="Z68" s="22" t="s">
        <v>27</v>
      </c>
      <c r="AA68" s="22" t="s">
        <v>28</v>
      </c>
      <c r="AB68" s="22" t="s">
        <v>29</v>
      </c>
    </row>
    <row r="69" spans="1:22" ht="31.5" customHeight="1">
      <c r="A69" s="218" t="s">
        <v>46</v>
      </c>
      <c r="D69" s="219">
        <v>21.5</v>
      </c>
      <c r="E69" s="219">
        <v>20.4</v>
      </c>
      <c r="F69" s="219">
        <v>21.3</v>
      </c>
      <c r="G69" s="219">
        <v>6.3</v>
      </c>
      <c r="P69" s="218" t="s">
        <v>46</v>
      </c>
      <c r="S69" s="219">
        <v>21.5</v>
      </c>
      <c r="T69" s="219">
        <v>20.4</v>
      </c>
      <c r="U69" s="219">
        <v>21.3</v>
      </c>
      <c r="V69" s="41">
        <v>6.3</v>
      </c>
    </row>
    <row r="70" spans="1:28" s="7" customFormat="1" ht="12.75">
      <c r="A70" s="7" t="s">
        <v>47</v>
      </c>
      <c r="C70" s="220" t="e">
        <f>SUM(C71:C72)</f>
        <v>#REF!</v>
      </c>
      <c r="D70" s="220" t="e">
        <f>SUM(D71:D72)</f>
        <v>#REF!</v>
      </c>
      <c r="E70" s="220" t="e">
        <f>SUM(E71:E72)</f>
        <v>#REF!</v>
      </c>
      <c r="F70" s="220" t="e">
        <f>SUM(F71:F72)</f>
        <v>#REF!</v>
      </c>
      <c r="G70" s="220" t="e">
        <f>SUM(G71:G72)</f>
        <v>#REF!</v>
      </c>
      <c r="H70" s="18"/>
      <c r="I70" s="18"/>
      <c r="J70" s="18"/>
      <c r="K70" s="18"/>
      <c r="L70" s="18"/>
      <c r="M70" s="18"/>
      <c r="P70" s="7" t="s">
        <v>47</v>
      </c>
      <c r="R70" s="220" t="e">
        <f>SUM(R71:R72)</f>
        <v>#REF!</v>
      </c>
      <c r="S70" s="220" t="e">
        <f>SUM(S71:S72)</f>
        <v>#REF!</v>
      </c>
      <c r="T70" s="220" t="e">
        <f>SUM(T71:T72)</f>
        <v>#REF!</v>
      </c>
      <c r="U70" s="220" t="e">
        <f>SUM(U71:U72)</f>
        <v>#REF!</v>
      </c>
      <c r="V70" s="42" t="e">
        <f>SUM(V71:V72)</f>
        <v>#REF!</v>
      </c>
      <c r="W70" s="18"/>
      <c r="X70" s="18"/>
      <c r="Y70" s="18"/>
      <c r="Z70" s="18"/>
      <c r="AA70" s="18"/>
      <c r="AB70" s="18"/>
    </row>
    <row r="71" spans="1:28" s="7" customFormat="1" ht="12.75">
      <c r="A71" s="221" t="s">
        <v>50</v>
      </c>
      <c r="B71" s="222"/>
      <c r="C71" s="223" t="e">
        <f>#REF!/1000</f>
        <v>#REF!</v>
      </c>
      <c r="D71" s="223" t="e">
        <f>#REF!/1000</f>
        <v>#REF!</v>
      </c>
      <c r="E71" s="223" t="e">
        <f>#REF!/1000</f>
        <v>#REF!</v>
      </c>
      <c r="F71" s="223" t="e">
        <f>#REF!/1000</f>
        <v>#REF!</v>
      </c>
      <c r="G71" s="223" t="e">
        <f>#REF!/1000</f>
        <v>#REF!</v>
      </c>
      <c r="H71" s="18"/>
      <c r="I71" s="18"/>
      <c r="J71" s="18"/>
      <c r="K71" s="18"/>
      <c r="L71" s="18"/>
      <c r="M71" s="18"/>
      <c r="P71" s="221" t="s">
        <v>50</v>
      </c>
      <c r="Q71" s="222"/>
      <c r="R71" s="223" t="e">
        <f>C71</f>
        <v>#REF!</v>
      </c>
      <c r="S71" s="223" t="e">
        <f aca="true" t="shared" si="44" ref="S71:V72">D71</f>
        <v>#REF!</v>
      </c>
      <c r="T71" s="223" t="e">
        <f t="shared" si="44"/>
        <v>#REF!</v>
      </c>
      <c r="U71" s="223" t="e">
        <f t="shared" si="44"/>
        <v>#REF!</v>
      </c>
      <c r="V71" s="43" t="e">
        <f t="shared" si="44"/>
        <v>#REF!</v>
      </c>
      <c r="W71" s="18"/>
      <c r="X71" s="18"/>
      <c r="Y71" s="18"/>
      <c r="Z71" s="18"/>
      <c r="AA71" s="18"/>
      <c r="AB71" s="18"/>
    </row>
    <row r="72" spans="1:28" s="7" customFormat="1" ht="12.75">
      <c r="A72" s="221" t="s">
        <v>51</v>
      </c>
      <c r="B72" s="222"/>
      <c r="C72" s="223" t="e">
        <f>#REF!/1000</f>
        <v>#REF!</v>
      </c>
      <c r="D72" s="223" t="e">
        <f>#REF!/1000</f>
        <v>#REF!</v>
      </c>
      <c r="E72" s="223" t="e">
        <f>#REF!/1000</f>
        <v>#REF!</v>
      </c>
      <c r="F72" s="223" t="e">
        <f>#REF!/1000</f>
        <v>#REF!</v>
      </c>
      <c r="G72" s="223" t="e">
        <f>#REF!/1000</f>
        <v>#REF!</v>
      </c>
      <c r="H72" s="18"/>
      <c r="I72" s="18"/>
      <c r="J72" s="18"/>
      <c r="K72" s="18"/>
      <c r="L72" s="18"/>
      <c r="M72" s="18"/>
      <c r="P72" s="221" t="s">
        <v>51</v>
      </c>
      <c r="Q72" s="222"/>
      <c r="R72" s="223" t="e">
        <f>C72</f>
        <v>#REF!</v>
      </c>
      <c r="S72" s="223" t="e">
        <f t="shared" si="44"/>
        <v>#REF!</v>
      </c>
      <c r="T72" s="223" t="e">
        <f t="shared" si="44"/>
        <v>#REF!</v>
      </c>
      <c r="U72" s="223" t="e">
        <f t="shared" si="44"/>
        <v>#REF!</v>
      </c>
      <c r="V72" s="43" t="e">
        <f t="shared" si="44"/>
        <v>#REF!</v>
      </c>
      <c r="W72" s="18"/>
      <c r="X72" s="18"/>
      <c r="Y72" s="18"/>
      <c r="Z72" s="18"/>
      <c r="AA72" s="18"/>
      <c r="AB72" s="18"/>
    </row>
    <row r="75" spans="1:16" ht="12.75">
      <c r="A75" s="7" t="s">
        <v>48</v>
      </c>
      <c r="B75" s="7"/>
      <c r="C75" s="7"/>
      <c r="D75" s="220" t="e">
        <f aca="true" t="shared" si="45" ref="D75:M75">+D70+D49+D26+D6</f>
        <v>#REF!</v>
      </c>
      <c r="E75" s="220" t="e">
        <f t="shared" si="45"/>
        <v>#REF!</v>
      </c>
      <c r="F75" s="220" t="e">
        <f t="shared" si="45"/>
        <v>#REF!</v>
      </c>
      <c r="G75" s="220" t="e">
        <f t="shared" si="45"/>
        <v>#REF!</v>
      </c>
      <c r="H75" s="42">
        <f t="shared" si="45"/>
        <v>43.5</v>
      </c>
      <c r="I75" s="42">
        <f t="shared" si="45"/>
        <v>44.4</v>
      </c>
      <c r="J75" s="42">
        <f t="shared" si="45"/>
        <v>46</v>
      </c>
      <c r="K75" s="42">
        <f t="shared" si="45"/>
        <v>46</v>
      </c>
      <c r="L75" s="42">
        <f t="shared" si="45"/>
        <v>46</v>
      </c>
      <c r="M75" s="42">
        <f t="shared" si="45"/>
        <v>46</v>
      </c>
      <c r="P75" s="7"/>
    </row>
    <row r="76" spans="1:16" ht="12.75">
      <c r="A76" s="221" t="s">
        <v>50</v>
      </c>
      <c r="D76" s="224" t="e">
        <f>D6+D27+D50+D71</f>
        <v>#REF!</v>
      </c>
      <c r="E76" s="224" t="e">
        <f aca="true" t="shared" si="46" ref="E76:M76">E6+E27+E50+E71</f>
        <v>#REF!</v>
      </c>
      <c r="F76" s="224" t="e">
        <f t="shared" si="46"/>
        <v>#REF!</v>
      </c>
      <c r="G76" s="224" t="e">
        <f t="shared" si="46"/>
        <v>#REF!</v>
      </c>
      <c r="H76" s="44">
        <f t="shared" si="46"/>
        <v>35.5</v>
      </c>
      <c r="I76" s="44">
        <f t="shared" si="46"/>
        <v>35.5</v>
      </c>
      <c r="J76" s="44">
        <f t="shared" si="46"/>
        <v>35.5</v>
      </c>
      <c r="K76" s="44">
        <f t="shared" si="46"/>
        <v>35.5</v>
      </c>
      <c r="L76" s="44">
        <f t="shared" si="46"/>
        <v>35.5</v>
      </c>
      <c r="M76" s="44">
        <f t="shared" si="46"/>
        <v>35.5</v>
      </c>
      <c r="P76" s="221"/>
    </row>
    <row r="77" spans="1:16" ht="12.75">
      <c r="A77" s="221"/>
      <c r="P77" s="221"/>
    </row>
    <row r="78" spans="1:16" ht="12.75">
      <c r="A78" s="221" t="s">
        <v>11</v>
      </c>
      <c r="C78" s="8">
        <v>14.8</v>
      </c>
      <c r="D78" s="8">
        <v>18.8</v>
      </c>
      <c r="E78" s="8">
        <v>17.8</v>
      </c>
      <c r="F78" s="8">
        <v>30.7</v>
      </c>
      <c r="G78" s="8">
        <v>32.3</v>
      </c>
      <c r="H78" s="19">
        <v>31.4</v>
      </c>
      <c r="I78" s="19">
        <v>31.4</v>
      </c>
      <c r="J78" s="19">
        <v>31.4</v>
      </c>
      <c r="K78" s="19">
        <v>31.4</v>
      </c>
      <c r="L78" s="19">
        <v>31.4</v>
      </c>
      <c r="M78" s="19">
        <v>31.4</v>
      </c>
      <c r="P78" s="221"/>
    </row>
    <row r="83" ht="13.5" thickBot="1"/>
    <row r="84" spans="1:13" ht="12.75">
      <c r="A84" s="208" t="s">
        <v>12</v>
      </c>
      <c r="B84" s="209"/>
      <c r="C84" s="225" t="e">
        <f aca="true" t="shared" si="47" ref="C84:H84">SUM(C85:C86)</f>
        <v>#REF!</v>
      </c>
      <c r="D84" s="225" t="e">
        <f t="shared" si="47"/>
        <v>#REF!</v>
      </c>
      <c r="E84" s="225" t="e">
        <f t="shared" si="47"/>
        <v>#REF!</v>
      </c>
      <c r="F84" s="225" t="e">
        <f t="shared" si="47"/>
        <v>#REF!</v>
      </c>
      <c r="G84" s="225" t="e">
        <f t="shared" si="47"/>
        <v>#REF!</v>
      </c>
      <c r="H84" s="45">
        <f t="shared" si="47"/>
        <v>0</v>
      </c>
      <c r="I84" s="37"/>
      <c r="J84" s="37"/>
      <c r="K84" s="37"/>
      <c r="L84" s="37"/>
      <c r="M84" s="38"/>
    </row>
    <row r="85" spans="1:13" ht="12.75">
      <c r="A85" s="211" t="s">
        <v>13</v>
      </c>
      <c r="B85" s="215"/>
      <c r="C85" s="10" t="e">
        <f aca="true" t="shared" si="48" ref="C85:H86">C71</f>
        <v>#REF!</v>
      </c>
      <c r="D85" s="10" t="e">
        <f t="shared" si="48"/>
        <v>#REF!</v>
      </c>
      <c r="E85" s="10" t="e">
        <f t="shared" si="48"/>
        <v>#REF!</v>
      </c>
      <c r="F85" s="10" t="e">
        <f t="shared" si="48"/>
        <v>#REF!</v>
      </c>
      <c r="G85" s="10" t="e">
        <f t="shared" si="48"/>
        <v>#REF!</v>
      </c>
      <c r="H85" s="28">
        <f t="shared" si="48"/>
        <v>0</v>
      </c>
      <c r="I85" s="28"/>
      <c r="J85" s="28"/>
      <c r="K85" s="28"/>
      <c r="L85" s="28"/>
      <c r="M85" s="29"/>
    </row>
    <row r="86" spans="1:13" ht="12.75">
      <c r="A86" s="13" t="s">
        <v>14</v>
      </c>
      <c r="B86" s="92"/>
      <c r="C86" s="213" t="e">
        <f t="shared" si="48"/>
        <v>#REF!</v>
      </c>
      <c r="D86" s="213" t="e">
        <f t="shared" si="48"/>
        <v>#REF!</v>
      </c>
      <c r="E86" s="213" t="e">
        <f t="shared" si="48"/>
        <v>#REF!</v>
      </c>
      <c r="F86" s="213" t="e">
        <f t="shared" si="48"/>
        <v>#REF!</v>
      </c>
      <c r="G86" s="213" t="e">
        <f t="shared" si="48"/>
        <v>#REF!</v>
      </c>
      <c r="H86" s="35">
        <f t="shared" si="48"/>
        <v>0</v>
      </c>
      <c r="I86" s="39"/>
      <c r="J86" s="39"/>
      <c r="K86" s="39"/>
      <c r="L86" s="39"/>
      <c r="M86" s="40"/>
    </row>
    <row r="87" spans="1:13" ht="12.75">
      <c r="A87" s="13"/>
      <c r="B87" s="92"/>
      <c r="C87" s="92"/>
      <c r="D87" s="92"/>
      <c r="E87" s="92"/>
      <c r="F87" s="92"/>
      <c r="G87" s="92"/>
      <c r="H87" s="21"/>
      <c r="I87" s="21"/>
      <c r="J87" s="21"/>
      <c r="K87" s="21"/>
      <c r="L87" s="21"/>
      <c r="M87" s="27"/>
    </row>
    <row r="88" spans="1:13" ht="12.75">
      <c r="A88" s="13" t="s">
        <v>31</v>
      </c>
      <c r="B88" s="93"/>
      <c r="C88" s="93"/>
      <c r="D88" s="92"/>
      <c r="E88" s="92"/>
      <c r="F88" s="92"/>
      <c r="G88" s="92"/>
      <c r="H88" s="21"/>
      <c r="I88" s="21"/>
      <c r="J88" s="21"/>
      <c r="K88" s="21"/>
      <c r="L88" s="21"/>
      <c r="M88" s="27"/>
    </row>
    <row r="89" spans="1:13" ht="12.75">
      <c r="A89" s="13" t="s">
        <v>32</v>
      </c>
      <c r="B89" s="93"/>
      <c r="C89" s="94" t="e">
        <f>#REF!</f>
        <v>#REF!</v>
      </c>
      <c r="D89" s="94" t="e">
        <f>#REF!</f>
        <v>#REF!</v>
      </c>
      <c r="E89" s="94" t="e">
        <f>#REF!</f>
        <v>#REF!</v>
      </c>
      <c r="F89" s="94" t="e">
        <f>#REF!</f>
        <v>#REF!</v>
      </c>
      <c r="G89" s="94" t="e">
        <f>#REF!</f>
        <v>#REF!</v>
      </c>
      <c r="H89" s="30" t="e">
        <f>#REF!</f>
        <v>#REF!</v>
      </c>
      <c r="I89" s="30"/>
      <c r="J89" s="30"/>
      <c r="K89" s="30"/>
      <c r="L89" s="30"/>
      <c r="M89" s="31"/>
    </row>
    <row r="90" spans="1:13" ht="12.75">
      <c r="A90" s="13" t="s">
        <v>33</v>
      </c>
      <c r="B90" s="93"/>
      <c r="C90" s="94"/>
      <c r="D90" s="94"/>
      <c r="E90" s="94"/>
      <c r="F90" s="94"/>
      <c r="G90" s="94"/>
      <c r="H90" s="30"/>
      <c r="I90" s="30"/>
      <c r="J90" s="30"/>
      <c r="K90" s="30"/>
      <c r="L90" s="30"/>
      <c r="M90" s="31"/>
    </row>
    <row r="91" spans="1:13" ht="12.75">
      <c r="A91" s="13" t="s">
        <v>34</v>
      </c>
      <c r="B91" s="93"/>
      <c r="C91" s="94"/>
      <c r="D91" s="94"/>
      <c r="E91" s="94"/>
      <c r="F91" s="94"/>
      <c r="G91" s="94"/>
      <c r="H91" s="30"/>
      <c r="I91" s="30"/>
      <c r="J91" s="30"/>
      <c r="K91" s="30"/>
      <c r="L91" s="30"/>
      <c r="M91" s="31"/>
    </row>
    <row r="92" spans="1:13" ht="12.75">
      <c r="A92" s="13" t="s">
        <v>1</v>
      </c>
      <c r="B92" s="93"/>
      <c r="C92" s="94" t="e">
        <f>#REF!</f>
        <v>#REF!</v>
      </c>
      <c r="D92" s="94" t="e">
        <f>#REF!</f>
        <v>#REF!</v>
      </c>
      <c r="E92" s="94" t="e">
        <f>#REF!</f>
        <v>#REF!</v>
      </c>
      <c r="F92" s="94" t="e">
        <f>#REF!</f>
        <v>#REF!</v>
      </c>
      <c r="G92" s="94" t="e">
        <f>#REF!</f>
        <v>#REF!</v>
      </c>
      <c r="H92" s="30" t="e">
        <f>#REF!</f>
        <v>#REF!</v>
      </c>
      <c r="I92" s="30"/>
      <c r="J92" s="30"/>
      <c r="K92" s="30"/>
      <c r="L92" s="30"/>
      <c r="M92" s="31"/>
    </row>
    <row r="93" spans="1:13" ht="12.75">
      <c r="A93" s="13" t="s">
        <v>2</v>
      </c>
      <c r="B93" s="93"/>
      <c r="C93" s="94" t="e">
        <f>#REF!</f>
        <v>#REF!</v>
      </c>
      <c r="D93" s="94" t="e">
        <f>#REF!</f>
        <v>#REF!</v>
      </c>
      <c r="E93" s="94" t="e">
        <f>#REF!</f>
        <v>#REF!</v>
      </c>
      <c r="F93" s="94" t="e">
        <f>#REF!</f>
        <v>#REF!</v>
      </c>
      <c r="G93" s="94" t="e">
        <f>#REF!</f>
        <v>#REF!</v>
      </c>
      <c r="H93" s="30" t="e">
        <f>#REF!</f>
        <v>#REF!</v>
      </c>
      <c r="I93" s="30"/>
      <c r="J93" s="30"/>
      <c r="K93" s="30"/>
      <c r="L93" s="30"/>
      <c r="M93" s="31"/>
    </row>
    <row r="94" spans="1:13" ht="12.75">
      <c r="A94" s="13" t="s">
        <v>35</v>
      </c>
      <c r="B94" s="93"/>
      <c r="C94" s="94" t="e">
        <f>#REF!</f>
        <v>#REF!</v>
      </c>
      <c r="D94" s="94" t="e">
        <f>#REF!</f>
        <v>#REF!</v>
      </c>
      <c r="E94" s="94" t="e">
        <f>#REF!</f>
        <v>#REF!</v>
      </c>
      <c r="F94" s="94" t="e">
        <f>#REF!</f>
        <v>#REF!</v>
      </c>
      <c r="G94" s="94" t="e">
        <f>#REF!</f>
        <v>#REF!</v>
      </c>
      <c r="H94" s="30" t="e">
        <f>#REF!</f>
        <v>#REF!</v>
      </c>
      <c r="I94" s="30"/>
      <c r="J94" s="30"/>
      <c r="K94" s="30"/>
      <c r="L94" s="30"/>
      <c r="M94" s="31"/>
    </row>
    <row r="95" spans="1:13" ht="12.75">
      <c r="A95" s="13" t="s">
        <v>36</v>
      </c>
      <c r="B95" s="93"/>
      <c r="C95" s="94" t="e">
        <f>#REF!</f>
        <v>#REF!</v>
      </c>
      <c r="D95" s="94" t="e">
        <f>#REF!</f>
        <v>#REF!</v>
      </c>
      <c r="E95" s="94" t="e">
        <f>#REF!</f>
        <v>#REF!</v>
      </c>
      <c r="F95" s="94" t="e">
        <f>#REF!</f>
        <v>#REF!</v>
      </c>
      <c r="G95" s="94" t="e">
        <f>#REF!</f>
        <v>#REF!</v>
      </c>
      <c r="H95" s="30" t="e">
        <f>#REF!</f>
        <v>#REF!</v>
      </c>
      <c r="I95" s="30"/>
      <c r="J95" s="30"/>
      <c r="K95" s="30"/>
      <c r="L95" s="30"/>
      <c r="M95" s="31"/>
    </row>
    <row r="96" spans="1:13" ht="12.75">
      <c r="A96" s="13" t="s">
        <v>37</v>
      </c>
      <c r="B96" s="93"/>
      <c r="C96" s="94" t="e">
        <f>#REF!</f>
        <v>#REF!</v>
      </c>
      <c r="D96" s="94" t="e">
        <f>#REF!</f>
        <v>#REF!</v>
      </c>
      <c r="E96" s="94" t="e">
        <f>#REF!</f>
        <v>#REF!</v>
      </c>
      <c r="F96" s="94" t="e">
        <f>#REF!</f>
        <v>#REF!</v>
      </c>
      <c r="G96" s="94" t="e">
        <f>#REF!</f>
        <v>#REF!</v>
      </c>
      <c r="H96" s="30" t="e">
        <f>#REF!</f>
        <v>#REF!</v>
      </c>
      <c r="I96" s="30"/>
      <c r="J96" s="30"/>
      <c r="K96" s="30"/>
      <c r="L96" s="30"/>
      <c r="M96" s="31"/>
    </row>
    <row r="97" spans="1:13" ht="12.75">
      <c r="A97" s="13" t="s">
        <v>38</v>
      </c>
      <c r="B97" s="93"/>
      <c r="C97" s="94" t="e">
        <f>#REF!</f>
        <v>#REF!</v>
      </c>
      <c r="D97" s="94" t="e">
        <f>#REF!</f>
        <v>#REF!</v>
      </c>
      <c r="E97" s="94" t="e">
        <f>#REF!</f>
        <v>#REF!</v>
      </c>
      <c r="F97" s="94" t="e">
        <f>#REF!</f>
        <v>#REF!</v>
      </c>
      <c r="G97" s="94" t="e">
        <f>#REF!</f>
        <v>#REF!</v>
      </c>
      <c r="H97" s="30" t="e">
        <f>#REF!</f>
        <v>#REF!</v>
      </c>
      <c r="I97" s="30"/>
      <c r="J97" s="30"/>
      <c r="K97" s="30"/>
      <c r="L97" s="30"/>
      <c r="M97" s="31"/>
    </row>
    <row r="98" spans="1:13" ht="12.75">
      <c r="A98" s="13"/>
      <c r="B98" s="93"/>
      <c r="C98" s="93"/>
      <c r="D98" s="92"/>
      <c r="E98" s="92"/>
      <c r="F98" s="92"/>
      <c r="G98" s="92"/>
      <c r="H98" s="21"/>
      <c r="I98" s="21"/>
      <c r="J98" s="21"/>
      <c r="K98" s="21"/>
      <c r="L98" s="21"/>
      <c r="M98" s="27"/>
    </row>
    <row r="99" spans="1:13" ht="13.5" thickBot="1">
      <c r="A99" s="95" t="s">
        <v>39</v>
      </c>
      <c r="B99" s="96"/>
      <c r="C99" s="97" t="e">
        <f aca="true" t="shared" si="49" ref="C99:H99">SUM(C89:C97)</f>
        <v>#REF!</v>
      </c>
      <c r="D99" s="97" t="e">
        <f t="shared" si="49"/>
        <v>#REF!</v>
      </c>
      <c r="E99" s="97" t="e">
        <f t="shared" si="49"/>
        <v>#REF!</v>
      </c>
      <c r="F99" s="97" t="e">
        <f t="shared" si="49"/>
        <v>#REF!</v>
      </c>
      <c r="G99" s="97" t="e">
        <f t="shared" si="49"/>
        <v>#REF!</v>
      </c>
      <c r="H99" s="32" t="e">
        <f t="shared" si="49"/>
        <v>#REF!</v>
      </c>
      <c r="I99" s="32"/>
      <c r="J99" s="32"/>
      <c r="K99" s="32"/>
      <c r="L99" s="32"/>
      <c r="M99" s="33"/>
    </row>
    <row r="103" spans="2:13" ht="13.5" thickBot="1">
      <c r="B103" s="207" t="s">
        <v>18</v>
      </c>
      <c r="C103" s="207" t="s">
        <v>19</v>
      </c>
      <c r="D103" s="207" t="s">
        <v>20</v>
      </c>
      <c r="E103" s="207" t="s">
        <v>21</v>
      </c>
      <c r="F103" s="207" t="s">
        <v>22</v>
      </c>
      <c r="G103" s="207" t="s">
        <v>23</v>
      </c>
      <c r="H103" s="22" t="s">
        <v>24</v>
      </c>
      <c r="I103" s="22" t="s">
        <v>25</v>
      </c>
      <c r="J103" s="22" t="s">
        <v>26</v>
      </c>
      <c r="K103" s="22" t="s">
        <v>27</v>
      </c>
      <c r="L103" s="22" t="s">
        <v>28</v>
      </c>
      <c r="M103" s="22" t="s">
        <v>29</v>
      </c>
    </row>
    <row r="104" spans="1:13" ht="12.75">
      <c r="A104" s="208" t="s">
        <v>15</v>
      </c>
      <c r="B104" s="209"/>
      <c r="C104" s="225" t="e">
        <f aca="true" t="shared" si="50" ref="C104:M104">SUM(C105:C106)</f>
        <v>#REF!</v>
      </c>
      <c r="D104" s="225" t="e">
        <f t="shared" si="50"/>
        <v>#REF!</v>
      </c>
      <c r="E104" s="225" t="e">
        <f t="shared" si="50"/>
        <v>#REF!</v>
      </c>
      <c r="F104" s="225" t="e">
        <f t="shared" si="50"/>
        <v>#REF!</v>
      </c>
      <c r="G104" s="225" t="e">
        <f t="shared" si="50"/>
        <v>#REF!</v>
      </c>
      <c r="H104" s="37">
        <f t="shared" si="50"/>
        <v>43.5</v>
      </c>
      <c r="I104" s="37">
        <f t="shared" si="50"/>
        <v>44.4</v>
      </c>
      <c r="J104" s="37">
        <f t="shared" si="50"/>
        <v>46</v>
      </c>
      <c r="K104" s="37">
        <f t="shared" si="50"/>
        <v>46</v>
      </c>
      <c r="L104" s="37">
        <f t="shared" si="50"/>
        <v>46</v>
      </c>
      <c r="M104" s="38">
        <f t="shared" si="50"/>
        <v>46</v>
      </c>
    </row>
    <row r="105" spans="1:13" ht="12.75">
      <c r="A105" s="211" t="s">
        <v>16</v>
      </c>
      <c r="B105" s="215"/>
      <c r="C105" s="10" t="e">
        <f>C6+C27+C50+C85</f>
        <v>#REF!</v>
      </c>
      <c r="D105" s="10" t="e">
        <f aca="true" t="shared" si="51" ref="D105:M105">D6+D27+D50+D85</f>
        <v>#REF!</v>
      </c>
      <c r="E105" s="10" t="e">
        <f t="shared" si="51"/>
        <v>#REF!</v>
      </c>
      <c r="F105" s="10" t="e">
        <f t="shared" si="51"/>
        <v>#REF!</v>
      </c>
      <c r="G105" s="10" t="e">
        <f t="shared" si="51"/>
        <v>#REF!</v>
      </c>
      <c r="H105" s="28">
        <f t="shared" si="51"/>
        <v>35.5</v>
      </c>
      <c r="I105" s="28">
        <f t="shared" si="51"/>
        <v>35.5</v>
      </c>
      <c r="J105" s="28">
        <f t="shared" si="51"/>
        <v>35.5</v>
      </c>
      <c r="K105" s="28">
        <f t="shared" si="51"/>
        <v>35.5</v>
      </c>
      <c r="L105" s="28">
        <f t="shared" si="51"/>
        <v>35.5</v>
      </c>
      <c r="M105" s="29">
        <f t="shared" si="51"/>
        <v>35.5</v>
      </c>
    </row>
    <row r="106" spans="1:13" ht="12.75">
      <c r="A106" s="13" t="s">
        <v>17</v>
      </c>
      <c r="B106" s="92"/>
      <c r="C106" s="213" t="e">
        <f aca="true" t="shared" si="52" ref="C106:M106">C7+C28+C51+C86</f>
        <v>#REF!</v>
      </c>
      <c r="D106" s="213" t="e">
        <f t="shared" si="52"/>
        <v>#REF!</v>
      </c>
      <c r="E106" s="213" t="e">
        <f t="shared" si="52"/>
        <v>#REF!</v>
      </c>
      <c r="F106" s="213" t="e">
        <f t="shared" si="52"/>
        <v>#REF!</v>
      </c>
      <c r="G106" s="213" t="e">
        <f t="shared" si="52"/>
        <v>#REF!</v>
      </c>
      <c r="H106" s="39">
        <f t="shared" si="52"/>
        <v>8</v>
      </c>
      <c r="I106" s="39">
        <f t="shared" si="52"/>
        <v>8.9</v>
      </c>
      <c r="J106" s="39">
        <f t="shared" si="52"/>
        <v>10.5</v>
      </c>
      <c r="K106" s="39">
        <f t="shared" si="52"/>
        <v>10.5</v>
      </c>
      <c r="L106" s="39">
        <f t="shared" si="52"/>
        <v>10.5</v>
      </c>
      <c r="M106" s="40">
        <f t="shared" si="52"/>
        <v>10.5</v>
      </c>
    </row>
    <row r="107" spans="1:13" ht="12.75">
      <c r="A107" s="13"/>
      <c r="B107" s="92"/>
      <c r="C107" s="92"/>
      <c r="D107" s="92"/>
      <c r="E107" s="92"/>
      <c r="F107" s="92"/>
      <c r="G107" s="92"/>
      <c r="H107" s="21"/>
      <c r="I107" s="21"/>
      <c r="J107" s="21"/>
      <c r="K107" s="21"/>
      <c r="L107" s="21"/>
      <c r="M107" s="27"/>
    </row>
    <row r="108" spans="1:13" ht="12.75">
      <c r="A108" s="13" t="s">
        <v>31</v>
      </c>
      <c r="B108" s="93"/>
      <c r="C108" s="93"/>
      <c r="D108" s="92"/>
      <c r="E108" s="92"/>
      <c r="F108" s="92"/>
      <c r="G108" s="92"/>
      <c r="H108" s="21"/>
      <c r="I108" s="21"/>
      <c r="J108" s="21"/>
      <c r="K108" s="21"/>
      <c r="L108" s="21"/>
      <c r="M108" s="27"/>
    </row>
    <row r="109" spans="1:13" ht="12.75">
      <c r="A109" s="13" t="s">
        <v>32</v>
      </c>
      <c r="B109" s="93"/>
      <c r="C109" s="94" t="e">
        <f>C10+C31+C54+C89</f>
        <v>#REF!</v>
      </c>
      <c r="D109" s="94" t="e">
        <f aca="true" t="shared" si="53" ref="D109:M109">D10+D31+D54+D89</f>
        <v>#REF!</v>
      </c>
      <c r="E109" s="94" t="e">
        <f t="shared" si="53"/>
        <v>#REF!</v>
      </c>
      <c r="F109" s="94" t="e">
        <f t="shared" si="53"/>
        <v>#REF!</v>
      </c>
      <c r="G109" s="94" t="e">
        <f t="shared" si="53"/>
        <v>#REF!</v>
      </c>
      <c r="H109" s="30" t="e">
        <f t="shared" si="53"/>
        <v>#REF!</v>
      </c>
      <c r="I109" s="30">
        <f t="shared" si="53"/>
        <v>16.56159420289855</v>
      </c>
      <c r="J109" s="30">
        <f t="shared" si="53"/>
        <v>19.678260869565218</v>
      </c>
      <c r="K109" s="30">
        <f t="shared" si="53"/>
        <v>19.678260869565218</v>
      </c>
      <c r="L109" s="30">
        <f t="shared" si="53"/>
        <v>19.678260869565218</v>
      </c>
      <c r="M109" s="31">
        <f t="shared" si="53"/>
        <v>19.678260869565218</v>
      </c>
    </row>
    <row r="110" spans="1:13" ht="12.75">
      <c r="A110" s="13" t="s">
        <v>33</v>
      </c>
      <c r="B110" s="93"/>
      <c r="C110" s="94">
        <f aca="true" t="shared" si="54" ref="C110:M110">C11+C32+C55+C90</f>
        <v>0</v>
      </c>
      <c r="D110" s="94">
        <f t="shared" si="54"/>
        <v>0</v>
      </c>
      <c r="E110" s="94">
        <f t="shared" si="54"/>
        <v>0</v>
      </c>
      <c r="F110" s="94">
        <f t="shared" si="54"/>
        <v>0.3333333333333333</v>
      </c>
      <c r="G110" s="94">
        <f t="shared" si="54"/>
        <v>0.8888888888888888</v>
      </c>
      <c r="H110" s="30">
        <f t="shared" si="54"/>
        <v>1.3333333333333333</v>
      </c>
      <c r="I110" s="30">
        <f t="shared" si="54"/>
        <v>1.6666666666666667</v>
      </c>
      <c r="J110" s="30">
        <f t="shared" si="54"/>
        <v>2</v>
      </c>
      <c r="K110" s="30">
        <f t="shared" si="54"/>
        <v>2</v>
      </c>
      <c r="L110" s="30">
        <f t="shared" si="54"/>
        <v>2</v>
      </c>
      <c r="M110" s="31">
        <f t="shared" si="54"/>
        <v>2</v>
      </c>
    </row>
    <row r="111" spans="1:13" ht="12.75">
      <c r="A111" s="13" t="s">
        <v>34</v>
      </c>
      <c r="B111" s="93"/>
      <c r="C111" s="94">
        <f aca="true" t="shared" si="55" ref="C111:M111">C12+C33+C56+C91</f>
        <v>0</v>
      </c>
      <c r="D111" s="94">
        <f t="shared" si="55"/>
        <v>0</v>
      </c>
      <c r="E111" s="94">
        <f t="shared" si="55"/>
        <v>0</v>
      </c>
      <c r="F111" s="94">
        <f t="shared" si="55"/>
        <v>0</v>
      </c>
      <c r="G111" s="94">
        <f t="shared" si="55"/>
        <v>0.2</v>
      </c>
      <c r="H111" s="30">
        <f t="shared" si="55"/>
        <v>2.173913043478261</v>
      </c>
      <c r="I111" s="30">
        <f t="shared" si="55"/>
        <v>2.173913043478261</v>
      </c>
      <c r="J111" s="30">
        <f t="shared" si="55"/>
        <v>2.173913043478261</v>
      </c>
      <c r="K111" s="30">
        <f t="shared" si="55"/>
        <v>2.173913043478261</v>
      </c>
      <c r="L111" s="30">
        <f t="shared" si="55"/>
        <v>2.173913043478261</v>
      </c>
      <c r="M111" s="31">
        <f t="shared" si="55"/>
        <v>2.173913043478261</v>
      </c>
    </row>
    <row r="112" spans="1:13" ht="12.75">
      <c r="A112" s="13" t="s">
        <v>1</v>
      </c>
      <c r="B112" s="93"/>
      <c r="C112" s="94" t="e">
        <f aca="true" t="shared" si="56" ref="C112:M112">C13+C34+C57+C92</f>
        <v>#REF!</v>
      </c>
      <c r="D112" s="94" t="e">
        <f t="shared" si="56"/>
        <v>#REF!</v>
      </c>
      <c r="E112" s="94" t="e">
        <f t="shared" si="56"/>
        <v>#REF!</v>
      </c>
      <c r="F112" s="94" t="e">
        <f t="shared" si="56"/>
        <v>#REF!</v>
      </c>
      <c r="G112" s="94" t="e">
        <f t="shared" si="56"/>
        <v>#REF!</v>
      </c>
      <c r="H112" s="30" t="e">
        <f t="shared" si="56"/>
        <v>#REF!</v>
      </c>
      <c r="I112" s="30">
        <f t="shared" si="56"/>
        <v>6.5861801242236035</v>
      </c>
      <c r="J112" s="30">
        <f t="shared" si="56"/>
        <v>6.182608695652175</v>
      </c>
      <c r="K112" s="30">
        <f t="shared" si="56"/>
        <v>6.182608695652175</v>
      </c>
      <c r="L112" s="30">
        <f t="shared" si="56"/>
        <v>6.182608695652175</v>
      </c>
      <c r="M112" s="31">
        <f t="shared" si="56"/>
        <v>6.182608695652175</v>
      </c>
    </row>
    <row r="113" spans="1:13" ht="12.75">
      <c r="A113" s="13" t="s">
        <v>2</v>
      </c>
      <c r="B113" s="93"/>
      <c r="C113" s="94" t="e">
        <f aca="true" t="shared" si="57" ref="C113:M113">C14+C35+C58+C93</f>
        <v>#REF!</v>
      </c>
      <c r="D113" s="94" t="e">
        <f t="shared" si="57"/>
        <v>#REF!</v>
      </c>
      <c r="E113" s="94" t="e">
        <f t="shared" si="57"/>
        <v>#REF!</v>
      </c>
      <c r="F113" s="94" t="e">
        <f t="shared" si="57"/>
        <v>#REF!</v>
      </c>
      <c r="G113" s="94" t="e">
        <f t="shared" si="57"/>
        <v>#REF!</v>
      </c>
      <c r="H113" s="30" t="e">
        <f t="shared" si="57"/>
        <v>#REF!</v>
      </c>
      <c r="I113" s="30">
        <f t="shared" si="57"/>
        <v>1.6108695652173914</v>
      </c>
      <c r="J113" s="30">
        <f t="shared" si="57"/>
        <v>1.4108695652173915</v>
      </c>
      <c r="K113" s="30">
        <f t="shared" si="57"/>
        <v>1.4108695652173915</v>
      </c>
      <c r="L113" s="30">
        <f t="shared" si="57"/>
        <v>1.4108695652173915</v>
      </c>
      <c r="M113" s="31">
        <f t="shared" si="57"/>
        <v>1.4108695652173915</v>
      </c>
    </row>
    <row r="114" spans="1:13" ht="12.75">
      <c r="A114" s="13" t="s">
        <v>35</v>
      </c>
      <c r="B114" s="93"/>
      <c r="C114" s="94" t="e">
        <f aca="true" t="shared" si="58" ref="C114:M114">C15+C36+C59+C94</f>
        <v>#REF!</v>
      </c>
      <c r="D114" s="94" t="e">
        <f t="shared" si="58"/>
        <v>#REF!</v>
      </c>
      <c r="E114" s="94" t="e">
        <f t="shared" si="58"/>
        <v>#REF!</v>
      </c>
      <c r="F114" s="94" t="e">
        <f t="shared" si="58"/>
        <v>#REF!</v>
      </c>
      <c r="G114" s="94" t="e">
        <f t="shared" si="58"/>
        <v>#REF!</v>
      </c>
      <c r="H114" s="30" t="e">
        <f t="shared" si="58"/>
        <v>#REF!</v>
      </c>
      <c r="I114" s="30">
        <f t="shared" si="58"/>
        <v>12.824534161490686</v>
      </c>
      <c r="J114" s="30">
        <f t="shared" si="58"/>
        <v>12.317391304347828</v>
      </c>
      <c r="K114" s="30">
        <f t="shared" si="58"/>
        <v>12.317391304347828</v>
      </c>
      <c r="L114" s="30">
        <f t="shared" si="58"/>
        <v>12.317391304347828</v>
      </c>
      <c r="M114" s="31">
        <f t="shared" si="58"/>
        <v>12.317391304347828</v>
      </c>
    </row>
    <row r="115" spans="1:13" ht="12.75">
      <c r="A115" s="13" t="s">
        <v>36</v>
      </c>
      <c r="B115" s="93"/>
      <c r="C115" s="94" t="e">
        <f aca="true" t="shared" si="59" ref="C115:M115">C16+C37+C60+C95</f>
        <v>#REF!</v>
      </c>
      <c r="D115" s="94" t="e">
        <f t="shared" si="59"/>
        <v>#REF!</v>
      </c>
      <c r="E115" s="94" t="e">
        <f t="shared" si="59"/>
        <v>#REF!</v>
      </c>
      <c r="F115" s="94" t="e">
        <f t="shared" si="59"/>
        <v>#REF!</v>
      </c>
      <c r="G115" s="94" t="e">
        <f t="shared" si="59"/>
        <v>#REF!</v>
      </c>
      <c r="H115" s="30" t="e">
        <f t="shared" si="59"/>
        <v>#REF!</v>
      </c>
      <c r="I115" s="30">
        <f t="shared" si="59"/>
        <v>6.956521739130435</v>
      </c>
      <c r="J115" s="30">
        <f t="shared" si="59"/>
        <v>6.4165217391304346</v>
      </c>
      <c r="K115" s="30">
        <f t="shared" si="59"/>
        <v>6.4165217391304346</v>
      </c>
      <c r="L115" s="30">
        <f t="shared" si="59"/>
        <v>6.4165217391304346</v>
      </c>
      <c r="M115" s="31">
        <f t="shared" si="59"/>
        <v>6.4165217391304346</v>
      </c>
    </row>
    <row r="116" spans="1:13" ht="12.75">
      <c r="A116" s="13" t="s">
        <v>230</v>
      </c>
      <c r="B116" s="93"/>
      <c r="C116" s="94" t="e">
        <f aca="true" t="shared" si="60" ref="C116:M116">C17+C38+C61+C96</f>
        <v>#REF!</v>
      </c>
      <c r="D116" s="94" t="e">
        <f t="shared" si="60"/>
        <v>#REF!</v>
      </c>
      <c r="E116" s="94" t="e">
        <f t="shared" si="60"/>
        <v>#REF!</v>
      </c>
      <c r="F116" s="94" t="e">
        <f t="shared" si="60"/>
        <v>#REF!</v>
      </c>
      <c r="G116" s="94" t="e">
        <f t="shared" si="60"/>
        <v>#REF!</v>
      </c>
      <c r="H116" s="30" t="e">
        <f t="shared" si="60"/>
        <v>#REF!</v>
      </c>
      <c r="I116" s="30">
        <f t="shared" si="60"/>
        <v>50.714285714285715</v>
      </c>
      <c r="J116" s="30">
        <f t="shared" si="60"/>
        <v>48</v>
      </c>
      <c r="K116" s="30">
        <f t="shared" si="60"/>
        <v>48</v>
      </c>
      <c r="L116" s="30">
        <f t="shared" si="60"/>
        <v>48</v>
      </c>
      <c r="M116" s="31">
        <f t="shared" si="60"/>
        <v>48</v>
      </c>
    </row>
    <row r="117" spans="1:13" ht="12.75">
      <c r="A117" s="13" t="s">
        <v>38</v>
      </c>
      <c r="B117" s="93"/>
      <c r="C117" s="94" t="e">
        <f aca="true" t="shared" si="61" ref="C117:M117">C18+C39+C62+C97</f>
        <v>#REF!</v>
      </c>
      <c r="D117" s="94" t="e">
        <f t="shared" si="61"/>
        <v>#REF!</v>
      </c>
      <c r="E117" s="94" t="e">
        <f t="shared" si="61"/>
        <v>#REF!</v>
      </c>
      <c r="F117" s="94" t="e">
        <f t="shared" si="61"/>
        <v>#REF!</v>
      </c>
      <c r="G117" s="94" t="e">
        <f t="shared" si="61"/>
        <v>#REF!</v>
      </c>
      <c r="H117" s="30" t="e">
        <f t="shared" si="61"/>
        <v>#REF!</v>
      </c>
      <c r="I117" s="30">
        <f t="shared" si="61"/>
        <v>2.5</v>
      </c>
      <c r="J117" s="30">
        <f t="shared" si="61"/>
        <v>2.5</v>
      </c>
      <c r="K117" s="30">
        <f t="shared" si="61"/>
        <v>2.5</v>
      </c>
      <c r="L117" s="30">
        <f t="shared" si="61"/>
        <v>2.5</v>
      </c>
      <c r="M117" s="31">
        <f t="shared" si="61"/>
        <v>2.5</v>
      </c>
    </row>
    <row r="118" spans="1:13" ht="12.75">
      <c r="A118" s="13"/>
      <c r="B118" s="93"/>
      <c r="C118" s="93"/>
      <c r="D118" s="92"/>
      <c r="E118" s="92"/>
      <c r="F118" s="92"/>
      <c r="G118" s="92"/>
      <c r="H118" s="21"/>
      <c r="I118" s="21"/>
      <c r="J118" s="21"/>
      <c r="K118" s="21"/>
      <c r="L118" s="21"/>
      <c r="M118" s="27"/>
    </row>
    <row r="119" spans="1:13" ht="13.5" thickBot="1">
      <c r="A119" s="95" t="s">
        <v>39</v>
      </c>
      <c r="B119" s="96"/>
      <c r="C119" s="97" t="e">
        <f aca="true" t="shared" si="62" ref="C119:M119">SUM(C109:C117)</f>
        <v>#REF!</v>
      </c>
      <c r="D119" s="97" t="e">
        <f t="shared" si="62"/>
        <v>#REF!</v>
      </c>
      <c r="E119" s="97" t="e">
        <f t="shared" si="62"/>
        <v>#REF!</v>
      </c>
      <c r="F119" s="97" t="e">
        <f t="shared" si="62"/>
        <v>#REF!</v>
      </c>
      <c r="G119" s="97" t="e">
        <f t="shared" si="62"/>
        <v>#REF!</v>
      </c>
      <c r="H119" s="32" t="e">
        <f t="shared" si="62"/>
        <v>#REF!</v>
      </c>
      <c r="I119" s="32">
        <f t="shared" si="62"/>
        <v>101.5945652173913</v>
      </c>
      <c r="J119" s="32">
        <f t="shared" si="62"/>
        <v>100.67956521739131</v>
      </c>
      <c r="K119" s="32">
        <f t="shared" si="62"/>
        <v>100.67956521739131</v>
      </c>
      <c r="L119" s="32">
        <f t="shared" si="62"/>
        <v>100.67956521739131</v>
      </c>
      <c r="M119" s="33">
        <f t="shared" si="62"/>
        <v>100.67956521739131</v>
      </c>
    </row>
  </sheetData>
  <printOptions gridLines="1"/>
  <pageMargins left="0.75" right="0.75" top="1" bottom="1" header="0.5" footer="0.5"/>
  <pageSetup fitToHeight="0" fitToWidth="1" horizontalDpi="600" verticalDpi="600" orientation="portrait" scale="78" r:id="rId1"/>
  <headerFooter alignWithMargins="0">
    <oddHeader>&amp;L&amp;f &amp;d
</oddHeader>
  </headerFooter>
  <rowBreaks count="1" manualBreakCount="1">
    <brk id="64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331"/>
  <sheetViews>
    <sheetView tabSelected="1" zoomScale="50" zoomScaleNormal="50" workbookViewId="0" topLeftCell="A1">
      <pane ySplit="795" topLeftCell="BM202" activePane="bottomLeft" state="split"/>
      <selection pane="topLeft" activeCell="A1" sqref="A1"/>
      <selection pane="bottomLeft" activeCell="C228" activeCellId="5" sqref="A3:S50 A52:S76 A78:S136 A138:S180 A181:S226 C228:X273"/>
    </sheetView>
  </sheetViews>
  <sheetFormatPr defaultColWidth="9.140625" defaultRowHeight="12.75"/>
  <cols>
    <col min="1" max="1" width="11.8515625" style="0" customWidth="1"/>
    <col min="2" max="2" width="12.57421875" style="0" customWidth="1"/>
    <col min="3" max="3" width="33.8515625" style="0" customWidth="1"/>
    <col min="4" max="4" width="2.00390625" style="0" customWidth="1"/>
    <col min="5" max="9" width="5.8515625" style="83" customWidth="1"/>
    <col min="10" max="19" width="8.140625" style="0" customWidth="1"/>
  </cols>
  <sheetData>
    <row r="1" spans="3:15" ht="23.25">
      <c r="C1" s="69" t="s">
        <v>211</v>
      </c>
      <c r="D1" s="69"/>
      <c r="E1" s="70"/>
      <c r="F1" s="70"/>
      <c r="G1" s="70"/>
      <c r="H1" s="70"/>
      <c r="I1" s="70"/>
      <c r="J1" s="69"/>
      <c r="K1" s="69"/>
      <c r="L1" s="69"/>
      <c r="M1" s="69"/>
      <c r="N1" s="69"/>
      <c r="O1" s="69"/>
    </row>
    <row r="2" spans="1:19" s="71" customFormat="1" ht="39">
      <c r="A2" s="71" t="s">
        <v>208</v>
      </c>
      <c r="B2" s="71" t="s">
        <v>207</v>
      </c>
      <c r="C2" s="71" t="s">
        <v>209</v>
      </c>
      <c r="E2" s="72" t="s">
        <v>210</v>
      </c>
      <c r="F2" s="72" t="s">
        <v>62</v>
      </c>
      <c r="G2" s="72" t="s">
        <v>63</v>
      </c>
      <c r="H2" s="72" t="s">
        <v>64</v>
      </c>
      <c r="I2" s="72" t="s">
        <v>65</v>
      </c>
      <c r="J2" s="71" t="s">
        <v>66</v>
      </c>
      <c r="K2" s="71" t="s">
        <v>67</v>
      </c>
      <c r="L2" s="71" t="s">
        <v>68</v>
      </c>
      <c r="M2" s="71" t="s">
        <v>69</v>
      </c>
      <c r="N2" s="71" t="s">
        <v>70</v>
      </c>
      <c r="O2" s="71" t="s">
        <v>71</v>
      </c>
      <c r="P2" s="71" t="s">
        <v>72</v>
      </c>
      <c r="Q2" s="71" t="s">
        <v>73</v>
      </c>
      <c r="R2" s="71" t="s">
        <v>74</v>
      </c>
      <c r="S2" s="71" t="s">
        <v>75</v>
      </c>
    </row>
    <row r="3" spans="1:10" ht="12.75">
      <c r="A3" t="s">
        <v>51</v>
      </c>
      <c r="B3" t="s">
        <v>82</v>
      </c>
      <c r="C3" t="s">
        <v>131</v>
      </c>
      <c r="D3" s="65" t="s">
        <v>169</v>
      </c>
      <c r="E3" s="73"/>
      <c r="F3" s="73"/>
      <c r="G3" s="73"/>
      <c r="H3" s="73"/>
      <c r="I3" s="73"/>
      <c r="J3">
        <v>0.8</v>
      </c>
    </row>
    <row r="4" spans="1:10" ht="12.75">
      <c r="A4" t="s">
        <v>51</v>
      </c>
      <c r="B4" t="s">
        <v>82</v>
      </c>
      <c r="C4" t="s">
        <v>130</v>
      </c>
      <c r="D4" s="65" t="s">
        <v>169</v>
      </c>
      <c r="E4" s="73"/>
      <c r="F4" s="73"/>
      <c r="G4" s="73"/>
      <c r="H4" s="73"/>
      <c r="I4" s="73"/>
      <c r="J4">
        <v>0.3</v>
      </c>
    </row>
    <row r="5" spans="1:13" ht="12.75">
      <c r="A5" t="s">
        <v>51</v>
      </c>
      <c r="B5" t="s">
        <v>82</v>
      </c>
      <c r="C5" t="s">
        <v>125</v>
      </c>
      <c r="D5" s="65" t="s">
        <v>169</v>
      </c>
      <c r="E5" s="73"/>
      <c r="F5" s="73"/>
      <c r="G5" s="73"/>
      <c r="H5" s="73"/>
      <c r="I5" s="73"/>
      <c r="J5">
        <v>0.4</v>
      </c>
      <c r="K5">
        <v>0.4</v>
      </c>
      <c r="L5">
        <v>0.4</v>
      </c>
      <c r="M5">
        <v>0.4</v>
      </c>
    </row>
    <row r="6" spans="1:14" ht="12.75">
      <c r="A6" t="s">
        <v>51</v>
      </c>
      <c r="B6" t="s">
        <v>82</v>
      </c>
      <c r="C6" t="s">
        <v>168</v>
      </c>
      <c r="D6" s="65" t="s">
        <v>169</v>
      </c>
      <c r="E6" s="73"/>
      <c r="F6" s="73"/>
      <c r="G6" s="73"/>
      <c r="H6" s="73"/>
      <c r="I6" s="73"/>
      <c r="K6">
        <v>0.1</v>
      </c>
      <c r="L6">
        <v>0.1</v>
      </c>
      <c r="M6">
        <v>0.1</v>
      </c>
      <c r="N6">
        <v>0.1</v>
      </c>
    </row>
    <row r="7" spans="3:14" ht="12.75">
      <c r="C7" s="74" t="s">
        <v>179</v>
      </c>
      <c r="D7" s="65" t="s">
        <v>169</v>
      </c>
      <c r="E7" s="73"/>
      <c r="F7" s="73"/>
      <c r="G7" s="73"/>
      <c r="H7" s="73"/>
      <c r="I7" s="73"/>
      <c r="J7" s="65">
        <f>SUM(J3:J6)</f>
        <v>1.5</v>
      </c>
      <c r="K7" s="65">
        <f>SUM(K3:K6)</f>
        <v>0.5</v>
      </c>
      <c r="L7" s="65">
        <f>SUM(L3:L6)</f>
        <v>0.5</v>
      </c>
      <c r="M7" s="65">
        <f>SUM(M3:M6)</f>
        <v>0.5</v>
      </c>
      <c r="N7" s="65">
        <f>SUM(N3:N6)</f>
        <v>0.1</v>
      </c>
    </row>
    <row r="8" spans="3:14" ht="12.75">
      <c r="C8" s="74"/>
      <c r="D8" s="65"/>
      <c r="E8" s="73"/>
      <c r="F8" s="73"/>
      <c r="G8" s="73"/>
      <c r="H8" s="370"/>
      <c r="I8" s="373" t="s">
        <v>242</v>
      </c>
      <c r="J8" s="372">
        <v>0.63</v>
      </c>
      <c r="K8" s="383">
        <v>0</v>
      </c>
      <c r="L8" s="65"/>
      <c r="M8" s="65"/>
      <c r="N8" s="65"/>
    </row>
    <row r="9" spans="1:12" ht="12.75">
      <c r="A9" t="s">
        <v>51</v>
      </c>
      <c r="B9" t="s">
        <v>90</v>
      </c>
      <c r="C9" t="s">
        <v>125</v>
      </c>
      <c r="D9" s="65" t="s">
        <v>169</v>
      </c>
      <c r="E9" s="73"/>
      <c r="F9" s="73"/>
      <c r="G9" s="73"/>
      <c r="H9" s="73"/>
      <c r="I9" s="73"/>
      <c r="J9">
        <v>0.1</v>
      </c>
      <c r="K9">
        <v>0.1</v>
      </c>
      <c r="L9">
        <v>0.1</v>
      </c>
    </row>
    <row r="10" spans="1:14" ht="12.75">
      <c r="A10" t="s">
        <v>51</v>
      </c>
      <c r="B10" t="s">
        <v>90</v>
      </c>
      <c r="C10" t="s">
        <v>168</v>
      </c>
      <c r="D10" s="65" t="s">
        <v>169</v>
      </c>
      <c r="E10" s="73"/>
      <c r="F10" s="73"/>
      <c r="G10" s="73"/>
      <c r="H10" s="73"/>
      <c r="I10" s="73"/>
      <c r="K10">
        <v>0.1</v>
      </c>
      <c r="L10">
        <v>0.1</v>
      </c>
      <c r="M10">
        <v>0.1</v>
      </c>
      <c r="N10">
        <v>0.1</v>
      </c>
    </row>
    <row r="11" spans="3:14" ht="12.75">
      <c r="C11" s="74" t="s">
        <v>180</v>
      </c>
      <c r="D11" s="65" t="s">
        <v>169</v>
      </c>
      <c r="E11" s="73"/>
      <c r="F11" s="73"/>
      <c r="G11" s="73"/>
      <c r="H11" s="73"/>
      <c r="I11" s="73"/>
      <c r="J11" s="65">
        <f>SUM(J9:J10)</f>
        <v>0.1</v>
      </c>
      <c r="K11" s="65">
        <f>SUM(K9:K10)</f>
        <v>0.2</v>
      </c>
      <c r="L11" s="65">
        <f>SUM(L9:L10)</f>
        <v>0.2</v>
      </c>
      <c r="M11" s="65">
        <f>SUM(M9:M10)</f>
        <v>0.1</v>
      </c>
      <c r="N11" s="65">
        <f>SUM(N9:N10)</f>
        <v>0.1</v>
      </c>
    </row>
    <row r="12" spans="3:14" ht="12.75">
      <c r="C12" s="74"/>
      <c r="D12" s="65"/>
      <c r="E12" s="73"/>
      <c r="F12" s="73"/>
      <c r="G12" s="73"/>
      <c r="H12" s="370"/>
      <c r="I12" s="373" t="s">
        <v>242</v>
      </c>
      <c r="J12" s="372">
        <v>0.51</v>
      </c>
      <c r="K12" s="383">
        <v>0</v>
      </c>
      <c r="L12" s="65"/>
      <c r="M12" s="65"/>
      <c r="N12" s="65"/>
    </row>
    <row r="13" spans="1:10" ht="12.75">
      <c r="A13" t="s">
        <v>51</v>
      </c>
      <c r="B13" t="s">
        <v>91</v>
      </c>
      <c r="C13" t="s">
        <v>144</v>
      </c>
      <c r="D13" s="65" t="s">
        <v>169</v>
      </c>
      <c r="E13" s="73"/>
      <c r="F13" s="73"/>
      <c r="G13" s="73"/>
      <c r="H13" s="73"/>
      <c r="I13" s="73"/>
      <c r="J13">
        <v>0.6</v>
      </c>
    </row>
    <row r="14" spans="1:11" ht="12.75">
      <c r="A14" t="s">
        <v>51</v>
      </c>
      <c r="B14" t="s">
        <v>91</v>
      </c>
      <c r="C14" t="s">
        <v>131</v>
      </c>
      <c r="D14" s="65" t="s">
        <v>169</v>
      </c>
      <c r="E14" s="73"/>
      <c r="F14" s="73"/>
      <c r="G14" s="73"/>
      <c r="H14" s="73"/>
      <c r="I14" s="73"/>
      <c r="J14">
        <v>0.2</v>
      </c>
      <c r="K14">
        <v>0.1</v>
      </c>
    </row>
    <row r="15" spans="1:14" ht="12.75">
      <c r="A15" t="s">
        <v>51</v>
      </c>
      <c r="B15" t="s">
        <v>91</v>
      </c>
      <c r="C15" t="s">
        <v>76</v>
      </c>
      <c r="D15" s="65" t="s">
        <v>169</v>
      </c>
      <c r="E15" s="73"/>
      <c r="F15" s="73"/>
      <c r="G15" s="73"/>
      <c r="H15" s="73"/>
      <c r="I15" s="73"/>
      <c r="J15">
        <v>0.3</v>
      </c>
      <c r="K15">
        <v>0.5</v>
      </c>
      <c r="L15">
        <v>0.4</v>
      </c>
      <c r="M15">
        <v>0.4</v>
      </c>
      <c r="N15">
        <v>0.2</v>
      </c>
    </row>
    <row r="16" spans="3:14" ht="12.75">
      <c r="C16" s="74" t="s">
        <v>181</v>
      </c>
      <c r="D16" s="65" t="s">
        <v>169</v>
      </c>
      <c r="E16" s="73"/>
      <c r="F16" s="73"/>
      <c r="G16" s="73"/>
      <c r="H16" s="73"/>
      <c r="I16" s="73"/>
      <c r="J16" s="65">
        <f>SUM(J13:J15)</f>
        <v>1.1</v>
      </c>
      <c r="K16" s="65">
        <f>SUM(K13:K15)</f>
        <v>0.6</v>
      </c>
      <c r="L16" s="65">
        <f>SUM(L13:L15)</f>
        <v>0.4</v>
      </c>
      <c r="M16" s="65">
        <f>SUM(M13:M15)</f>
        <v>0.4</v>
      </c>
      <c r="N16" s="65">
        <f>SUM(N13:N15)</f>
        <v>0.2</v>
      </c>
    </row>
    <row r="17" spans="3:14" ht="12.75">
      <c r="C17" s="74"/>
      <c r="D17" s="65"/>
      <c r="E17" s="73"/>
      <c r="F17" s="73"/>
      <c r="G17" s="73"/>
      <c r="H17" s="370"/>
      <c r="I17" s="373" t="s">
        <v>242</v>
      </c>
      <c r="J17" s="372">
        <v>0.13</v>
      </c>
      <c r="K17" s="383">
        <v>0</v>
      </c>
      <c r="L17" s="65"/>
      <c r="M17" s="65"/>
      <c r="N17" s="65"/>
    </row>
    <row r="18" spans="1:10" ht="12.75">
      <c r="A18" t="s">
        <v>51</v>
      </c>
      <c r="B18" t="s">
        <v>92</v>
      </c>
      <c r="C18" t="s">
        <v>145</v>
      </c>
      <c r="D18" s="65" t="s">
        <v>169</v>
      </c>
      <c r="E18" s="73"/>
      <c r="F18" s="73"/>
      <c r="G18" s="73"/>
      <c r="H18" s="73"/>
      <c r="I18" s="73"/>
      <c r="J18">
        <v>0.3</v>
      </c>
    </row>
    <row r="19" spans="1:14" ht="12.75">
      <c r="A19" t="s">
        <v>51</v>
      </c>
      <c r="B19" t="s">
        <v>92</v>
      </c>
      <c r="C19" t="s">
        <v>167</v>
      </c>
      <c r="D19" s="65" t="s">
        <v>169</v>
      </c>
      <c r="E19" s="73"/>
      <c r="F19" s="73"/>
      <c r="G19" s="73"/>
      <c r="H19" s="73"/>
      <c r="I19" s="73"/>
      <c r="K19">
        <v>0.1</v>
      </c>
      <c r="L19">
        <v>0.1</v>
      </c>
      <c r="M19">
        <v>0.1</v>
      </c>
      <c r="N19">
        <v>0.1</v>
      </c>
    </row>
    <row r="20" spans="3:14" ht="12.75">
      <c r="C20" s="74" t="s">
        <v>182</v>
      </c>
      <c r="D20" s="65" t="s">
        <v>169</v>
      </c>
      <c r="E20" s="73"/>
      <c r="F20" s="73"/>
      <c r="G20" s="73"/>
      <c r="H20" s="73"/>
      <c r="I20" s="73"/>
      <c r="J20" s="65">
        <f>SUM(J18:J19)</f>
        <v>0.3</v>
      </c>
      <c r="K20" s="65">
        <f>SUM(K18:K19)</f>
        <v>0.1</v>
      </c>
      <c r="L20" s="65">
        <f>SUM(L18:L19)</f>
        <v>0.1</v>
      </c>
      <c r="M20" s="65">
        <f>SUM(M18:M19)</f>
        <v>0.1</v>
      </c>
      <c r="N20" s="65">
        <f>SUM(N18:N19)</f>
        <v>0.1</v>
      </c>
    </row>
    <row r="21" spans="3:14" ht="12.75">
      <c r="C21" s="74"/>
      <c r="D21" s="65" t="s">
        <v>169</v>
      </c>
      <c r="E21" s="73"/>
      <c r="F21" s="73"/>
      <c r="G21" s="73"/>
      <c r="H21" s="370"/>
      <c r="I21" s="373" t="s">
        <v>242</v>
      </c>
      <c r="J21" s="372">
        <v>0.6</v>
      </c>
      <c r="K21" s="383">
        <v>0</v>
      </c>
      <c r="L21" s="65"/>
      <c r="M21" s="65"/>
      <c r="N21" s="65"/>
    </row>
    <row r="22" spans="1:19" ht="12.75">
      <c r="A22" t="s">
        <v>51</v>
      </c>
      <c r="B22" t="s">
        <v>94</v>
      </c>
      <c r="C22" s="65" t="s">
        <v>165</v>
      </c>
      <c r="D22" s="65" t="s">
        <v>169</v>
      </c>
      <c r="E22" s="73"/>
      <c r="F22" s="73"/>
      <c r="G22" s="73"/>
      <c r="H22" s="73"/>
      <c r="I22" s="73"/>
      <c r="J22" s="65">
        <v>0.4</v>
      </c>
      <c r="K22" s="65">
        <v>0.5</v>
      </c>
      <c r="L22" s="65">
        <v>0.4</v>
      </c>
      <c r="M22" s="65">
        <v>0.4</v>
      </c>
      <c r="N22" s="65">
        <v>0.1</v>
      </c>
      <c r="O22" s="65">
        <v>0.1</v>
      </c>
      <c r="P22" s="65">
        <v>0.1</v>
      </c>
      <c r="Q22" s="65">
        <v>0.1</v>
      </c>
      <c r="R22" s="65">
        <v>0.1</v>
      </c>
      <c r="S22" s="65">
        <v>0.1</v>
      </c>
    </row>
    <row r="23" spans="4:11" ht="12.75">
      <c r="D23" s="65" t="s">
        <v>169</v>
      </c>
      <c r="E23" s="73"/>
      <c r="F23" s="73"/>
      <c r="G23" s="73"/>
      <c r="H23" s="370"/>
      <c r="I23" s="373" t="s">
        <v>242</v>
      </c>
      <c r="J23" s="372">
        <v>0.1</v>
      </c>
      <c r="K23" s="383">
        <v>0</v>
      </c>
    </row>
    <row r="24" spans="1:19" ht="12.75">
      <c r="A24" t="s">
        <v>51</v>
      </c>
      <c r="B24" t="s">
        <v>96</v>
      </c>
      <c r="C24" s="65" t="s">
        <v>165</v>
      </c>
      <c r="D24" s="65" t="s">
        <v>169</v>
      </c>
      <c r="E24" s="73"/>
      <c r="F24" s="73"/>
      <c r="G24" s="73"/>
      <c r="H24" s="73"/>
      <c r="I24" s="73"/>
      <c r="J24" s="65">
        <v>0.1</v>
      </c>
      <c r="K24" s="65">
        <v>0.1</v>
      </c>
      <c r="L24" s="65">
        <v>0.1</v>
      </c>
      <c r="M24" s="65">
        <v>0.1</v>
      </c>
      <c r="N24" s="65">
        <v>0.1</v>
      </c>
      <c r="O24" s="65">
        <v>0</v>
      </c>
      <c r="P24" s="65">
        <v>0</v>
      </c>
      <c r="Q24" s="65">
        <v>0</v>
      </c>
      <c r="R24" s="65">
        <v>0</v>
      </c>
      <c r="S24" s="65">
        <v>0.1</v>
      </c>
    </row>
    <row r="25" spans="4:11" ht="12.75">
      <c r="D25" s="65" t="s">
        <v>169</v>
      </c>
      <c r="E25" s="73"/>
      <c r="F25" s="73"/>
      <c r="G25" s="73"/>
      <c r="H25" s="370"/>
      <c r="I25" s="373" t="s">
        <v>242</v>
      </c>
      <c r="J25" s="372">
        <v>0.14</v>
      </c>
      <c r="K25" s="383">
        <v>0</v>
      </c>
    </row>
    <row r="26" spans="1:10" ht="12.75">
      <c r="A26" t="s">
        <v>51</v>
      </c>
      <c r="B26" t="s">
        <v>97</v>
      </c>
      <c r="C26" s="65" t="s">
        <v>145</v>
      </c>
      <c r="D26" s="65" t="s">
        <v>169</v>
      </c>
      <c r="E26" s="73"/>
      <c r="F26" s="73"/>
      <c r="G26" s="73"/>
      <c r="H26" s="73"/>
      <c r="I26" s="73"/>
      <c r="J26" s="65">
        <v>0.3</v>
      </c>
    </row>
    <row r="27" spans="4:11" ht="12.75">
      <c r="D27" s="65" t="s">
        <v>169</v>
      </c>
      <c r="E27" s="73"/>
      <c r="F27" s="73"/>
      <c r="G27" s="73"/>
      <c r="H27" s="370"/>
      <c r="I27" s="373" t="s">
        <v>242</v>
      </c>
      <c r="J27" s="372">
        <v>0.53</v>
      </c>
      <c r="K27" s="383">
        <v>0</v>
      </c>
    </row>
    <row r="28" spans="1:10" ht="12.75">
      <c r="A28" t="s">
        <v>51</v>
      </c>
      <c r="B28" t="s">
        <v>103</v>
      </c>
      <c r="C28" t="s">
        <v>144</v>
      </c>
      <c r="D28" s="65" t="s">
        <v>169</v>
      </c>
      <c r="E28" s="73"/>
      <c r="F28" s="73"/>
      <c r="G28" s="73"/>
      <c r="H28" s="73"/>
      <c r="I28" s="73"/>
      <c r="J28">
        <v>0.5</v>
      </c>
    </row>
    <row r="29" spans="1:13" ht="12.75">
      <c r="A29" t="s">
        <v>51</v>
      </c>
      <c r="B29" t="s">
        <v>103</v>
      </c>
      <c r="C29" t="s">
        <v>125</v>
      </c>
      <c r="D29" s="65" t="s">
        <v>169</v>
      </c>
      <c r="E29" s="73"/>
      <c r="F29" s="73"/>
      <c r="G29" s="73"/>
      <c r="H29" s="73"/>
      <c r="I29" s="73"/>
      <c r="J29">
        <v>0.3</v>
      </c>
      <c r="K29">
        <v>0.3</v>
      </c>
      <c r="L29">
        <v>0.3</v>
      </c>
      <c r="M29">
        <v>0.2</v>
      </c>
    </row>
    <row r="30" spans="3:13" ht="12.75">
      <c r="C30" s="74" t="s">
        <v>183</v>
      </c>
      <c r="D30" s="65" t="s">
        <v>169</v>
      </c>
      <c r="E30" s="73"/>
      <c r="F30" s="73"/>
      <c r="G30" s="73"/>
      <c r="H30" s="73"/>
      <c r="I30" s="73"/>
      <c r="J30" s="65">
        <f>SUM(J28:J29)</f>
        <v>0.8</v>
      </c>
      <c r="K30" s="65">
        <f>SUM(K28:K29)</f>
        <v>0.3</v>
      </c>
      <c r="L30" s="65">
        <f>SUM(L28:L29)</f>
        <v>0.3</v>
      </c>
      <c r="M30" s="65">
        <f>SUM(M28:M29)</f>
        <v>0.2</v>
      </c>
    </row>
    <row r="31" spans="3:13" ht="12.75">
      <c r="C31" s="74"/>
      <c r="D31" s="65"/>
      <c r="E31" s="73"/>
      <c r="F31" s="73"/>
      <c r="G31" s="73"/>
      <c r="H31" s="370"/>
      <c r="I31" s="373" t="s">
        <v>242</v>
      </c>
      <c r="J31" s="372">
        <v>0.72</v>
      </c>
      <c r="K31" s="383">
        <v>0</v>
      </c>
      <c r="L31" s="65"/>
      <c r="M31" s="65"/>
    </row>
    <row r="32" spans="1:10" ht="12.75">
      <c r="A32" t="s">
        <v>51</v>
      </c>
      <c r="B32" t="s">
        <v>104</v>
      </c>
      <c r="C32" t="s">
        <v>145</v>
      </c>
      <c r="D32" s="65" t="s">
        <v>169</v>
      </c>
      <c r="E32" s="73"/>
      <c r="F32" s="73"/>
      <c r="G32" s="73"/>
      <c r="H32" s="73"/>
      <c r="I32" s="73"/>
      <c r="J32">
        <v>0.8</v>
      </c>
    </row>
    <row r="33" spans="1:13" ht="12.75">
      <c r="A33" t="s">
        <v>51</v>
      </c>
      <c r="B33" t="s">
        <v>104</v>
      </c>
      <c r="C33" t="s">
        <v>135</v>
      </c>
      <c r="D33" s="65" t="s">
        <v>169</v>
      </c>
      <c r="E33" s="73"/>
      <c r="F33" s="73"/>
      <c r="G33" s="73"/>
      <c r="H33" s="73"/>
      <c r="I33" s="73"/>
      <c r="J33">
        <v>0.2</v>
      </c>
      <c r="K33">
        <v>0.2</v>
      </c>
      <c r="L33">
        <v>0.2</v>
      </c>
      <c r="M33">
        <v>0.2</v>
      </c>
    </row>
    <row r="34" spans="1:13" ht="12.75">
      <c r="A34" t="s">
        <v>51</v>
      </c>
      <c r="B34" t="s">
        <v>104</v>
      </c>
      <c r="C34" t="s">
        <v>125</v>
      </c>
      <c r="D34" s="65" t="s">
        <v>169</v>
      </c>
      <c r="E34" s="73"/>
      <c r="F34" s="73"/>
      <c r="G34" s="73"/>
      <c r="H34" s="73"/>
      <c r="I34" s="73"/>
      <c r="J34">
        <v>0.3</v>
      </c>
      <c r="K34">
        <v>0.3</v>
      </c>
      <c r="L34">
        <v>0.3</v>
      </c>
      <c r="M34">
        <v>0.3</v>
      </c>
    </row>
    <row r="35" spans="3:13" ht="12.75">
      <c r="C35" s="74" t="s">
        <v>184</v>
      </c>
      <c r="D35" s="65" t="s">
        <v>169</v>
      </c>
      <c r="E35" s="73"/>
      <c r="F35" s="73"/>
      <c r="G35" s="73"/>
      <c r="H35" s="73"/>
      <c r="I35" s="73"/>
      <c r="J35" s="65">
        <f>SUM(J32:J34)</f>
        <v>1.3</v>
      </c>
      <c r="K35" s="65">
        <f>SUM(K32:K34)</f>
        <v>0.5</v>
      </c>
      <c r="L35" s="65">
        <f>SUM(L32:L34)</f>
        <v>0.5</v>
      </c>
      <c r="M35" s="65">
        <f>SUM(M32:M34)</f>
        <v>0.5</v>
      </c>
    </row>
    <row r="36" spans="3:11" ht="12.75">
      <c r="C36" s="74"/>
      <c r="D36" s="65" t="s">
        <v>169</v>
      </c>
      <c r="E36" s="73"/>
      <c r="F36" s="73"/>
      <c r="G36" s="73"/>
      <c r="H36" s="370"/>
      <c r="I36" s="373" t="s">
        <v>242</v>
      </c>
      <c r="J36" s="372">
        <v>1</v>
      </c>
      <c r="K36" s="383">
        <v>0</v>
      </c>
    </row>
    <row r="37" spans="1:13" ht="12.75">
      <c r="A37" t="s">
        <v>51</v>
      </c>
      <c r="B37" t="s">
        <v>106</v>
      </c>
      <c r="C37" s="65" t="s">
        <v>146</v>
      </c>
      <c r="D37" s="65" t="s">
        <v>169</v>
      </c>
      <c r="E37" s="73"/>
      <c r="F37" s="73"/>
      <c r="G37" s="73"/>
      <c r="H37" s="73"/>
      <c r="I37" s="73"/>
      <c r="J37" s="65">
        <v>0.3</v>
      </c>
      <c r="K37" s="65">
        <v>0.3</v>
      </c>
      <c r="L37" s="65">
        <v>0.3</v>
      </c>
      <c r="M37" s="65">
        <v>0.3</v>
      </c>
    </row>
    <row r="38" spans="4:13" ht="12.75">
      <c r="D38" s="65" t="s">
        <v>169</v>
      </c>
      <c r="E38" s="73"/>
      <c r="F38" s="73"/>
      <c r="G38" s="73"/>
      <c r="H38" s="370"/>
      <c r="I38" s="373" t="s">
        <v>242</v>
      </c>
      <c r="J38" s="372">
        <v>0.23</v>
      </c>
      <c r="K38" s="383">
        <v>0</v>
      </c>
      <c r="L38" s="65"/>
      <c r="M38" s="65"/>
    </row>
    <row r="39" spans="1:13" ht="12.75">
      <c r="A39" t="s">
        <v>51</v>
      </c>
      <c r="B39" t="s">
        <v>107</v>
      </c>
      <c r="C39" s="65" t="s">
        <v>131</v>
      </c>
      <c r="D39" s="65" t="s">
        <v>169</v>
      </c>
      <c r="E39" s="73"/>
      <c r="F39" s="73"/>
      <c r="G39" s="73"/>
      <c r="H39" s="73"/>
      <c r="I39" s="73"/>
      <c r="J39" s="65">
        <v>0.5</v>
      </c>
      <c r="K39" s="65">
        <v>0.3</v>
      </c>
      <c r="L39" s="65"/>
      <c r="M39" s="65"/>
    </row>
    <row r="40" spans="4:13" ht="12.75">
      <c r="D40" s="65" t="s">
        <v>169</v>
      </c>
      <c r="E40" s="73"/>
      <c r="F40" s="73"/>
      <c r="G40" s="73"/>
      <c r="H40" s="370"/>
      <c r="I40" s="373" t="s">
        <v>242</v>
      </c>
      <c r="J40" s="372">
        <v>0.54</v>
      </c>
      <c r="K40" s="383">
        <v>0</v>
      </c>
      <c r="L40" s="65"/>
      <c r="M40" s="65"/>
    </row>
    <row r="41" spans="1:13" ht="12.75">
      <c r="A41" t="s">
        <v>51</v>
      </c>
      <c r="B41" t="s">
        <v>149</v>
      </c>
      <c r="C41" s="65" t="s">
        <v>125</v>
      </c>
      <c r="D41" s="65" t="s">
        <v>169</v>
      </c>
      <c r="E41" s="73"/>
      <c r="F41" s="73"/>
      <c r="G41" s="73"/>
      <c r="H41" s="73"/>
      <c r="I41" s="73"/>
      <c r="J41" s="65">
        <v>0.1</v>
      </c>
      <c r="K41" s="65">
        <v>0.1</v>
      </c>
      <c r="L41" s="65">
        <v>0.1</v>
      </c>
      <c r="M41" s="65">
        <v>0.1</v>
      </c>
    </row>
    <row r="42" spans="4:13" ht="12.75">
      <c r="D42" s="65" t="s">
        <v>169</v>
      </c>
      <c r="E42" s="73"/>
      <c r="F42" s="73"/>
      <c r="G42" s="73"/>
      <c r="H42" s="370"/>
      <c r="I42" s="373" t="s">
        <v>242</v>
      </c>
      <c r="J42" s="372">
        <v>0.01</v>
      </c>
      <c r="K42" s="383">
        <v>0</v>
      </c>
      <c r="L42" s="65"/>
      <c r="M42" s="65"/>
    </row>
    <row r="43" spans="1:13" ht="12.75">
      <c r="A43" t="s">
        <v>51</v>
      </c>
      <c r="B43" t="s">
        <v>110</v>
      </c>
      <c r="C43" s="65" t="s">
        <v>131</v>
      </c>
      <c r="D43" s="65" t="s">
        <v>169</v>
      </c>
      <c r="E43" s="73"/>
      <c r="F43" s="73"/>
      <c r="G43" s="73"/>
      <c r="H43" s="73"/>
      <c r="I43" s="73"/>
      <c r="J43" s="65">
        <v>0.2</v>
      </c>
      <c r="K43" s="65">
        <v>0.1</v>
      </c>
      <c r="L43" s="65"/>
      <c r="M43" s="65"/>
    </row>
    <row r="44" spans="4:11" ht="12.75">
      <c r="D44" s="65" t="s">
        <v>169</v>
      </c>
      <c r="E44" s="73"/>
      <c r="F44" s="73"/>
      <c r="G44" s="73"/>
      <c r="H44" s="370"/>
      <c r="I44" s="373" t="s">
        <v>242</v>
      </c>
      <c r="J44" s="372">
        <v>1.3</v>
      </c>
      <c r="K44" s="383">
        <v>0</v>
      </c>
    </row>
    <row r="45" spans="1:10" ht="12.75">
      <c r="A45" t="s">
        <v>51</v>
      </c>
      <c r="B45" t="s">
        <v>123</v>
      </c>
      <c r="C45" t="s">
        <v>144</v>
      </c>
      <c r="D45" s="65" t="s">
        <v>169</v>
      </c>
      <c r="E45" s="73"/>
      <c r="F45" s="73"/>
      <c r="G45" s="73"/>
      <c r="H45" s="73"/>
      <c r="I45" s="73"/>
      <c r="J45">
        <v>0.4</v>
      </c>
    </row>
    <row r="46" spans="1:14" ht="12.75">
      <c r="A46" t="s">
        <v>51</v>
      </c>
      <c r="B46" t="s">
        <v>123</v>
      </c>
      <c r="C46" t="s">
        <v>168</v>
      </c>
      <c r="D46" s="65" t="s">
        <v>169</v>
      </c>
      <c r="E46" s="73"/>
      <c r="F46" s="73"/>
      <c r="G46" s="73"/>
      <c r="H46" s="73"/>
      <c r="I46" s="73"/>
      <c r="K46">
        <v>0.1</v>
      </c>
      <c r="L46">
        <v>0.1</v>
      </c>
      <c r="M46">
        <v>0.1</v>
      </c>
      <c r="N46">
        <v>0.1</v>
      </c>
    </row>
    <row r="47" spans="3:25" ht="12.75">
      <c r="C47" s="74" t="s">
        <v>185</v>
      </c>
      <c r="D47" s="65" t="s">
        <v>169</v>
      </c>
      <c r="E47" s="73"/>
      <c r="F47" s="73"/>
      <c r="G47" s="73"/>
      <c r="H47" s="73"/>
      <c r="I47" s="73"/>
      <c r="J47" s="65">
        <f>SUM(J45:J46)</f>
        <v>0.4</v>
      </c>
      <c r="K47" s="65">
        <f>SUM(K45:K46)</f>
        <v>0.1</v>
      </c>
      <c r="L47" s="65">
        <f>SUM(L45:L46)</f>
        <v>0.1</v>
      </c>
      <c r="M47" s="65">
        <f>SUM(M45:M46)</f>
        <v>0.1</v>
      </c>
      <c r="N47" s="65">
        <f>SUM(N45:N46)</f>
        <v>0.1</v>
      </c>
      <c r="Y47" s="4">
        <f>SUM(J49:M49)/4</f>
        <v>4.2250000000000005</v>
      </c>
    </row>
    <row r="48" spans="3:25" ht="12.75">
      <c r="C48" s="74"/>
      <c r="D48" s="65"/>
      <c r="E48" s="73"/>
      <c r="F48" s="73"/>
      <c r="G48" s="73"/>
      <c r="H48" s="370"/>
      <c r="I48" s="373" t="s">
        <v>242</v>
      </c>
      <c r="J48" s="372">
        <v>0.35</v>
      </c>
      <c r="K48" s="383">
        <v>0</v>
      </c>
      <c r="L48" s="65"/>
      <c r="M48" s="65"/>
      <c r="N48" s="65"/>
      <c r="Y48" s="4"/>
    </row>
    <row r="49" spans="3:19" ht="15.75">
      <c r="C49" s="75" t="s">
        <v>166</v>
      </c>
      <c r="D49" s="76" t="s">
        <v>169</v>
      </c>
      <c r="E49" s="73">
        <v>7.6</v>
      </c>
      <c r="F49" s="73">
        <v>8.1</v>
      </c>
      <c r="G49" s="73">
        <v>7.8</v>
      </c>
      <c r="H49" s="73">
        <v>11.1</v>
      </c>
      <c r="I49" s="73">
        <v>8.44</v>
      </c>
      <c r="J49" s="77">
        <f>SUM(J47,J43,J41,J39,J37,J35,J30,J26,J24,J22,J20,J16,J11,J7)</f>
        <v>7.4</v>
      </c>
      <c r="K49" s="77">
        <f aca="true" t="shared" si="0" ref="K49:S49">SUM(K47,K43,K41,K39,K37,K35,K30,K26,K24,K22,K20,K16,K11,K7)</f>
        <v>3.7000000000000006</v>
      </c>
      <c r="L49" s="77">
        <f t="shared" si="0"/>
        <v>3.0000000000000004</v>
      </c>
      <c r="M49" s="77">
        <f t="shared" si="0"/>
        <v>2.8000000000000003</v>
      </c>
      <c r="N49" s="77">
        <f t="shared" si="0"/>
        <v>0.8</v>
      </c>
      <c r="O49" s="77">
        <f t="shared" si="0"/>
        <v>0.1</v>
      </c>
      <c r="P49" s="77">
        <f t="shared" si="0"/>
        <v>0.1</v>
      </c>
      <c r="Q49" s="77">
        <f t="shared" si="0"/>
        <v>0.1</v>
      </c>
      <c r="R49" s="77">
        <f t="shared" si="0"/>
        <v>0.1</v>
      </c>
      <c r="S49" s="77">
        <f t="shared" si="0"/>
        <v>0.2</v>
      </c>
    </row>
    <row r="50" spans="3:19" ht="15.75">
      <c r="C50" s="75"/>
      <c r="D50" s="76"/>
      <c r="E50" s="73"/>
      <c r="F50" s="73"/>
      <c r="G50" s="73"/>
      <c r="H50" s="370"/>
      <c r="I50" s="375" t="s">
        <v>242</v>
      </c>
      <c r="J50" s="376">
        <f>SUM(J48,J44,J42,J40,J38,J36,J31,J27,J25,J23,J21,J17,J12,J8)</f>
        <v>6.789999999999999</v>
      </c>
      <c r="K50" s="376">
        <f>SUM(K48,K44,K42,K40,K38,K36,K31,K27,K25,K23,K21,K17,K12,K8)</f>
        <v>0</v>
      </c>
      <c r="L50" s="77"/>
      <c r="M50" s="77"/>
      <c r="N50" s="77"/>
      <c r="O50" s="77"/>
      <c r="P50" s="77"/>
      <c r="Q50" s="77"/>
      <c r="R50" s="77"/>
      <c r="S50" s="77"/>
    </row>
    <row r="51" spans="4:19" ht="12.75">
      <c r="D51" s="65" t="s">
        <v>169</v>
      </c>
      <c r="E51" s="73"/>
      <c r="F51" s="73"/>
      <c r="G51" s="73"/>
      <c r="H51" s="73"/>
      <c r="I51" s="73"/>
      <c r="J51" s="4">
        <f>+J49-J24-J22</f>
        <v>6.9</v>
      </c>
      <c r="K51" s="4">
        <f aca="true" t="shared" si="1" ref="K51:S51">+K49-K24-K22</f>
        <v>3.1000000000000005</v>
      </c>
      <c r="L51" s="4">
        <f t="shared" si="1"/>
        <v>2.5000000000000004</v>
      </c>
      <c r="M51" s="4">
        <f t="shared" si="1"/>
        <v>2.3000000000000003</v>
      </c>
      <c r="N51" s="4">
        <f t="shared" si="1"/>
        <v>0.6000000000000001</v>
      </c>
      <c r="O51" s="4">
        <f t="shared" si="1"/>
        <v>0</v>
      </c>
      <c r="P51" s="4">
        <f t="shared" si="1"/>
        <v>0</v>
      </c>
      <c r="Q51" s="4">
        <f t="shared" si="1"/>
        <v>0</v>
      </c>
      <c r="R51" s="4">
        <f t="shared" si="1"/>
        <v>0</v>
      </c>
      <c r="S51" s="4">
        <f t="shared" si="1"/>
        <v>0</v>
      </c>
    </row>
    <row r="52" spans="1:14" ht="12.75">
      <c r="A52" t="s">
        <v>156</v>
      </c>
      <c r="B52" t="s">
        <v>244</v>
      </c>
      <c r="C52" t="s">
        <v>167</v>
      </c>
      <c r="D52" s="65" t="s">
        <v>169</v>
      </c>
      <c r="E52" s="73"/>
      <c r="F52" s="73"/>
      <c r="G52" s="73"/>
      <c r="H52" s="73"/>
      <c r="I52" s="73"/>
      <c r="K52" s="65">
        <v>0.1</v>
      </c>
      <c r="L52" s="65">
        <v>0.1</v>
      </c>
      <c r="M52" s="65">
        <v>0.1</v>
      </c>
      <c r="N52" s="65">
        <v>0.1</v>
      </c>
    </row>
    <row r="53" spans="4:11" ht="12.75">
      <c r="D53" s="65" t="s">
        <v>169</v>
      </c>
      <c r="E53" s="73"/>
      <c r="F53" s="73"/>
      <c r="G53" s="73"/>
      <c r="H53" s="370"/>
      <c r="I53" s="373" t="s">
        <v>242</v>
      </c>
      <c r="J53" s="372">
        <v>0.54</v>
      </c>
      <c r="K53" s="383">
        <v>0</v>
      </c>
    </row>
    <row r="54" spans="4:9" ht="12.75">
      <c r="D54" s="65" t="s">
        <v>169</v>
      </c>
      <c r="E54" s="73"/>
      <c r="F54" s="73"/>
      <c r="G54" s="73"/>
      <c r="H54" s="73"/>
      <c r="I54" s="73"/>
    </row>
    <row r="55" spans="1:10" ht="12.75">
      <c r="A55" t="s">
        <v>154</v>
      </c>
      <c r="B55" t="s">
        <v>83</v>
      </c>
      <c r="C55" t="s">
        <v>134</v>
      </c>
      <c r="D55" s="65" t="s">
        <v>169</v>
      </c>
      <c r="E55" s="73"/>
      <c r="F55" s="73"/>
      <c r="G55" s="73"/>
      <c r="H55" s="73"/>
      <c r="I55" s="73"/>
      <c r="J55">
        <v>1</v>
      </c>
    </row>
    <row r="56" spans="1:10" ht="12.75">
      <c r="A56" t="s">
        <v>154</v>
      </c>
      <c r="B56" t="s">
        <v>83</v>
      </c>
      <c r="C56" t="s">
        <v>133</v>
      </c>
      <c r="D56" s="65" t="s">
        <v>169</v>
      </c>
      <c r="E56" s="73"/>
      <c r="F56" s="73"/>
      <c r="G56" s="73"/>
      <c r="H56" s="73"/>
      <c r="I56" s="73"/>
      <c r="J56">
        <v>0.6</v>
      </c>
    </row>
    <row r="57" spans="1:10" ht="12.75">
      <c r="A57" t="s">
        <v>154</v>
      </c>
      <c r="B57" t="s">
        <v>83</v>
      </c>
      <c r="C57" t="s">
        <v>132</v>
      </c>
      <c r="D57" s="65" t="s">
        <v>169</v>
      </c>
      <c r="E57" s="73"/>
      <c r="F57" s="73"/>
      <c r="G57" s="73"/>
      <c r="H57" s="73"/>
      <c r="I57" s="73"/>
      <c r="J57">
        <v>0.3</v>
      </c>
    </row>
    <row r="58" spans="3:10" ht="12.75">
      <c r="C58" s="74" t="s">
        <v>186</v>
      </c>
      <c r="D58" s="65"/>
      <c r="E58" s="73"/>
      <c r="F58" s="73"/>
      <c r="G58" s="73"/>
      <c r="H58" s="73"/>
      <c r="I58" s="371" t="s">
        <v>243</v>
      </c>
      <c r="J58" s="65">
        <f>SUM(J55:J57)</f>
        <v>1.9000000000000001</v>
      </c>
    </row>
    <row r="59" spans="3:11" ht="12.75">
      <c r="C59" s="74"/>
      <c r="D59" s="65"/>
      <c r="E59" s="73"/>
      <c r="F59" s="73"/>
      <c r="G59" s="73"/>
      <c r="H59" s="370"/>
      <c r="I59" s="373" t="s">
        <v>242</v>
      </c>
      <c r="J59" s="372">
        <v>0</v>
      </c>
      <c r="K59" s="383">
        <v>0</v>
      </c>
    </row>
    <row r="60" spans="1:13" ht="12.75">
      <c r="A60" t="s">
        <v>154</v>
      </c>
      <c r="B60" t="s">
        <v>170</v>
      </c>
      <c r="C60" t="s">
        <v>128</v>
      </c>
      <c r="D60" s="65" t="s">
        <v>169</v>
      </c>
      <c r="E60" s="73"/>
      <c r="F60" s="73"/>
      <c r="G60" s="73"/>
      <c r="H60" s="73"/>
      <c r="I60" s="73"/>
      <c r="J60">
        <v>0.1</v>
      </c>
      <c r="K60">
        <v>0.1</v>
      </c>
      <c r="L60">
        <v>0.1</v>
      </c>
      <c r="M60">
        <v>0.1</v>
      </c>
    </row>
    <row r="61" spans="1:16" ht="12.75">
      <c r="A61" t="s">
        <v>154</v>
      </c>
      <c r="B61" t="s">
        <v>170</v>
      </c>
      <c r="C61" t="s">
        <v>76</v>
      </c>
      <c r="D61" s="65" t="s">
        <v>169</v>
      </c>
      <c r="E61" s="73"/>
      <c r="F61" s="73"/>
      <c r="G61" s="73"/>
      <c r="H61" s="73"/>
      <c r="I61" s="73"/>
      <c r="K61">
        <v>2.2</v>
      </c>
      <c r="L61">
        <v>2.1</v>
      </c>
      <c r="M61">
        <v>2.1</v>
      </c>
      <c r="N61">
        <v>2.4</v>
      </c>
      <c r="O61">
        <v>1.8</v>
      </c>
      <c r="P61">
        <v>1.7</v>
      </c>
    </row>
    <row r="62" spans="3:16" ht="12.75">
      <c r="C62" s="74" t="s">
        <v>187</v>
      </c>
      <c r="D62" s="65"/>
      <c r="E62" s="73"/>
      <c r="F62" s="73"/>
      <c r="G62" s="73"/>
      <c r="H62" s="73"/>
      <c r="I62" s="371" t="s">
        <v>243</v>
      </c>
      <c r="J62" s="65">
        <f>SUM(J60:J61)</f>
        <v>0.1</v>
      </c>
      <c r="K62" s="65">
        <f aca="true" t="shared" si="2" ref="K62:P62">SUM(K60:K61)</f>
        <v>2.3000000000000003</v>
      </c>
      <c r="L62" s="65">
        <f t="shared" si="2"/>
        <v>2.2</v>
      </c>
      <c r="M62" s="65">
        <f t="shared" si="2"/>
        <v>2.2</v>
      </c>
      <c r="N62" s="65">
        <f t="shared" si="2"/>
        <v>2.4</v>
      </c>
      <c r="O62" s="65">
        <f t="shared" si="2"/>
        <v>1.8</v>
      </c>
      <c r="P62" s="65">
        <f t="shared" si="2"/>
        <v>1.7</v>
      </c>
    </row>
    <row r="63" spans="3:16" ht="12.75">
      <c r="C63" s="74"/>
      <c r="D63" s="65"/>
      <c r="E63" s="73"/>
      <c r="F63" s="73"/>
      <c r="G63" s="73"/>
      <c r="H63" s="370"/>
      <c r="I63" s="373" t="s">
        <v>242</v>
      </c>
      <c r="J63" s="372">
        <v>0.96</v>
      </c>
      <c r="K63" s="383">
        <v>0.13</v>
      </c>
      <c r="L63" s="65"/>
      <c r="M63" s="65"/>
      <c r="N63" s="65"/>
      <c r="O63" s="65"/>
      <c r="P63" s="65"/>
    </row>
    <row r="64" spans="1:13" ht="12.75">
      <c r="A64" t="s">
        <v>154</v>
      </c>
      <c r="B64" t="s">
        <v>108</v>
      </c>
      <c r="C64" t="s">
        <v>127</v>
      </c>
      <c r="D64" s="65" t="s">
        <v>169</v>
      </c>
      <c r="E64" s="73"/>
      <c r="F64" s="73"/>
      <c r="G64" s="73"/>
      <c r="H64" s="73"/>
      <c r="I64" s="73"/>
      <c r="L64">
        <v>0.2</v>
      </c>
      <c r="M64">
        <v>0.1</v>
      </c>
    </row>
    <row r="65" spans="1:14" ht="12.75">
      <c r="A65" t="s">
        <v>154</v>
      </c>
      <c r="B65" t="s">
        <v>108</v>
      </c>
      <c r="C65" t="s">
        <v>76</v>
      </c>
      <c r="D65" s="65" t="s">
        <v>169</v>
      </c>
      <c r="E65" s="73"/>
      <c r="F65" s="73"/>
      <c r="G65" s="73"/>
      <c r="H65" s="73"/>
      <c r="I65" s="73"/>
      <c r="K65">
        <v>0.5</v>
      </c>
      <c r="L65">
        <v>0.5</v>
      </c>
      <c r="M65">
        <v>0.5</v>
      </c>
      <c r="N65">
        <v>0.6</v>
      </c>
    </row>
    <row r="66" spans="3:14" ht="12.75">
      <c r="C66" s="74" t="s">
        <v>188</v>
      </c>
      <c r="D66" s="65"/>
      <c r="E66" s="73"/>
      <c r="F66" s="73"/>
      <c r="G66" s="73"/>
      <c r="H66" s="73"/>
      <c r="I66" s="371" t="s">
        <v>243</v>
      </c>
      <c r="J66" s="65">
        <f>SUM(J64:J65)</f>
        <v>0</v>
      </c>
      <c r="K66" s="65">
        <f>SUM(K64:K65)</f>
        <v>0.5</v>
      </c>
      <c r="L66" s="65">
        <f>SUM(L64:L65)</f>
        <v>0.7</v>
      </c>
      <c r="M66" s="65">
        <f>SUM(M64:M65)</f>
        <v>0.6</v>
      </c>
      <c r="N66" s="65">
        <f>SUM(N64:N65)</f>
        <v>0.6</v>
      </c>
    </row>
    <row r="67" spans="3:14" ht="12.75">
      <c r="C67" s="74"/>
      <c r="D67" s="65"/>
      <c r="E67" s="73"/>
      <c r="F67" s="73"/>
      <c r="G67" s="73"/>
      <c r="H67" s="370"/>
      <c r="I67" s="373" t="s">
        <v>242</v>
      </c>
      <c r="J67" s="372">
        <v>0.55</v>
      </c>
      <c r="K67" s="383">
        <v>0.6</v>
      </c>
      <c r="L67" s="65"/>
      <c r="M67" s="65"/>
      <c r="N67" s="65"/>
    </row>
    <row r="68" spans="1:10" ht="12.75">
      <c r="A68" t="s">
        <v>154</v>
      </c>
      <c r="B68" t="s">
        <v>115</v>
      </c>
      <c r="C68" t="s">
        <v>134</v>
      </c>
      <c r="D68" s="65" t="s">
        <v>169</v>
      </c>
      <c r="E68" s="73"/>
      <c r="F68" s="73"/>
      <c r="G68" s="73"/>
      <c r="H68" s="73"/>
      <c r="I68" s="73"/>
      <c r="J68">
        <v>0.1</v>
      </c>
    </row>
    <row r="69" spans="1:10" ht="12.75">
      <c r="A69" t="s">
        <v>154</v>
      </c>
      <c r="B69" t="s">
        <v>115</v>
      </c>
      <c r="C69" t="s">
        <v>133</v>
      </c>
      <c r="D69" s="65" t="s">
        <v>169</v>
      </c>
      <c r="E69" s="73"/>
      <c r="F69" s="73"/>
      <c r="G69" s="73"/>
      <c r="H69" s="73"/>
      <c r="I69" s="73"/>
      <c r="J69">
        <v>0.9</v>
      </c>
    </row>
    <row r="70" spans="1:14" ht="12.75">
      <c r="A70" t="s">
        <v>154</v>
      </c>
      <c r="B70" t="s">
        <v>115</v>
      </c>
      <c r="C70" t="s">
        <v>76</v>
      </c>
      <c r="D70" s="65" t="s">
        <v>169</v>
      </c>
      <c r="E70" s="73"/>
      <c r="F70" s="73"/>
      <c r="G70" s="73"/>
      <c r="H70" s="73"/>
      <c r="I70" s="73"/>
      <c r="K70">
        <v>0.5</v>
      </c>
      <c r="L70">
        <v>0.5</v>
      </c>
      <c r="M70">
        <v>0.5</v>
      </c>
      <c r="N70">
        <v>0.6</v>
      </c>
    </row>
    <row r="71" spans="3:14" ht="12.75">
      <c r="C71" s="74" t="s">
        <v>189</v>
      </c>
      <c r="D71" s="65"/>
      <c r="E71" s="73"/>
      <c r="F71" s="73"/>
      <c r="G71" s="73"/>
      <c r="H71" s="73"/>
      <c r="I71" s="371" t="s">
        <v>243</v>
      </c>
      <c r="J71" s="65">
        <f>SUM(J68:J70)</f>
        <v>1</v>
      </c>
      <c r="K71" s="65">
        <f>SUM(K68:K70)</f>
        <v>0.5</v>
      </c>
      <c r="L71" s="65">
        <f>SUM(L68:L70)</f>
        <v>0.5</v>
      </c>
      <c r="M71" s="65">
        <f>SUM(M68:M70)</f>
        <v>0.5</v>
      </c>
      <c r="N71" s="65">
        <f>SUM(N68:N70)</f>
        <v>0.6</v>
      </c>
    </row>
    <row r="72" spans="3:14" ht="12.75">
      <c r="C72" s="74"/>
      <c r="D72" s="65"/>
      <c r="E72" s="73"/>
      <c r="F72" s="73"/>
      <c r="G72" s="73"/>
      <c r="H72" s="370"/>
      <c r="I72" s="373" t="s">
        <v>242</v>
      </c>
      <c r="J72" s="372">
        <v>0.94</v>
      </c>
      <c r="K72" s="383">
        <v>0.86</v>
      </c>
      <c r="L72" s="65"/>
      <c r="M72" s="65"/>
      <c r="N72" s="65"/>
    </row>
    <row r="73" spans="1:14" ht="12.75">
      <c r="A73" t="s">
        <v>154</v>
      </c>
      <c r="B73" s="65" t="s">
        <v>121</v>
      </c>
      <c r="C73" t="s">
        <v>76</v>
      </c>
      <c r="D73" s="65" t="s">
        <v>169</v>
      </c>
      <c r="E73" s="73"/>
      <c r="F73" s="73"/>
      <c r="G73" s="73"/>
      <c r="H73" s="73"/>
      <c r="I73" s="371" t="s">
        <v>243</v>
      </c>
      <c r="J73" s="65">
        <v>0</v>
      </c>
      <c r="K73" s="65">
        <v>0.3</v>
      </c>
      <c r="L73" s="65">
        <v>0.3</v>
      </c>
      <c r="M73" s="65">
        <v>0.3</v>
      </c>
      <c r="N73" s="65">
        <v>0.4</v>
      </c>
    </row>
    <row r="74" spans="4:14" ht="12.75">
      <c r="D74" s="65"/>
      <c r="E74" s="73"/>
      <c r="F74" s="73"/>
      <c r="G74" s="73"/>
      <c r="H74" s="370"/>
      <c r="I74" s="373" t="s">
        <v>242</v>
      </c>
      <c r="J74" s="372">
        <v>0.95</v>
      </c>
      <c r="K74" s="383">
        <v>0</v>
      </c>
      <c r="L74" s="65"/>
      <c r="M74" s="65"/>
      <c r="N74" s="65"/>
    </row>
    <row r="75" spans="3:16" ht="15.75">
      <c r="C75" s="75" t="s">
        <v>171</v>
      </c>
      <c r="D75" s="78" t="s">
        <v>169</v>
      </c>
      <c r="E75" s="73">
        <v>1.6</v>
      </c>
      <c r="F75" s="73">
        <v>5.5</v>
      </c>
      <c r="G75" s="73">
        <v>2.4</v>
      </c>
      <c r="H75" s="73">
        <v>2.1</v>
      </c>
      <c r="I75" s="73">
        <v>5.4</v>
      </c>
      <c r="J75" s="77">
        <f aca="true" t="shared" si="3" ref="J75:P75">SUM(J71,J66,J62,J58,J73)</f>
        <v>3</v>
      </c>
      <c r="K75" s="77">
        <f t="shared" si="3"/>
        <v>3.6</v>
      </c>
      <c r="L75" s="77">
        <f t="shared" si="3"/>
        <v>3.7</v>
      </c>
      <c r="M75" s="77">
        <f t="shared" si="3"/>
        <v>3.6</v>
      </c>
      <c r="N75" s="77">
        <f t="shared" si="3"/>
        <v>3.9999999999999996</v>
      </c>
      <c r="O75" s="77">
        <f t="shared" si="3"/>
        <v>1.8</v>
      </c>
      <c r="P75" s="77">
        <f t="shared" si="3"/>
        <v>1.7</v>
      </c>
    </row>
    <row r="76" spans="4:11" ht="15.75">
      <c r="D76" s="65" t="s">
        <v>169</v>
      </c>
      <c r="E76" s="73"/>
      <c r="F76" s="73"/>
      <c r="G76" s="73"/>
      <c r="H76" s="374"/>
      <c r="I76" s="375" t="s">
        <v>242</v>
      </c>
      <c r="J76" s="377">
        <f>SUM(J72,J67,J63,J59,J74)</f>
        <v>3.4000000000000004</v>
      </c>
      <c r="K76" s="377">
        <f>SUM(K72,K67,K63,K59,K74)</f>
        <v>1.5899999999999999</v>
      </c>
    </row>
    <row r="77" spans="4:9" ht="12.75">
      <c r="D77" s="65" t="s">
        <v>169</v>
      </c>
      <c r="E77" s="73"/>
      <c r="F77" s="73"/>
      <c r="G77" s="73"/>
      <c r="H77" s="73"/>
      <c r="I77" s="73"/>
    </row>
    <row r="78" spans="1:13" ht="12.75">
      <c r="A78" t="s">
        <v>155</v>
      </c>
      <c r="B78" s="65" t="s">
        <v>77</v>
      </c>
      <c r="C78" t="s">
        <v>76</v>
      </c>
      <c r="D78" s="65" t="s">
        <v>169</v>
      </c>
      <c r="E78" s="73"/>
      <c r="F78" s="73"/>
      <c r="G78" s="73"/>
      <c r="H78" s="73"/>
      <c r="I78" s="73"/>
      <c r="J78" s="65">
        <v>0.3</v>
      </c>
      <c r="K78" s="65">
        <v>0.3</v>
      </c>
      <c r="L78" s="65">
        <v>0.3</v>
      </c>
      <c r="M78" s="65">
        <v>0.2</v>
      </c>
    </row>
    <row r="79" spans="4:11" ht="12.75">
      <c r="D79" s="65"/>
      <c r="E79" s="73"/>
      <c r="F79" s="73"/>
      <c r="G79" s="73"/>
      <c r="H79" s="370"/>
      <c r="I79" s="373" t="s">
        <v>242</v>
      </c>
      <c r="J79" s="372">
        <v>0.97</v>
      </c>
      <c r="K79" s="383">
        <v>1</v>
      </c>
    </row>
    <row r="80" spans="1:13" ht="13.5" customHeight="1">
      <c r="A80" t="s">
        <v>155</v>
      </c>
      <c r="B80" t="s">
        <v>79</v>
      </c>
      <c r="C80" t="s">
        <v>126</v>
      </c>
      <c r="D80" s="65" t="s">
        <v>169</v>
      </c>
      <c r="E80" s="73"/>
      <c r="F80" s="73"/>
      <c r="G80" s="73"/>
      <c r="H80" s="73"/>
      <c r="I80" s="73"/>
      <c r="J80">
        <v>0.2</v>
      </c>
      <c r="K80">
        <v>0.2</v>
      </c>
      <c r="L80">
        <v>0.2</v>
      </c>
      <c r="M80">
        <v>0.2</v>
      </c>
    </row>
    <row r="81" spans="1:14" ht="12.75">
      <c r="A81" t="s">
        <v>155</v>
      </c>
      <c r="B81" t="s">
        <v>79</v>
      </c>
      <c r="C81" t="s">
        <v>76</v>
      </c>
      <c r="D81" s="65" t="s">
        <v>169</v>
      </c>
      <c r="E81" s="73"/>
      <c r="F81" s="73"/>
      <c r="G81" s="73"/>
      <c r="H81" s="73"/>
      <c r="I81" s="73"/>
      <c r="K81">
        <v>0.2</v>
      </c>
      <c r="L81">
        <v>0.2</v>
      </c>
      <c r="M81">
        <v>0.2</v>
      </c>
      <c r="N81">
        <v>0.2</v>
      </c>
    </row>
    <row r="82" spans="3:14" ht="12.75">
      <c r="C82" s="74" t="s">
        <v>190</v>
      </c>
      <c r="D82" s="65"/>
      <c r="E82" s="73"/>
      <c r="F82" s="73"/>
      <c r="G82" s="73"/>
      <c r="H82" s="73"/>
      <c r="I82" s="73"/>
      <c r="J82" s="65">
        <f>SUM(J80:J81)</f>
        <v>0.2</v>
      </c>
      <c r="K82" s="65">
        <f>SUM(K80:K81)</f>
        <v>0.4</v>
      </c>
      <c r="L82" s="65">
        <f>SUM(L80:L81)</f>
        <v>0.4</v>
      </c>
      <c r="M82" s="65">
        <f>SUM(M80:M81)</f>
        <v>0.4</v>
      </c>
      <c r="N82" s="65">
        <f>SUM(N80:N81)</f>
        <v>0.2</v>
      </c>
    </row>
    <row r="83" spans="3:14" ht="12.75">
      <c r="C83" s="74"/>
      <c r="D83" s="65"/>
      <c r="E83" s="73"/>
      <c r="F83" s="73"/>
      <c r="G83" s="73"/>
      <c r="H83" s="370"/>
      <c r="I83" s="373" t="s">
        <v>242</v>
      </c>
      <c r="J83" s="372">
        <v>0.21</v>
      </c>
      <c r="K83" s="383">
        <v>0.78</v>
      </c>
      <c r="L83" s="65"/>
      <c r="M83" s="65"/>
      <c r="N83" s="65"/>
    </row>
    <row r="84" spans="1:13" ht="13.5" customHeight="1">
      <c r="A84" t="s">
        <v>155</v>
      </c>
      <c r="B84" t="s">
        <v>80</v>
      </c>
      <c r="C84" t="s">
        <v>127</v>
      </c>
      <c r="D84" s="65" t="s">
        <v>169</v>
      </c>
      <c r="E84" s="73"/>
      <c r="F84" s="73"/>
      <c r="G84" s="73"/>
      <c r="H84" s="73"/>
      <c r="I84" s="73"/>
      <c r="J84">
        <v>0.2</v>
      </c>
      <c r="K84">
        <v>0</v>
      </c>
      <c r="L84">
        <v>0</v>
      </c>
      <c r="M84">
        <v>0</v>
      </c>
    </row>
    <row r="85" spans="1:13" ht="12.75">
      <c r="A85" t="s">
        <v>155</v>
      </c>
      <c r="B85" t="s">
        <v>80</v>
      </c>
      <c r="C85" t="s">
        <v>128</v>
      </c>
      <c r="D85" s="65" t="s">
        <v>169</v>
      </c>
      <c r="E85" s="73"/>
      <c r="F85" s="73"/>
      <c r="G85" s="73"/>
      <c r="H85" s="73"/>
      <c r="I85" s="73"/>
      <c r="J85">
        <v>0.1</v>
      </c>
      <c r="K85">
        <v>0.1</v>
      </c>
      <c r="L85">
        <v>0.1</v>
      </c>
      <c r="M85">
        <v>0.1</v>
      </c>
    </row>
    <row r="86" spans="1:14" ht="12.75">
      <c r="A86" t="s">
        <v>155</v>
      </c>
      <c r="B86" t="s">
        <v>80</v>
      </c>
      <c r="C86" t="s">
        <v>76</v>
      </c>
      <c r="D86" s="65" t="s">
        <v>169</v>
      </c>
      <c r="E86" s="73"/>
      <c r="F86" s="73"/>
      <c r="G86" s="73"/>
      <c r="H86" s="73"/>
      <c r="I86" s="73"/>
      <c r="K86">
        <v>0.6</v>
      </c>
      <c r="L86">
        <v>0.6</v>
      </c>
      <c r="M86">
        <v>0.6</v>
      </c>
      <c r="N86">
        <v>0.6</v>
      </c>
    </row>
    <row r="87" spans="3:14" ht="12.75">
      <c r="C87" s="74" t="s">
        <v>191</v>
      </c>
      <c r="D87" s="65"/>
      <c r="E87" s="73"/>
      <c r="F87" s="73"/>
      <c r="G87" s="73"/>
      <c r="H87" s="73"/>
      <c r="I87" s="73"/>
      <c r="J87" s="65">
        <f>SUM(J84:J86)</f>
        <v>0.30000000000000004</v>
      </c>
      <c r="K87" s="65">
        <f>SUM(K84:K86)</f>
        <v>0.7</v>
      </c>
      <c r="L87" s="65">
        <f>SUM(L84:L86)</f>
        <v>0.7</v>
      </c>
      <c r="M87" s="65">
        <f>SUM(M84:M86)</f>
        <v>0.7</v>
      </c>
      <c r="N87" s="65">
        <f>SUM(N84:N86)</f>
        <v>0.6</v>
      </c>
    </row>
    <row r="88" spans="3:14" ht="12.75">
      <c r="C88" s="74"/>
      <c r="D88" s="65"/>
      <c r="E88" s="73"/>
      <c r="F88" s="73"/>
      <c r="G88" s="73"/>
      <c r="H88" s="370"/>
      <c r="I88" s="373" t="s">
        <v>242</v>
      </c>
      <c r="J88" s="372">
        <v>1</v>
      </c>
      <c r="K88" s="383">
        <v>0.61</v>
      </c>
      <c r="L88" s="65"/>
      <c r="M88" s="65"/>
      <c r="N88" s="65"/>
    </row>
    <row r="89" spans="1:12" ht="13.5" customHeight="1">
      <c r="A89" t="s">
        <v>155</v>
      </c>
      <c r="B89" t="s">
        <v>81</v>
      </c>
      <c r="C89" t="s">
        <v>129</v>
      </c>
      <c r="D89" s="65" t="s">
        <v>169</v>
      </c>
      <c r="E89" s="73"/>
      <c r="F89" s="73"/>
      <c r="G89" s="73"/>
      <c r="H89" s="73"/>
      <c r="I89" s="73"/>
      <c r="J89">
        <v>0.5</v>
      </c>
      <c r="K89">
        <v>0.5</v>
      </c>
      <c r="L89">
        <v>0.5</v>
      </c>
    </row>
    <row r="90" spans="1:14" ht="12.75">
      <c r="A90" t="s">
        <v>155</v>
      </c>
      <c r="B90" t="s">
        <v>81</v>
      </c>
      <c r="C90" t="s">
        <v>76</v>
      </c>
      <c r="D90" s="65" t="s">
        <v>169</v>
      </c>
      <c r="E90" s="73"/>
      <c r="F90" s="73"/>
      <c r="G90" s="73"/>
      <c r="H90" s="73"/>
      <c r="I90" s="73"/>
      <c r="K90">
        <v>0.3</v>
      </c>
      <c r="L90">
        <v>0.3</v>
      </c>
      <c r="M90">
        <v>0.3</v>
      </c>
      <c r="N90">
        <v>0.3</v>
      </c>
    </row>
    <row r="91" spans="3:14" ht="12.75">
      <c r="C91" s="74" t="s">
        <v>192</v>
      </c>
      <c r="D91" s="65"/>
      <c r="E91" s="73"/>
      <c r="F91" s="73"/>
      <c r="G91" s="73"/>
      <c r="H91" s="73"/>
      <c r="I91" s="73"/>
      <c r="J91" s="65">
        <f>SUM(J89:J90)</f>
        <v>0.5</v>
      </c>
      <c r="K91" s="65">
        <f>SUM(K89:K90)</f>
        <v>0.8</v>
      </c>
      <c r="L91" s="65">
        <f>SUM(L89:L90)</f>
        <v>0.8</v>
      </c>
      <c r="M91" s="65">
        <f>SUM(M89:M90)</f>
        <v>0.3</v>
      </c>
      <c r="N91" s="65">
        <f>SUM(N89:N90)</f>
        <v>0.3</v>
      </c>
    </row>
    <row r="92" spans="3:14" ht="12.75">
      <c r="C92" s="74"/>
      <c r="D92" s="65"/>
      <c r="E92" s="73"/>
      <c r="F92" s="73"/>
      <c r="G92" s="73"/>
      <c r="H92" s="370"/>
      <c r="I92" s="373" t="s">
        <v>242</v>
      </c>
      <c r="J92" s="372">
        <v>0.54</v>
      </c>
      <c r="K92" s="383">
        <v>0.43</v>
      </c>
      <c r="L92" s="65"/>
      <c r="M92" s="65"/>
      <c r="N92" s="65"/>
    </row>
    <row r="93" spans="1:10" ht="13.5" customHeight="1">
      <c r="A93" t="s">
        <v>155</v>
      </c>
      <c r="B93" t="s">
        <v>84</v>
      </c>
      <c r="C93" t="s">
        <v>133</v>
      </c>
      <c r="D93" s="65" t="s">
        <v>169</v>
      </c>
      <c r="E93" s="73"/>
      <c r="F93" s="73"/>
      <c r="G93" s="73"/>
      <c r="H93" s="73"/>
      <c r="I93" s="73"/>
      <c r="J93">
        <v>1.4</v>
      </c>
    </row>
    <row r="94" spans="1:10" ht="12.75">
      <c r="A94" t="s">
        <v>155</v>
      </c>
      <c r="B94" t="s">
        <v>84</v>
      </c>
      <c r="C94" t="s">
        <v>132</v>
      </c>
      <c r="D94" s="65" t="s">
        <v>169</v>
      </c>
      <c r="E94" s="73"/>
      <c r="F94" s="73"/>
      <c r="G94" s="73"/>
      <c r="H94" s="73"/>
      <c r="I94" s="73"/>
      <c r="J94">
        <v>0.3</v>
      </c>
    </row>
    <row r="95" spans="1:14" ht="12.75">
      <c r="A95" t="s">
        <v>155</v>
      </c>
      <c r="B95" t="s">
        <v>84</v>
      </c>
      <c r="C95" t="s">
        <v>76</v>
      </c>
      <c r="D95" s="65" t="s">
        <v>169</v>
      </c>
      <c r="E95" s="73"/>
      <c r="F95" s="73"/>
      <c r="G95" s="73"/>
      <c r="H95" s="73"/>
      <c r="I95" s="73"/>
      <c r="J95">
        <v>0.3</v>
      </c>
      <c r="K95">
        <v>0.9</v>
      </c>
      <c r="L95">
        <v>0.9</v>
      </c>
      <c r="M95">
        <v>0.8</v>
      </c>
      <c r="N95">
        <v>0.7</v>
      </c>
    </row>
    <row r="96" spans="3:14" ht="12.75">
      <c r="C96" s="74" t="s">
        <v>193</v>
      </c>
      <c r="D96" s="65"/>
      <c r="E96" s="73"/>
      <c r="F96" s="73"/>
      <c r="G96" s="73"/>
      <c r="H96" s="73"/>
      <c r="I96" s="73"/>
      <c r="J96" s="79">
        <f>SUM(J93:J95)</f>
        <v>2</v>
      </c>
      <c r="K96" s="79">
        <f>SUM(K93:K95)</f>
        <v>0.9</v>
      </c>
      <c r="L96" s="79">
        <f>SUM(L93:L95)</f>
        <v>0.9</v>
      </c>
      <c r="M96" s="79">
        <f>SUM(M93:M95)</f>
        <v>0.8</v>
      </c>
      <c r="N96" s="79">
        <f>SUM(N93:N95)</f>
        <v>0.7</v>
      </c>
    </row>
    <row r="97" spans="3:14" ht="12.75">
      <c r="C97" s="74"/>
      <c r="D97" s="65"/>
      <c r="E97" s="73"/>
      <c r="F97" s="73"/>
      <c r="G97" s="73"/>
      <c r="H97" s="370"/>
      <c r="I97" s="373" t="s">
        <v>242</v>
      </c>
      <c r="J97" s="372">
        <v>0.94</v>
      </c>
      <c r="K97" s="383">
        <v>0.94</v>
      </c>
      <c r="L97" s="79"/>
      <c r="M97" s="79"/>
      <c r="N97" s="79"/>
    </row>
    <row r="98" spans="1:19" ht="13.5" customHeight="1">
      <c r="A98" t="s">
        <v>155</v>
      </c>
      <c r="B98" t="s">
        <v>170</v>
      </c>
      <c r="C98" t="s">
        <v>137</v>
      </c>
      <c r="D98" s="65" t="s">
        <v>169</v>
      </c>
      <c r="E98" s="73"/>
      <c r="F98" s="73"/>
      <c r="G98" s="73"/>
      <c r="H98" s="73"/>
      <c r="I98" s="73"/>
      <c r="J98" s="65"/>
      <c r="K98" s="65"/>
      <c r="L98" s="65"/>
      <c r="M98" s="65">
        <v>0.7</v>
      </c>
      <c r="N98" s="65">
        <v>0.8</v>
      </c>
      <c r="O98" s="65">
        <v>0.6</v>
      </c>
      <c r="P98" s="65">
        <v>0.6</v>
      </c>
      <c r="Q98" s="65">
        <v>0.7</v>
      </c>
      <c r="R98" s="65">
        <v>0.7</v>
      </c>
      <c r="S98" s="65">
        <v>0.8</v>
      </c>
    </row>
    <row r="99" spans="1:19" ht="13.5" customHeight="1">
      <c r="A99" t="s">
        <v>155</v>
      </c>
      <c r="B99" t="s">
        <v>170</v>
      </c>
      <c r="C99" t="s">
        <v>134</v>
      </c>
      <c r="D99" s="65" t="s">
        <v>169</v>
      </c>
      <c r="E99" s="73"/>
      <c r="F99" s="73"/>
      <c r="G99" s="73"/>
      <c r="H99" s="73"/>
      <c r="I99" s="73"/>
      <c r="J99" s="65"/>
      <c r="K99" s="390"/>
      <c r="L99" s="65"/>
      <c r="M99" s="65"/>
      <c r="N99" s="65"/>
      <c r="O99" s="65"/>
      <c r="P99" s="65"/>
      <c r="Q99" s="65"/>
      <c r="R99" s="65"/>
      <c r="S99" s="65"/>
    </row>
    <row r="100" spans="4:11" ht="13.5" customHeight="1">
      <c r="D100" s="65"/>
      <c r="E100" s="73"/>
      <c r="F100" s="73"/>
      <c r="G100" s="73"/>
      <c r="H100" s="370"/>
      <c r="I100" s="373" t="s">
        <v>242</v>
      </c>
      <c r="J100" s="372">
        <v>0</v>
      </c>
      <c r="K100" s="383">
        <v>0.14</v>
      </c>
    </row>
    <row r="101" spans="1:13" ht="12.75">
      <c r="A101" t="s">
        <v>155</v>
      </c>
      <c r="B101" t="s">
        <v>88</v>
      </c>
      <c r="C101" t="s">
        <v>139</v>
      </c>
      <c r="D101" s="65" t="s">
        <v>169</v>
      </c>
      <c r="E101" s="73"/>
      <c r="F101" s="73"/>
      <c r="G101" s="73"/>
      <c r="H101" s="73"/>
      <c r="I101" s="73"/>
      <c r="J101">
        <v>0.2</v>
      </c>
      <c r="K101">
        <v>0.3</v>
      </c>
      <c r="L101">
        <v>0.3</v>
      </c>
      <c r="M101">
        <v>0.1</v>
      </c>
    </row>
    <row r="102" spans="1:14" ht="12.75">
      <c r="A102" t="s">
        <v>155</v>
      </c>
      <c r="B102" t="s">
        <v>88</v>
      </c>
      <c r="C102" t="s">
        <v>76</v>
      </c>
      <c r="D102" s="65" t="s">
        <v>169</v>
      </c>
      <c r="E102" s="73"/>
      <c r="F102" s="73"/>
      <c r="G102" s="73"/>
      <c r="H102" s="73"/>
      <c r="I102" s="73"/>
      <c r="K102">
        <v>0.1</v>
      </c>
      <c r="L102">
        <v>0.1</v>
      </c>
      <c r="M102">
        <v>0.1</v>
      </c>
      <c r="N102">
        <v>0.1</v>
      </c>
    </row>
    <row r="103" spans="3:14" ht="12.75">
      <c r="C103" s="74" t="s">
        <v>194</v>
      </c>
      <c r="D103" s="65"/>
      <c r="E103" s="73"/>
      <c r="F103" s="73"/>
      <c r="G103" s="73"/>
      <c r="H103" s="73"/>
      <c r="I103" s="73"/>
      <c r="J103" s="65">
        <f>SUM(J101:J102)</f>
        <v>0.2</v>
      </c>
      <c r="K103" s="65">
        <f>SUM(K101:K102)</f>
        <v>0.4</v>
      </c>
      <c r="L103" s="65">
        <f>SUM(L101:L102)</f>
        <v>0.4</v>
      </c>
      <c r="M103" s="65">
        <f>SUM(M101:M102)</f>
        <v>0.2</v>
      </c>
      <c r="N103" s="65">
        <f>SUM(N101:N102)</f>
        <v>0.1</v>
      </c>
    </row>
    <row r="104" spans="3:14" ht="12.75">
      <c r="C104" s="74"/>
      <c r="D104" s="65"/>
      <c r="E104" s="73"/>
      <c r="F104" s="73"/>
      <c r="G104" s="73"/>
      <c r="H104" s="370"/>
      <c r="I104" s="373" t="s">
        <v>242</v>
      </c>
      <c r="J104" s="372">
        <v>0.32</v>
      </c>
      <c r="K104" s="383">
        <v>0.21</v>
      </c>
      <c r="L104" s="65"/>
      <c r="M104" s="65"/>
      <c r="N104" s="65"/>
    </row>
    <row r="105" spans="1:10" ht="12.75">
      <c r="A105" t="s">
        <v>155</v>
      </c>
      <c r="B105" t="s">
        <v>89</v>
      </c>
      <c r="C105" t="s">
        <v>133</v>
      </c>
      <c r="D105" s="65" t="s">
        <v>169</v>
      </c>
      <c r="E105" s="73"/>
      <c r="F105" s="73"/>
      <c r="G105" s="73"/>
      <c r="H105" s="73"/>
      <c r="I105" s="73"/>
      <c r="J105">
        <v>0.3</v>
      </c>
    </row>
    <row r="106" spans="1:13" ht="12.75">
      <c r="A106" t="s">
        <v>155</v>
      </c>
      <c r="B106" t="s">
        <v>89</v>
      </c>
      <c r="C106" t="s">
        <v>126</v>
      </c>
      <c r="D106" s="65" t="s">
        <v>169</v>
      </c>
      <c r="E106" s="73"/>
      <c r="F106" s="73"/>
      <c r="G106" s="73"/>
      <c r="H106" s="73"/>
      <c r="I106" s="73"/>
      <c r="J106">
        <v>0.1</v>
      </c>
      <c r="K106">
        <v>0.1</v>
      </c>
      <c r="L106">
        <v>0.1</v>
      </c>
      <c r="M106">
        <v>0.1</v>
      </c>
    </row>
    <row r="107" spans="1:13" ht="12.75">
      <c r="A107" t="s">
        <v>155</v>
      </c>
      <c r="B107" t="s">
        <v>89</v>
      </c>
      <c r="C107" t="s">
        <v>76</v>
      </c>
      <c r="D107" s="65" t="s">
        <v>169</v>
      </c>
      <c r="E107" s="73"/>
      <c r="F107" s="73"/>
      <c r="G107" s="73"/>
      <c r="H107" s="73"/>
      <c r="I107" s="73"/>
      <c r="J107">
        <v>0.3</v>
      </c>
      <c r="K107">
        <v>0.3</v>
      </c>
      <c r="L107">
        <v>0.3</v>
      </c>
      <c r="M107">
        <v>0.2</v>
      </c>
    </row>
    <row r="108" spans="3:13" ht="12.75">
      <c r="C108" s="74" t="s">
        <v>195</v>
      </c>
      <c r="D108" s="65"/>
      <c r="E108" s="73"/>
      <c r="F108" s="73"/>
      <c r="G108" s="73"/>
      <c r="H108" s="73"/>
      <c r="I108" s="73"/>
      <c r="J108" s="65">
        <f>SUM(J105:J107)</f>
        <v>0.7</v>
      </c>
      <c r="K108" s="65">
        <f>SUM(K105:K107)</f>
        <v>0.4</v>
      </c>
      <c r="L108" s="65">
        <f>SUM(L105:L107)</f>
        <v>0.4</v>
      </c>
      <c r="M108" s="65">
        <f>SUM(M105:M107)</f>
        <v>0.30000000000000004</v>
      </c>
    </row>
    <row r="109" spans="3:13" ht="12.75">
      <c r="C109" s="74"/>
      <c r="D109" s="65"/>
      <c r="E109" s="73"/>
      <c r="F109" s="73"/>
      <c r="G109" s="73"/>
      <c r="H109" s="370"/>
      <c r="I109" s="373" t="s">
        <v>242</v>
      </c>
      <c r="J109" s="372">
        <v>0.89</v>
      </c>
      <c r="K109" s="383">
        <v>0.97</v>
      </c>
      <c r="L109" s="65"/>
      <c r="M109" s="65"/>
    </row>
    <row r="110" spans="1:19" ht="12.75">
      <c r="A110" t="s">
        <v>155</v>
      </c>
      <c r="B110" t="s">
        <v>95</v>
      </c>
      <c r="C110" t="s">
        <v>136</v>
      </c>
      <c r="D110" s="65" t="s">
        <v>169</v>
      </c>
      <c r="E110" s="73"/>
      <c r="F110" s="73"/>
      <c r="G110" s="73"/>
      <c r="H110" s="73"/>
      <c r="I110" s="73"/>
      <c r="J110">
        <v>0.7</v>
      </c>
      <c r="K110">
        <v>0.7</v>
      </c>
      <c r="L110">
        <v>0.7</v>
      </c>
      <c r="M110">
        <v>0.7</v>
      </c>
      <c r="N110">
        <v>0.4</v>
      </c>
      <c r="O110">
        <v>0.3</v>
      </c>
      <c r="P110">
        <v>0.3</v>
      </c>
      <c r="Q110">
        <v>0.3</v>
      </c>
      <c r="R110">
        <v>0.3</v>
      </c>
      <c r="S110">
        <v>0.4</v>
      </c>
    </row>
    <row r="111" spans="1:14" ht="12.75">
      <c r="A111" t="s">
        <v>155</v>
      </c>
      <c r="B111" t="s">
        <v>95</v>
      </c>
      <c r="C111" t="s">
        <v>76</v>
      </c>
      <c r="D111" s="65" t="s">
        <v>169</v>
      </c>
      <c r="E111" s="73"/>
      <c r="F111" s="73"/>
      <c r="G111" s="73"/>
      <c r="H111" s="73"/>
      <c r="I111" s="73"/>
      <c r="K111">
        <v>0.3</v>
      </c>
      <c r="L111">
        <v>0.2</v>
      </c>
      <c r="M111">
        <v>0.2</v>
      </c>
      <c r="N111">
        <v>0.3</v>
      </c>
    </row>
    <row r="112" spans="3:19" ht="12.75">
      <c r="C112" s="74" t="s">
        <v>196</v>
      </c>
      <c r="D112" s="65"/>
      <c r="E112" s="73"/>
      <c r="F112" s="73"/>
      <c r="G112" s="73"/>
      <c r="H112" s="73"/>
      <c r="I112" s="73"/>
      <c r="J112" s="65">
        <f aca="true" t="shared" si="4" ref="J112:S112">SUM(J110:J111)</f>
        <v>0.7</v>
      </c>
      <c r="K112" s="65">
        <f t="shared" si="4"/>
        <v>1</v>
      </c>
      <c r="L112" s="65">
        <f t="shared" si="4"/>
        <v>0.8999999999999999</v>
      </c>
      <c r="M112" s="65">
        <f t="shared" si="4"/>
        <v>0.8999999999999999</v>
      </c>
      <c r="N112" s="65">
        <f t="shared" si="4"/>
        <v>0.7</v>
      </c>
      <c r="O112" s="65">
        <f t="shared" si="4"/>
        <v>0.3</v>
      </c>
      <c r="P112" s="65">
        <f t="shared" si="4"/>
        <v>0.3</v>
      </c>
      <c r="Q112" s="65">
        <f t="shared" si="4"/>
        <v>0.3</v>
      </c>
      <c r="R112" s="65">
        <f t="shared" si="4"/>
        <v>0.3</v>
      </c>
      <c r="S112" s="65">
        <f t="shared" si="4"/>
        <v>0.4</v>
      </c>
    </row>
    <row r="113" spans="3:19" ht="12.75">
      <c r="C113" s="74"/>
      <c r="D113" s="65"/>
      <c r="E113" s="73"/>
      <c r="F113" s="73"/>
      <c r="G113" s="73"/>
      <c r="H113" s="370"/>
      <c r="I113" s="373" t="s">
        <v>242</v>
      </c>
      <c r="J113" s="372">
        <v>0.68</v>
      </c>
      <c r="K113" s="383">
        <v>0.54</v>
      </c>
      <c r="L113" s="65"/>
      <c r="M113" s="65"/>
      <c r="N113" s="65"/>
      <c r="O113" s="65"/>
      <c r="P113" s="65"/>
      <c r="Q113" s="65"/>
      <c r="R113" s="65"/>
      <c r="S113" s="65"/>
    </row>
    <row r="114" spans="1:14" ht="12.75">
      <c r="A114" t="s">
        <v>155</v>
      </c>
      <c r="B114" t="s">
        <v>98</v>
      </c>
      <c r="C114" t="s">
        <v>76</v>
      </c>
      <c r="D114" s="65" t="s">
        <v>169</v>
      </c>
      <c r="E114" s="73"/>
      <c r="F114" s="73"/>
      <c r="G114" s="73"/>
      <c r="H114" s="73"/>
      <c r="I114" s="73"/>
      <c r="J114" s="65"/>
      <c r="K114" s="65">
        <v>0.2</v>
      </c>
      <c r="L114" s="65">
        <v>0.2</v>
      </c>
      <c r="M114" s="65">
        <v>0.2</v>
      </c>
      <c r="N114" s="65">
        <v>0.2</v>
      </c>
    </row>
    <row r="115" spans="4:11" ht="12.75">
      <c r="D115" s="65"/>
      <c r="E115" s="73"/>
      <c r="F115" s="73"/>
      <c r="G115" s="73"/>
      <c r="H115" s="370"/>
      <c r="I115" s="373" t="s">
        <v>242</v>
      </c>
      <c r="J115" s="372">
        <v>0</v>
      </c>
      <c r="K115" s="383">
        <v>0</v>
      </c>
    </row>
    <row r="116" spans="1:10" ht="12.75">
      <c r="A116" t="s">
        <v>155</v>
      </c>
      <c r="B116" t="s">
        <v>99</v>
      </c>
      <c r="C116" t="s">
        <v>134</v>
      </c>
      <c r="D116" s="65" t="s">
        <v>169</v>
      </c>
      <c r="E116" s="73"/>
      <c r="F116" s="73"/>
      <c r="G116" s="73"/>
      <c r="H116" s="73"/>
      <c r="I116" s="73"/>
      <c r="J116">
        <v>0.1</v>
      </c>
    </row>
    <row r="117" spans="1:13" ht="12.75">
      <c r="A117" t="s">
        <v>155</v>
      </c>
      <c r="B117" t="s">
        <v>99</v>
      </c>
      <c r="C117" t="s">
        <v>147</v>
      </c>
      <c r="D117" s="65" t="s">
        <v>169</v>
      </c>
      <c r="E117" s="73"/>
      <c r="F117" s="73"/>
      <c r="G117" s="73"/>
      <c r="H117" s="73"/>
      <c r="I117" s="73"/>
      <c r="J117">
        <v>0.1</v>
      </c>
      <c r="K117">
        <v>0.1</v>
      </c>
      <c r="L117">
        <v>0.1</v>
      </c>
      <c r="M117">
        <v>0.1</v>
      </c>
    </row>
    <row r="118" spans="1:14" ht="12.75">
      <c r="A118" t="s">
        <v>155</v>
      </c>
      <c r="B118" t="s">
        <v>99</v>
      </c>
      <c r="C118" t="s">
        <v>76</v>
      </c>
      <c r="D118" s="65" t="s">
        <v>169</v>
      </c>
      <c r="E118" s="73"/>
      <c r="F118" s="73"/>
      <c r="G118" s="73"/>
      <c r="H118" s="73"/>
      <c r="I118" s="73"/>
      <c r="K118">
        <v>0.1</v>
      </c>
      <c r="L118">
        <v>0.1</v>
      </c>
      <c r="M118">
        <v>0.1</v>
      </c>
      <c r="N118">
        <v>0.1</v>
      </c>
    </row>
    <row r="119" spans="3:14" ht="12.75">
      <c r="C119" s="74" t="s">
        <v>197</v>
      </c>
      <c r="D119" s="65"/>
      <c r="E119" s="73"/>
      <c r="F119" s="73"/>
      <c r="G119" s="73"/>
      <c r="H119" s="73"/>
      <c r="I119" s="73"/>
      <c r="J119" s="65">
        <f>SUM(J116:J118)</f>
        <v>0.2</v>
      </c>
      <c r="K119" s="65">
        <f>SUM(K116:K118)</f>
        <v>0.2</v>
      </c>
      <c r="L119" s="65">
        <f>SUM(L116:L118)</f>
        <v>0.2</v>
      </c>
      <c r="M119" s="65">
        <f>SUM(M116:M118)</f>
        <v>0.2</v>
      </c>
      <c r="N119" s="65">
        <f>SUM(N116:N118)</f>
        <v>0.1</v>
      </c>
    </row>
    <row r="120" spans="3:14" ht="12.75">
      <c r="C120" s="74"/>
      <c r="D120" s="65"/>
      <c r="E120" s="73"/>
      <c r="F120" s="73"/>
      <c r="G120" s="73"/>
      <c r="H120" s="370"/>
      <c r="I120" s="373" t="s">
        <v>242</v>
      </c>
      <c r="J120" s="372">
        <v>0.29</v>
      </c>
      <c r="K120" s="383">
        <v>0.18</v>
      </c>
      <c r="L120" s="65"/>
      <c r="M120" s="65"/>
      <c r="N120" s="65"/>
    </row>
    <row r="121" spans="1:14" ht="12.75">
      <c r="A121" t="s">
        <v>155</v>
      </c>
      <c r="B121" s="65" t="s">
        <v>113</v>
      </c>
      <c r="C121" t="s">
        <v>76</v>
      </c>
      <c r="D121" s="65" t="s">
        <v>169</v>
      </c>
      <c r="E121" s="73"/>
      <c r="F121" s="73"/>
      <c r="G121" s="73"/>
      <c r="H121" s="73"/>
      <c r="I121" s="73"/>
      <c r="J121" s="65"/>
      <c r="K121" s="65">
        <v>0.3</v>
      </c>
      <c r="L121" s="65">
        <v>0.3</v>
      </c>
      <c r="M121" s="65">
        <v>0.3</v>
      </c>
      <c r="N121" s="65">
        <v>0.4</v>
      </c>
    </row>
    <row r="122" spans="4:11" ht="12.75">
      <c r="D122" s="65"/>
      <c r="E122" s="73"/>
      <c r="F122" s="73"/>
      <c r="G122" s="73"/>
      <c r="H122" s="370"/>
      <c r="I122" s="373" t="s">
        <v>242</v>
      </c>
      <c r="J122" s="372">
        <v>0.64</v>
      </c>
      <c r="K122" s="383">
        <v>0.05</v>
      </c>
    </row>
    <row r="123" spans="1:19" ht="12.75">
      <c r="A123" t="s">
        <v>155</v>
      </c>
      <c r="B123" t="s">
        <v>114</v>
      </c>
      <c r="C123" t="s">
        <v>136</v>
      </c>
      <c r="D123" s="65" t="s">
        <v>169</v>
      </c>
      <c r="E123" s="73"/>
      <c r="F123" s="73"/>
      <c r="G123" s="73"/>
      <c r="H123" s="73"/>
      <c r="I123" s="73"/>
      <c r="J123">
        <v>0.1</v>
      </c>
      <c r="K123">
        <v>0.1</v>
      </c>
      <c r="L123">
        <v>0.1</v>
      </c>
      <c r="M123">
        <v>0.1</v>
      </c>
      <c r="N123">
        <v>0.1</v>
      </c>
      <c r="O123">
        <v>0.1</v>
      </c>
      <c r="P123">
        <v>0.1</v>
      </c>
      <c r="Q123">
        <v>0.1</v>
      </c>
      <c r="R123">
        <v>0.1</v>
      </c>
      <c r="S123">
        <v>0.1</v>
      </c>
    </row>
    <row r="124" spans="1:14" ht="12.75">
      <c r="A124" t="s">
        <v>155</v>
      </c>
      <c r="B124" t="s">
        <v>114</v>
      </c>
      <c r="C124" t="s">
        <v>76</v>
      </c>
      <c r="D124" s="65" t="s">
        <v>169</v>
      </c>
      <c r="E124" s="73"/>
      <c r="F124" s="73"/>
      <c r="G124" s="73"/>
      <c r="H124" s="73"/>
      <c r="I124" s="73"/>
      <c r="K124">
        <v>0.3</v>
      </c>
      <c r="L124">
        <v>0.2</v>
      </c>
      <c r="M124">
        <v>0.2</v>
      </c>
      <c r="N124">
        <v>0.3</v>
      </c>
    </row>
    <row r="125" spans="3:19" ht="12.75">
      <c r="C125" s="74" t="s">
        <v>198</v>
      </c>
      <c r="D125" s="65"/>
      <c r="E125" s="73"/>
      <c r="F125" s="73"/>
      <c r="G125" s="73"/>
      <c r="H125" s="73"/>
      <c r="I125" s="73"/>
      <c r="J125" s="65">
        <f aca="true" t="shared" si="5" ref="J125:S125">SUM(J123:J124)</f>
        <v>0.1</v>
      </c>
      <c r="K125" s="65">
        <f t="shared" si="5"/>
        <v>0.4</v>
      </c>
      <c r="L125" s="65">
        <f t="shared" si="5"/>
        <v>0.30000000000000004</v>
      </c>
      <c r="M125" s="65">
        <f t="shared" si="5"/>
        <v>0.30000000000000004</v>
      </c>
      <c r="N125" s="65">
        <f t="shared" si="5"/>
        <v>0.4</v>
      </c>
      <c r="O125" s="65">
        <f t="shared" si="5"/>
        <v>0.1</v>
      </c>
      <c r="P125" s="65">
        <f t="shared" si="5"/>
        <v>0.1</v>
      </c>
      <c r="Q125" s="65">
        <f t="shared" si="5"/>
        <v>0.1</v>
      </c>
      <c r="R125" s="65">
        <f t="shared" si="5"/>
        <v>0.1</v>
      </c>
      <c r="S125" s="65">
        <f t="shared" si="5"/>
        <v>0.1</v>
      </c>
    </row>
    <row r="126" spans="3:19" ht="12.75">
      <c r="C126" s="74"/>
      <c r="D126" s="65"/>
      <c r="E126" s="73"/>
      <c r="F126" s="73"/>
      <c r="G126" s="73"/>
      <c r="H126" s="370"/>
      <c r="I126" s="373" t="s">
        <v>242</v>
      </c>
      <c r="J126" s="372">
        <v>0.1</v>
      </c>
      <c r="K126" s="383">
        <v>0</v>
      </c>
      <c r="L126" s="65"/>
      <c r="M126" s="65"/>
      <c r="N126" s="65"/>
      <c r="O126" s="65"/>
      <c r="P126" s="65"/>
      <c r="Q126" s="65"/>
      <c r="R126" s="65"/>
      <c r="S126" s="65"/>
    </row>
    <row r="127" spans="1:19" ht="12.75">
      <c r="A127" t="s">
        <v>155</v>
      </c>
      <c r="B127" t="s">
        <v>116</v>
      </c>
      <c r="C127" t="s">
        <v>148</v>
      </c>
      <c r="D127" s="65" t="s">
        <v>169</v>
      </c>
      <c r="E127" s="73"/>
      <c r="F127" s="73"/>
      <c r="G127" s="73"/>
      <c r="H127" s="73"/>
      <c r="I127" s="73"/>
      <c r="N127">
        <v>0.1</v>
      </c>
      <c r="O127">
        <v>0.1</v>
      </c>
      <c r="P127">
        <v>0.1</v>
      </c>
      <c r="Q127">
        <v>0.1</v>
      </c>
      <c r="R127">
        <v>0.1</v>
      </c>
      <c r="S127">
        <v>0.1</v>
      </c>
    </row>
    <row r="128" spans="1:19" ht="12.75">
      <c r="A128" t="s">
        <v>155</v>
      </c>
      <c r="B128" t="s">
        <v>116</v>
      </c>
      <c r="C128" t="s">
        <v>76</v>
      </c>
      <c r="D128" s="65" t="s">
        <v>169</v>
      </c>
      <c r="E128" s="73"/>
      <c r="F128" s="73"/>
      <c r="G128" s="73"/>
      <c r="H128" s="73"/>
      <c r="I128" s="73"/>
      <c r="J128">
        <v>0.5</v>
      </c>
      <c r="K128">
        <v>0.7</v>
      </c>
      <c r="L128">
        <v>0.7</v>
      </c>
      <c r="M128">
        <v>0.7</v>
      </c>
      <c r="N128">
        <v>0.6</v>
      </c>
      <c r="O128">
        <v>0.3</v>
      </c>
      <c r="P128">
        <v>0.3</v>
      </c>
      <c r="Q128">
        <v>0.3</v>
      </c>
      <c r="R128">
        <v>0.3</v>
      </c>
      <c r="S128">
        <v>0.3</v>
      </c>
    </row>
    <row r="129" spans="3:19" ht="12.75">
      <c r="C129" s="74" t="s">
        <v>199</v>
      </c>
      <c r="D129" s="65"/>
      <c r="E129" s="73"/>
      <c r="F129" s="73"/>
      <c r="G129" s="73"/>
      <c r="H129" s="73"/>
      <c r="I129" s="73"/>
      <c r="J129" s="65">
        <f aca="true" t="shared" si="6" ref="J129:S129">SUM(J127:J128)</f>
        <v>0.5</v>
      </c>
      <c r="K129" s="65">
        <f t="shared" si="6"/>
        <v>0.7</v>
      </c>
      <c r="L129" s="65">
        <f t="shared" si="6"/>
        <v>0.7</v>
      </c>
      <c r="M129" s="65">
        <f t="shared" si="6"/>
        <v>0.7</v>
      </c>
      <c r="N129" s="65">
        <f t="shared" si="6"/>
        <v>0.7</v>
      </c>
      <c r="O129" s="65">
        <f t="shared" si="6"/>
        <v>0.4</v>
      </c>
      <c r="P129" s="65">
        <f t="shared" si="6"/>
        <v>0.4</v>
      </c>
      <c r="Q129" s="65">
        <f t="shared" si="6"/>
        <v>0.4</v>
      </c>
      <c r="R129" s="65">
        <f t="shared" si="6"/>
        <v>0.4</v>
      </c>
      <c r="S129" s="65">
        <f t="shared" si="6"/>
        <v>0.4</v>
      </c>
    </row>
    <row r="130" spans="3:19" ht="12.75">
      <c r="C130" s="74"/>
      <c r="D130" s="65"/>
      <c r="E130" s="73"/>
      <c r="F130" s="73"/>
      <c r="G130" s="73"/>
      <c r="H130" s="370"/>
      <c r="I130" s="373" t="s">
        <v>242</v>
      </c>
      <c r="J130" s="372">
        <v>0.75</v>
      </c>
      <c r="K130" s="383">
        <v>1</v>
      </c>
      <c r="L130" s="65"/>
      <c r="M130" s="65"/>
      <c r="N130" s="65"/>
      <c r="O130" s="65"/>
      <c r="P130" s="65"/>
      <c r="Q130" s="65"/>
      <c r="R130" s="65"/>
      <c r="S130" s="65"/>
    </row>
    <row r="131" spans="1:13" ht="12.75">
      <c r="A131" t="s">
        <v>155</v>
      </c>
      <c r="B131" t="s">
        <v>124</v>
      </c>
      <c r="C131" t="s">
        <v>126</v>
      </c>
      <c r="D131" s="65" t="s">
        <v>169</v>
      </c>
      <c r="E131" s="73"/>
      <c r="F131" s="73"/>
      <c r="G131" s="73"/>
      <c r="H131" s="73"/>
      <c r="I131" s="73"/>
      <c r="J131">
        <v>0.1</v>
      </c>
      <c r="K131">
        <v>0.1</v>
      </c>
      <c r="L131">
        <v>0.1</v>
      </c>
      <c r="M131">
        <v>0.1</v>
      </c>
    </row>
    <row r="132" spans="1:13" ht="12.75">
      <c r="A132" t="s">
        <v>155</v>
      </c>
      <c r="B132" t="s">
        <v>124</v>
      </c>
      <c r="C132" t="s">
        <v>76</v>
      </c>
      <c r="D132" s="65" t="s">
        <v>169</v>
      </c>
      <c r="E132" s="73"/>
      <c r="F132" s="73"/>
      <c r="G132" s="73"/>
      <c r="H132" s="73"/>
      <c r="I132" s="73"/>
      <c r="J132">
        <v>0.3</v>
      </c>
      <c r="K132">
        <v>0.3</v>
      </c>
      <c r="L132">
        <v>0.3</v>
      </c>
      <c r="M132">
        <v>0.2</v>
      </c>
    </row>
    <row r="133" spans="3:13" ht="12.75">
      <c r="C133" s="74" t="s">
        <v>200</v>
      </c>
      <c r="D133" s="65" t="s">
        <v>169</v>
      </c>
      <c r="E133" s="73"/>
      <c r="F133" s="73"/>
      <c r="G133" s="73"/>
      <c r="H133" s="73"/>
      <c r="I133" s="73"/>
      <c r="J133" s="65">
        <f>SUM(J131:J132)</f>
        <v>0.4</v>
      </c>
      <c r="K133" s="65">
        <f>SUM(K131:K132)</f>
        <v>0.4</v>
      </c>
      <c r="L133" s="65">
        <f>SUM(L131:L132)</f>
        <v>0.4</v>
      </c>
      <c r="M133" s="65">
        <f>SUM(M131:M132)</f>
        <v>0.30000000000000004</v>
      </c>
    </row>
    <row r="134" spans="3:13" ht="12.75">
      <c r="C134" s="74"/>
      <c r="D134" s="65"/>
      <c r="E134" s="73"/>
      <c r="F134" s="73"/>
      <c r="G134" s="73"/>
      <c r="H134" s="370"/>
      <c r="I134" s="373" t="s">
        <v>242</v>
      </c>
      <c r="J134" s="372">
        <v>0.81</v>
      </c>
      <c r="K134" s="383">
        <v>0</v>
      </c>
      <c r="L134" s="65"/>
      <c r="M134" s="65"/>
    </row>
    <row r="135" spans="3:19" ht="15.75">
      <c r="C135" s="78" t="s">
        <v>172</v>
      </c>
      <c r="D135" s="78" t="s">
        <v>169</v>
      </c>
      <c r="E135" s="73">
        <v>5.2</v>
      </c>
      <c r="F135" s="73">
        <v>8.3</v>
      </c>
      <c r="G135" s="73">
        <v>8.4</v>
      </c>
      <c r="H135" s="73">
        <v>10.8</v>
      </c>
      <c r="I135" s="73">
        <v>10.3</v>
      </c>
      <c r="J135" s="77">
        <f>SUM(J133,J129,J125,J121,J119,J114,J112,J108,J103,J98,J96,J91,J87,J82,J78)</f>
        <v>6.1</v>
      </c>
      <c r="K135" s="77">
        <f aca="true" t="shared" si="7" ref="K135:S135">SUM(K133,K129,K125,K121,K119,K114,K112,K108,K103,K98,K96,K91,K87,K82,K78)</f>
        <v>7.1000000000000005</v>
      </c>
      <c r="L135" s="77">
        <f t="shared" si="7"/>
        <v>6.9</v>
      </c>
      <c r="M135" s="77">
        <f t="shared" si="7"/>
        <v>6.500000000000001</v>
      </c>
      <c r="N135" s="77">
        <f t="shared" si="7"/>
        <v>5.2</v>
      </c>
      <c r="O135" s="77">
        <f t="shared" si="7"/>
        <v>1.4</v>
      </c>
      <c r="P135" s="77">
        <f t="shared" si="7"/>
        <v>1.4</v>
      </c>
      <c r="Q135" s="77">
        <f t="shared" si="7"/>
        <v>1.5</v>
      </c>
      <c r="R135" s="77">
        <f t="shared" si="7"/>
        <v>1.5</v>
      </c>
      <c r="S135" s="77">
        <f t="shared" si="7"/>
        <v>1.7000000000000002</v>
      </c>
    </row>
    <row r="136" spans="4:11" ht="15.75">
      <c r="D136" s="65" t="s">
        <v>169</v>
      </c>
      <c r="E136" s="73"/>
      <c r="F136" s="73"/>
      <c r="G136" s="73"/>
      <c r="H136" s="374"/>
      <c r="I136" s="375" t="s">
        <v>242</v>
      </c>
      <c r="J136" s="376">
        <f>SUM(J134,J130,J126,J122,J120,J115,J113,J109,J104,J100,J97,J92,J88,J83,J79)</f>
        <v>8.14</v>
      </c>
      <c r="K136" s="376">
        <f>SUM(K134,K130,K126,K122,K120,K115,K113,K109,K104,K100,K97,K92,K88,K83,K79)</f>
        <v>6.8500000000000005</v>
      </c>
    </row>
    <row r="137" spans="4:9" ht="12.75">
      <c r="D137" s="65" t="s">
        <v>169</v>
      </c>
      <c r="E137" s="73"/>
      <c r="F137" s="73"/>
      <c r="G137" s="73"/>
      <c r="H137" s="73"/>
      <c r="I137" s="73"/>
    </row>
    <row r="138" spans="1:19" ht="12.75">
      <c r="A138" t="s">
        <v>157</v>
      </c>
      <c r="B138" t="s">
        <v>120</v>
      </c>
      <c r="C138" t="s">
        <v>136</v>
      </c>
      <c r="D138" s="65" t="s">
        <v>169</v>
      </c>
      <c r="E138" s="73"/>
      <c r="F138" s="73"/>
      <c r="G138" s="73"/>
      <c r="H138" s="73"/>
      <c r="I138" s="73"/>
      <c r="J138">
        <v>0.1</v>
      </c>
      <c r="K138">
        <v>0.1</v>
      </c>
      <c r="L138">
        <v>0.1</v>
      </c>
      <c r="M138">
        <v>0.1</v>
      </c>
      <c r="N138">
        <v>0.1</v>
      </c>
      <c r="O138">
        <v>0.1</v>
      </c>
      <c r="P138">
        <v>0.1</v>
      </c>
      <c r="Q138">
        <v>0.1</v>
      </c>
      <c r="R138">
        <v>0.1</v>
      </c>
      <c r="S138">
        <v>0.1</v>
      </c>
    </row>
    <row r="139" spans="1:19" ht="12.75">
      <c r="A139" t="s">
        <v>157</v>
      </c>
      <c r="B139" t="s">
        <v>120</v>
      </c>
      <c r="C139" t="s">
        <v>76</v>
      </c>
      <c r="D139" s="65" t="s">
        <v>169</v>
      </c>
      <c r="E139" s="73"/>
      <c r="F139" s="73"/>
      <c r="G139" s="73"/>
      <c r="H139" s="73"/>
      <c r="I139" s="73"/>
      <c r="J139">
        <v>0.1</v>
      </c>
      <c r="K139">
        <v>0.1</v>
      </c>
      <c r="L139">
        <v>0.1</v>
      </c>
      <c r="M139">
        <v>0.1</v>
      </c>
      <c r="N139">
        <v>0.1</v>
      </c>
      <c r="O139">
        <v>0.1</v>
      </c>
      <c r="P139">
        <v>0.1</v>
      </c>
      <c r="Q139">
        <v>0.1</v>
      </c>
      <c r="R139">
        <v>0.1</v>
      </c>
      <c r="S139">
        <v>0.1</v>
      </c>
    </row>
    <row r="140" spans="3:19" ht="12.75">
      <c r="C140" s="74" t="s">
        <v>258</v>
      </c>
      <c r="D140" s="65"/>
      <c r="E140" s="73"/>
      <c r="F140" s="73"/>
      <c r="G140" s="73"/>
      <c r="H140" s="73"/>
      <c r="I140" s="73"/>
      <c r="J140" s="79">
        <f>SUM(J138:J139)</f>
        <v>0.2</v>
      </c>
      <c r="K140" s="79">
        <f>SUM(K138:K139)</f>
        <v>0.2</v>
      </c>
      <c r="L140" s="79">
        <f>SUM(L138:L139)</f>
        <v>0.2</v>
      </c>
      <c r="M140" s="79">
        <f>SUM(M138:M139)</f>
        <v>0.2</v>
      </c>
      <c r="N140" s="79">
        <f>SUM(N138:N139)</f>
        <v>0.2</v>
      </c>
      <c r="O140" s="79">
        <f>SUM(O138:O139)</f>
        <v>0.2</v>
      </c>
      <c r="P140" s="79">
        <f>SUM(P138:P139)</f>
        <v>0.2</v>
      </c>
      <c r="Q140" s="79">
        <f>SUM(Q138:Q139)</f>
        <v>0.2</v>
      </c>
      <c r="R140" s="79">
        <f>SUM(R138:R139)</f>
        <v>0.2</v>
      </c>
      <c r="S140" s="79">
        <f>SUM(S138:S139)</f>
        <v>0.2</v>
      </c>
    </row>
    <row r="141" spans="4:11" ht="12.75">
      <c r="D141" s="65"/>
      <c r="E141" s="73"/>
      <c r="F141" s="73"/>
      <c r="G141" s="73"/>
      <c r="H141" s="370"/>
      <c r="I141" s="373" t="s">
        <v>242</v>
      </c>
      <c r="J141" s="372">
        <v>0.21</v>
      </c>
      <c r="K141" s="383">
        <v>0.16</v>
      </c>
    </row>
    <row r="142" spans="1:19" ht="12.75">
      <c r="A142" t="s">
        <v>158</v>
      </c>
      <c r="B142" t="s">
        <v>257</v>
      </c>
      <c r="C142" t="s">
        <v>136</v>
      </c>
      <c r="D142" s="65" t="s">
        <v>169</v>
      </c>
      <c r="E142" s="73"/>
      <c r="F142" s="73"/>
      <c r="G142" s="73"/>
      <c r="H142" s="73"/>
      <c r="I142" s="73"/>
      <c r="J142">
        <v>0.1</v>
      </c>
      <c r="K142">
        <v>0.1</v>
      </c>
      <c r="L142">
        <v>0.1</v>
      </c>
      <c r="M142">
        <v>0.1</v>
      </c>
      <c r="N142">
        <v>0.1</v>
      </c>
      <c r="O142">
        <v>0.1</v>
      </c>
      <c r="P142">
        <v>0.1</v>
      </c>
      <c r="Q142">
        <v>0.1</v>
      </c>
      <c r="R142">
        <v>0.1</v>
      </c>
      <c r="S142">
        <v>0.1</v>
      </c>
    </row>
    <row r="143" spans="4:11" ht="12.75">
      <c r="D143" s="65" t="s">
        <v>169</v>
      </c>
      <c r="E143" s="73"/>
      <c r="F143" s="73"/>
      <c r="G143" s="73"/>
      <c r="H143" s="370"/>
      <c r="I143" s="373" t="s">
        <v>242</v>
      </c>
      <c r="J143" s="372">
        <v>0</v>
      </c>
      <c r="K143" s="383">
        <v>0.34</v>
      </c>
    </row>
    <row r="144" spans="4:9" ht="12.75">
      <c r="D144" s="65" t="s">
        <v>169</v>
      </c>
      <c r="E144" s="73"/>
      <c r="F144" s="73"/>
      <c r="G144" s="73"/>
      <c r="H144" s="73"/>
      <c r="I144" s="73"/>
    </row>
    <row r="145" spans="4:9" ht="12.75">
      <c r="D145" s="65" t="s">
        <v>169</v>
      </c>
      <c r="E145" s="73"/>
      <c r="F145" s="73"/>
      <c r="G145" s="73"/>
      <c r="H145" s="73"/>
      <c r="I145" s="73"/>
    </row>
    <row r="146" spans="1:14" ht="12.75">
      <c r="A146" t="s">
        <v>160</v>
      </c>
      <c r="B146" s="65" t="s">
        <v>78</v>
      </c>
      <c r="C146" t="s">
        <v>76</v>
      </c>
      <c r="D146" s="65" t="s">
        <v>169</v>
      </c>
      <c r="E146" s="73"/>
      <c r="F146" s="73"/>
      <c r="G146" s="73"/>
      <c r="H146" s="73"/>
      <c r="I146" s="73"/>
      <c r="J146" s="65"/>
      <c r="K146" s="65">
        <v>0.1</v>
      </c>
      <c r="L146" s="65">
        <v>0.1</v>
      </c>
      <c r="M146" s="65">
        <v>0.1</v>
      </c>
      <c r="N146" s="65">
        <v>0.1</v>
      </c>
    </row>
    <row r="147" spans="4:11" ht="12.75">
      <c r="D147" s="65"/>
      <c r="E147" s="73"/>
      <c r="F147" s="73"/>
      <c r="G147" s="73"/>
      <c r="H147" s="370"/>
      <c r="I147" s="373" t="s">
        <v>242</v>
      </c>
      <c r="J147" s="372">
        <v>0.03</v>
      </c>
      <c r="K147" s="383">
        <v>0.01</v>
      </c>
    </row>
    <row r="148" spans="1:13" ht="12.75">
      <c r="A148" t="s">
        <v>160</v>
      </c>
      <c r="B148" t="s">
        <v>173</v>
      </c>
      <c r="C148" t="s">
        <v>153</v>
      </c>
      <c r="D148" s="65" t="s">
        <v>169</v>
      </c>
      <c r="E148" s="73"/>
      <c r="F148" s="73"/>
      <c r="G148" s="73"/>
      <c r="H148" s="73"/>
      <c r="I148" s="73"/>
      <c r="J148">
        <v>1</v>
      </c>
      <c r="K148">
        <v>1</v>
      </c>
      <c r="L148">
        <v>1</v>
      </c>
      <c r="M148">
        <v>1</v>
      </c>
    </row>
    <row r="149" spans="1:14" ht="12.75">
      <c r="A149" t="s">
        <v>160</v>
      </c>
      <c r="B149" t="s">
        <v>173</v>
      </c>
      <c r="C149" t="s">
        <v>76</v>
      </c>
      <c r="D149" s="65" t="s">
        <v>169</v>
      </c>
      <c r="E149" s="73"/>
      <c r="F149" s="73"/>
      <c r="G149" s="73"/>
      <c r="H149" s="73"/>
      <c r="I149" s="73"/>
      <c r="K149">
        <v>0.1</v>
      </c>
      <c r="L149">
        <v>0.1</v>
      </c>
      <c r="M149">
        <v>0.1</v>
      </c>
      <c r="N149">
        <v>0.1</v>
      </c>
    </row>
    <row r="150" spans="3:14" ht="12.75">
      <c r="C150" s="74" t="s">
        <v>201</v>
      </c>
      <c r="D150" s="65"/>
      <c r="E150" s="73"/>
      <c r="F150" s="73"/>
      <c r="G150" s="73"/>
      <c r="H150" s="73"/>
      <c r="I150" s="73"/>
      <c r="J150" s="79">
        <f>SUM(J148:J149)</f>
        <v>1</v>
      </c>
      <c r="K150" s="79">
        <f>SUM(K148:K149)</f>
        <v>1.1</v>
      </c>
      <c r="L150" s="79">
        <f>SUM(L148:L149)</f>
        <v>1.1</v>
      </c>
      <c r="M150" s="79">
        <f>SUM(M148:M149)</f>
        <v>1.1</v>
      </c>
      <c r="N150" s="79">
        <f>SUM(N148:N149)</f>
        <v>0.1</v>
      </c>
    </row>
    <row r="151" spans="3:14" ht="12.75">
      <c r="C151" s="74"/>
      <c r="D151" s="65"/>
      <c r="E151" s="73"/>
      <c r="F151" s="73"/>
      <c r="G151" s="73"/>
      <c r="H151" s="370"/>
      <c r="I151" s="373" t="s">
        <v>242</v>
      </c>
      <c r="J151" s="372">
        <v>0.86</v>
      </c>
      <c r="K151" s="383">
        <v>0.94</v>
      </c>
      <c r="L151" s="79"/>
      <c r="M151" s="79"/>
      <c r="N151" s="79"/>
    </row>
    <row r="152" spans="1:19" ht="12.75">
      <c r="A152" t="s">
        <v>160</v>
      </c>
      <c r="B152" t="s">
        <v>86</v>
      </c>
      <c r="C152" t="s">
        <v>136</v>
      </c>
      <c r="D152" s="65" t="s">
        <v>169</v>
      </c>
      <c r="E152" s="73"/>
      <c r="F152" s="73"/>
      <c r="G152" s="73"/>
      <c r="H152" s="73"/>
      <c r="I152" s="73"/>
      <c r="J152">
        <v>0.7</v>
      </c>
      <c r="K152">
        <v>0.8</v>
      </c>
      <c r="L152">
        <v>0.7</v>
      </c>
      <c r="M152">
        <v>0.7</v>
      </c>
      <c r="N152">
        <v>0.4</v>
      </c>
      <c r="O152">
        <v>0.3</v>
      </c>
      <c r="P152">
        <v>0.3</v>
      </c>
      <c r="Q152">
        <v>0.4</v>
      </c>
      <c r="R152">
        <v>0.3</v>
      </c>
      <c r="S152">
        <v>0.4</v>
      </c>
    </row>
    <row r="153" spans="1:14" ht="12.75">
      <c r="A153" t="s">
        <v>160</v>
      </c>
      <c r="B153" t="s">
        <v>86</v>
      </c>
      <c r="C153" t="s">
        <v>76</v>
      </c>
      <c r="D153" s="65" t="s">
        <v>169</v>
      </c>
      <c r="E153" s="73"/>
      <c r="F153" s="73"/>
      <c r="G153" s="73"/>
      <c r="H153" s="73"/>
      <c r="I153" s="73"/>
      <c r="K153">
        <v>0.1</v>
      </c>
      <c r="L153">
        <v>0</v>
      </c>
      <c r="M153">
        <v>0</v>
      </c>
      <c r="N153">
        <v>0.1</v>
      </c>
    </row>
    <row r="154" spans="3:19" ht="12.75">
      <c r="C154" s="74" t="s">
        <v>202</v>
      </c>
      <c r="D154" s="65"/>
      <c r="E154" s="73"/>
      <c r="F154" s="73"/>
      <c r="G154" s="73"/>
      <c r="H154" s="73"/>
      <c r="I154" s="73"/>
      <c r="J154" s="79">
        <f aca="true" t="shared" si="8" ref="J154:S154">SUM(J152:J153)</f>
        <v>0.7</v>
      </c>
      <c r="K154" s="79">
        <f t="shared" si="8"/>
        <v>0.9</v>
      </c>
      <c r="L154" s="79">
        <f t="shared" si="8"/>
        <v>0.7</v>
      </c>
      <c r="M154" s="79">
        <f t="shared" si="8"/>
        <v>0.7</v>
      </c>
      <c r="N154" s="79">
        <f t="shared" si="8"/>
        <v>0.5</v>
      </c>
      <c r="O154" s="79">
        <f t="shared" si="8"/>
        <v>0.3</v>
      </c>
      <c r="P154" s="79">
        <f t="shared" si="8"/>
        <v>0.3</v>
      </c>
      <c r="Q154" s="79">
        <f t="shared" si="8"/>
        <v>0.4</v>
      </c>
      <c r="R154" s="79">
        <f t="shared" si="8"/>
        <v>0.3</v>
      </c>
      <c r="S154" s="79">
        <f t="shared" si="8"/>
        <v>0.4</v>
      </c>
    </row>
    <row r="155" spans="3:19" ht="12.75">
      <c r="C155" s="74"/>
      <c r="D155" s="65"/>
      <c r="E155" s="73"/>
      <c r="F155" s="73"/>
      <c r="G155" s="73"/>
      <c r="H155" s="370"/>
      <c r="I155" s="373" t="s">
        <v>242</v>
      </c>
      <c r="J155" s="372">
        <v>0.36</v>
      </c>
      <c r="K155" s="383">
        <v>0.43</v>
      </c>
      <c r="L155" s="79"/>
      <c r="M155" s="79"/>
      <c r="N155" s="79"/>
      <c r="O155" s="79"/>
      <c r="P155" s="79"/>
      <c r="Q155" s="79"/>
      <c r="R155" s="79"/>
      <c r="S155" s="79"/>
    </row>
    <row r="156" spans="1:19" ht="12.75">
      <c r="A156" t="s">
        <v>160</v>
      </c>
      <c r="B156" t="s">
        <v>170</v>
      </c>
      <c r="C156" t="s">
        <v>137</v>
      </c>
      <c r="D156" s="65" t="s">
        <v>169</v>
      </c>
      <c r="E156" s="73"/>
      <c r="F156" s="73"/>
      <c r="G156" s="73"/>
      <c r="H156" s="73"/>
      <c r="I156" s="73"/>
      <c r="J156" s="65"/>
      <c r="K156" s="65"/>
      <c r="L156" s="65"/>
      <c r="M156" s="65">
        <v>0.4</v>
      </c>
      <c r="N156" s="65">
        <v>0.4</v>
      </c>
      <c r="O156" s="65">
        <v>0.3</v>
      </c>
      <c r="P156" s="65">
        <v>0.3</v>
      </c>
      <c r="Q156" s="65">
        <v>0.4</v>
      </c>
      <c r="R156" s="65">
        <v>0.4</v>
      </c>
      <c r="S156" s="65">
        <v>0.4</v>
      </c>
    </row>
    <row r="157" spans="1:19" ht="12.75">
      <c r="A157" t="s">
        <v>160</v>
      </c>
      <c r="B157" t="s">
        <v>170</v>
      </c>
      <c r="C157" t="s">
        <v>153</v>
      </c>
      <c r="D157" s="65" t="s">
        <v>169</v>
      </c>
      <c r="E157" s="73"/>
      <c r="F157" s="73"/>
      <c r="G157" s="73"/>
      <c r="H157" s="73"/>
      <c r="I157" s="73"/>
      <c r="J157" s="65"/>
      <c r="K157" s="390"/>
      <c r="L157" s="65"/>
      <c r="M157" s="65"/>
      <c r="N157" s="65"/>
      <c r="O157" s="65"/>
      <c r="P157" s="65"/>
      <c r="Q157" s="65"/>
      <c r="R157" s="65"/>
      <c r="S157" s="65"/>
    </row>
    <row r="158" spans="4:11" ht="12.75">
      <c r="D158" s="65"/>
      <c r="E158" s="73"/>
      <c r="F158" s="73"/>
      <c r="G158" s="73"/>
      <c r="H158" s="370"/>
      <c r="I158" s="373" t="s">
        <v>242</v>
      </c>
      <c r="J158" s="372">
        <v>0.85</v>
      </c>
      <c r="K158" s="383">
        <v>1.58</v>
      </c>
    </row>
    <row r="159" spans="1:10" ht="12.75">
      <c r="A159" t="s">
        <v>160</v>
      </c>
      <c r="B159" t="s">
        <v>100</v>
      </c>
      <c r="C159" t="s">
        <v>140</v>
      </c>
      <c r="D159" s="65" t="s">
        <v>169</v>
      </c>
      <c r="E159" s="73"/>
      <c r="F159" s="73"/>
      <c r="G159" s="73"/>
      <c r="H159" s="73"/>
      <c r="I159" s="73"/>
      <c r="J159">
        <v>0.3</v>
      </c>
    </row>
    <row r="160" spans="1:14" ht="12.75">
      <c r="A160" t="s">
        <v>160</v>
      </c>
      <c r="B160" t="s">
        <v>100</v>
      </c>
      <c r="C160" t="s">
        <v>76</v>
      </c>
      <c r="D160" s="65" t="s">
        <v>169</v>
      </c>
      <c r="E160" s="73"/>
      <c r="F160" s="73"/>
      <c r="G160" s="73"/>
      <c r="H160" s="73"/>
      <c r="I160" s="73"/>
      <c r="K160">
        <v>0.1</v>
      </c>
      <c r="L160">
        <v>0.1</v>
      </c>
      <c r="M160">
        <v>0.1</v>
      </c>
      <c r="N160">
        <v>0.1</v>
      </c>
    </row>
    <row r="161" spans="3:14" ht="12.75">
      <c r="C161" s="74" t="s">
        <v>203</v>
      </c>
      <c r="D161" s="65"/>
      <c r="E161" s="73"/>
      <c r="F161" s="73"/>
      <c r="G161" s="73"/>
      <c r="H161" s="73"/>
      <c r="I161" s="73"/>
      <c r="J161" s="79">
        <f>SUM(J159:J160)</f>
        <v>0.3</v>
      </c>
      <c r="K161" s="79">
        <f>SUM(K159:K160)</f>
        <v>0.1</v>
      </c>
      <c r="L161" s="79">
        <f>SUM(L159:L160)</f>
        <v>0.1</v>
      </c>
      <c r="M161" s="79">
        <f>SUM(M159:M160)</f>
        <v>0.1</v>
      </c>
      <c r="N161" s="79">
        <f>SUM(N159:N160)</f>
        <v>0.1</v>
      </c>
    </row>
    <row r="162" spans="3:14" ht="12.75">
      <c r="C162" s="74"/>
      <c r="D162" s="65"/>
      <c r="E162" s="73"/>
      <c r="F162" s="73"/>
      <c r="G162" s="73"/>
      <c r="H162" s="370"/>
      <c r="I162" s="373" t="s">
        <v>242</v>
      </c>
      <c r="J162" s="372">
        <v>0</v>
      </c>
      <c r="K162" s="383">
        <v>0.16</v>
      </c>
      <c r="L162" s="79"/>
      <c r="M162" s="79"/>
      <c r="N162" s="79"/>
    </row>
    <row r="163" spans="1:13" ht="12.75">
      <c r="A163" t="s">
        <v>160</v>
      </c>
      <c r="B163" s="65" t="s">
        <v>102</v>
      </c>
      <c r="C163" t="s">
        <v>129</v>
      </c>
      <c r="D163" s="65" t="s">
        <v>169</v>
      </c>
      <c r="E163" s="73"/>
      <c r="F163" s="73"/>
      <c r="G163" s="73"/>
      <c r="H163" s="73"/>
      <c r="I163" s="73"/>
      <c r="J163" s="65">
        <v>0.4</v>
      </c>
      <c r="K163" s="65">
        <v>0.4</v>
      </c>
      <c r="L163" s="65">
        <v>0.4</v>
      </c>
      <c r="M163" s="65">
        <v>0.4</v>
      </c>
    </row>
    <row r="164" spans="4:11" ht="12.75">
      <c r="D164" s="65"/>
      <c r="E164" s="73"/>
      <c r="F164" s="73"/>
      <c r="G164" s="73"/>
      <c r="H164" s="370"/>
      <c r="I164" s="373" t="s">
        <v>242</v>
      </c>
      <c r="J164" s="372">
        <v>0.32</v>
      </c>
      <c r="K164" s="383">
        <v>0.29</v>
      </c>
    </row>
    <row r="165" spans="1:16" ht="12.75">
      <c r="A165" t="s">
        <v>160</v>
      </c>
      <c r="B165" s="65" t="s">
        <v>111</v>
      </c>
      <c r="C165" t="s">
        <v>142</v>
      </c>
      <c r="D165" s="65" t="s">
        <v>169</v>
      </c>
      <c r="E165" s="73"/>
      <c r="F165" s="73"/>
      <c r="G165" s="73"/>
      <c r="H165" s="73"/>
      <c r="I165" s="73"/>
      <c r="J165">
        <v>0.4</v>
      </c>
      <c r="K165">
        <v>0.4</v>
      </c>
      <c r="L165">
        <v>0.4</v>
      </c>
      <c r="M165">
        <v>0.4</v>
      </c>
      <c r="N165">
        <v>0.4</v>
      </c>
      <c r="O165">
        <v>0.3</v>
      </c>
      <c r="P165">
        <v>0.3</v>
      </c>
    </row>
    <row r="166" spans="4:11" ht="12.75">
      <c r="D166" s="65"/>
      <c r="E166" s="73"/>
      <c r="F166" s="73"/>
      <c r="G166" s="73"/>
      <c r="H166" s="370"/>
      <c r="I166" s="373" t="s">
        <v>242</v>
      </c>
      <c r="J166" s="372">
        <v>0.21</v>
      </c>
      <c r="K166" s="383">
        <v>0.16</v>
      </c>
    </row>
    <row r="167" spans="1:15" ht="12.75">
      <c r="A167" t="s">
        <v>160</v>
      </c>
      <c r="B167" s="65" t="s">
        <v>112</v>
      </c>
      <c r="C167" t="s">
        <v>153</v>
      </c>
      <c r="D167" s="65" t="s">
        <v>169</v>
      </c>
      <c r="E167" s="73"/>
      <c r="F167" s="73"/>
      <c r="G167" s="73"/>
      <c r="H167" s="73"/>
      <c r="I167" s="73"/>
      <c r="J167" s="65">
        <v>1</v>
      </c>
      <c r="K167" s="65">
        <v>1</v>
      </c>
      <c r="L167" s="65">
        <v>1</v>
      </c>
      <c r="M167" s="65">
        <v>1</v>
      </c>
      <c r="N167" s="65">
        <v>0.4</v>
      </c>
      <c r="O167" s="65"/>
    </row>
    <row r="168" spans="4:15" ht="12.75">
      <c r="D168" s="65"/>
      <c r="E168" s="73"/>
      <c r="F168" s="73"/>
      <c r="G168" s="73"/>
      <c r="H168" s="370"/>
      <c r="I168" s="373" t="s">
        <v>242</v>
      </c>
      <c r="J168" s="372">
        <v>0.48</v>
      </c>
      <c r="K168" s="383">
        <v>0.54</v>
      </c>
      <c r="L168" s="65"/>
      <c r="M168" s="65"/>
      <c r="N168" s="65"/>
      <c r="O168" s="65"/>
    </row>
    <row r="169" spans="1:15" ht="12.75">
      <c r="A169" t="s">
        <v>160</v>
      </c>
      <c r="B169" s="65" t="s">
        <v>175</v>
      </c>
      <c r="C169" t="s">
        <v>135</v>
      </c>
      <c r="D169" s="65" t="s">
        <v>169</v>
      </c>
      <c r="E169" s="73"/>
      <c r="F169" s="73"/>
      <c r="G169" s="73"/>
      <c r="H169" s="73"/>
      <c r="I169" s="73"/>
      <c r="J169" s="65">
        <v>0.6</v>
      </c>
      <c r="K169" s="65">
        <v>0.7</v>
      </c>
      <c r="L169" s="65">
        <v>0.6</v>
      </c>
      <c r="M169" s="65">
        <v>0.6</v>
      </c>
      <c r="N169" s="65"/>
      <c r="O169" s="65"/>
    </row>
    <row r="170" spans="4:11" ht="12.75">
      <c r="D170" s="65"/>
      <c r="E170" s="73"/>
      <c r="F170" s="73"/>
      <c r="G170" s="73"/>
      <c r="H170" s="370"/>
      <c r="I170" s="373" t="s">
        <v>242</v>
      </c>
      <c r="J170" s="372">
        <v>0.43</v>
      </c>
      <c r="K170" s="383">
        <v>0</v>
      </c>
    </row>
    <row r="171" spans="1:13" ht="12.75">
      <c r="A171" t="s">
        <v>160</v>
      </c>
      <c r="B171" t="s">
        <v>117</v>
      </c>
      <c r="C171" t="s">
        <v>127</v>
      </c>
      <c r="D171" s="65" t="s">
        <v>169</v>
      </c>
      <c r="E171" s="73"/>
      <c r="F171" s="73"/>
      <c r="G171" s="73"/>
      <c r="H171" s="73"/>
      <c r="I171" s="73"/>
      <c r="J171">
        <v>0.8</v>
      </c>
      <c r="L171">
        <v>0.2</v>
      </c>
      <c r="M171">
        <v>0.1</v>
      </c>
    </row>
    <row r="172" spans="1:13" ht="12.75">
      <c r="A172" t="s">
        <v>160</v>
      </c>
      <c r="B172" t="s">
        <v>117</v>
      </c>
      <c r="C172" t="s">
        <v>139</v>
      </c>
      <c r="D172" s="65" t="s">
        <v>169</v>
      </c>
      <c r="E172" s="73"/>
      <c r="F172" s="73"/>
      <c r="G172" s="73"/>
      <c r="H172" s="73"/>
      <c r="I172" s="73"/>
      <c r="J172">
        <v>0.1</v>
      </c>
      <c r="K172">
        <v>0.1</v>
      </c>
      <c r="L172">
        <v>0.1</v>
      </c>
      <c r="M172">
        <v>0.1</v>
      </c>
    </row>
    <row r="173" spans="3:13" ht="12.75">
      <c r="C173" s="74" t="s">
        <v>204</v>
      </c>
      <c r="D173" s="65"/>
      <c r="E173" s="73"/>
      <c r="F173" s="73"/>
      <c r="G173" s="73"/>
      <c r="H173" s="73"/>
      <c r="I173" s="73"/>
      <c r="J173" s="79">
        <f>SUM(J171:J172)</f>
        <v>0.9</v>
      </c>
      <c r="K173" s="79">
        <f>SUM(K171:K172)</f>
        <v>0.1</v>
      </c>
      <c r="L173" s="79">
        <f>SUM(L171:L172)</f>
        <v>0.30000000000000004</v>
      </c>
      <c r="M173" s="79">
        <f>SUM(M171:M172)</f>
        <v>0.2</v>
      </c>
    </row>
    <row r="174" spans="3:13" ht="12.75">
      <c r="C174" s="74"/>
      <c r="D174" s="65"/>
      <c r="E174" s="73"/>
      <c r="F174" s="73"/>
      <c r="G174" s="73"/>
      <c r="H174" s="370"/>
      <c r="I174" s="373" t="s">
        <v>242</v>
      </c>
      <c r="J174" s="372">
        <v>0.61</v>
      </c>
      <c r="K174" s="383">
        <v>0.35</v>
      </c>
      <c r="L174" s="79"/>
      <c r="M174" s="79"/>
    </row>
    <row r="175" spans="1:13" ht="12.75">
      <c r="A175" t="s">
        <v>160</v>
      </c>
      <c r="B175" t="s">
        <v>122</v>
      </c>
      <c r="C175" t="s">
        <v>135</v>
      </c>
      <c r="D175" s="65" t="s">
        <v>169</v>
      </c>
      <c r="E175" s="73"/>
      <c r="F175" s="73"/>
      <c r="G175" s="73"/>
      <c r="H175" s="73"/>
      <c r="I175" s="73"/>
      <c r="J175">
        <v>0.9</v>
      </c>
      <c r="K175">
        <v>0.9</v>
      </c>
      <c r="L175">
        <v>0.9</v>
      </c>
      <c r="M175">
        <v>0.9</v>
      </c>
    </row>
    <row r="176" spans="1:14" ht="12.75">
      <c r="A176" t="s">
        <v>160</v>
      </c>
      <c r="B176" t="s">
        <v>122</v>
      </c>
      <c r="C176" t="s">
        <v>76</v>
      </c>
      <c r="D176" s="65" t="s">
        <v>169</v>
      </c>
      <c r="E176" s="73"/>
      <c r="F176" s="73"/>
      <c r="G176" s="73"/>
      <c r="H176" s="73"/>
      <c r="I176" s="73"/>
      <c r="K176">
        <v>0.2</v>
      </c>
      <c r="L176">
        <v>0.2</v>
      </c>
      <c r="M176">
        <v>0.2</v>
      </c>
      <c r="N176">
        <v>0.3</v>
      </c>
    </row>
    <row r="177" spans="3:14" ht="12.75">
      <c r="C177" s="74" t="s">
        <v>205</v>
      </c>
      <c r="D177" s="65" t="s">
        <v>169</v>
      </c>
      <c r="E177" s="73"/>
      <c r="F177" s="73"/>
      <c r="G177" s="73"/>
      <c r="H177" s="73"/>
      <c r="I177" s="73"/>
      <c r="J177" s="79">
        <f>SUM(J175:J176)</f>
        <v>0.9</v>
      </c>
      <c r="K177" s="79">
        <f>SUM(K175:K176)</f>
        <v>1.1</v>
      </c>
      <c r="L177" s="79">
        <f>SUM(L175:L176)</f>
        <v>1.1</v>
      </c>
      <c r="M177" s="79">
        <f>SUM(M175:M176)</f>
        <v>1.1</v>
      </c>
      <c r="N177" s="79">
        <f>SUM(N175:N176)</f>
        <v>0.3</v>
      </c>
    </row>
    <row r="178" spans="3:14" ht="12.75">
      <c r="C178" s="74"/>
      <c r="D178" s="65"/>
      <c r="E178" s="73"/>
      <c r="F178" s="73"/>
      <c r="G178" s="73"/>
      <c r="H178" s="370"/>
      <c r="I178" s="373" t="s">
        <v>242</v>
      </c>
      <c r="J178" s="372">
        <v>0.86</v>
      </c>
      <c r="K178" s="383">
        <v>0.47</v>
      </c>
      <c r="L178" s="79"/>
      <c r="M178" s="79"/>
      <c r="N178" s="79"/>
    </row>
    <row r="179" spans="3:19" ht="15.75">
      <c r="C179" s="75" t="s">
        <v>176</v>
      </c>
      <c r="D179" s="78" t="s">
        <v>169</v>
      </c>
      <c r="E179" s="73">
        <v>4.1</v>
      </c>
      <c r="F179" s="73">
        <v>7.3</v>
      </c>
      <c r="G179" s="73">
        <v>8.2</v>
      </c>
      <c r="H179" s="73">
        <v>8.5</v>
      </c>
      <c r="I179" s="73">
        <v>7.1</v>
      </c>
      <c r="J179" s="77">
        <f>SUM(J177,J173,J169,J167,J165,J163,J161,J156,J154,J150,J146)</f>
        <v>6.2</v>
      </c>
      <c r="K179" s="77">
        <f aca="true" t="shared" si="9" ref="K179:S179">SUM(K177,K173,K169,K167,K165,K163,K161,K156,K154,K150,K146)</f>
        <v>5.9</v>
      </c>
      <c r="L179" s="77">
        <f t="shared" si="9"/>
        <v>5.799999999999999</v>
      </c>
      <c r="M179" s="77">
        <f t="shared" si="9"/>
        <v>6.1</v>
      </c>
      <c r="N179" s="77">
        <f t="shared" si="9"/>
        <v>2.3000000000000003</v>
      </c>
      <c r="O179" s="77">
        <f t="shared" si="9"/>
        <v>0.8999999999999999</v>
      </c>
      <c r="P179" s="77">
        <f t="shared" si="9"/>
        <v>0.8999999999999999</v>
      </c>
      <c r="Q179" s="77">
        <f t="shared" si="9"/>
        <v>0.8</v>
      </c>
      <c r="R179" s="77">
        <f t="shared" si="9"/>
        <v>0.7</v>
      </c>
      <c r="S179" s="77">
        <f t="shared" si="9"/>
        <v>0.8</v>
      </c>
    </row>
    <row r="180" spans="4:11" ht="15.75">
      <c r="D180" s="65" t="s">
        <v>169</v>
      </c>
      <c r="E180" s="73"/>
      <c r="F180" s="73"/>
      <c r="G180" s="73"/>
      <c r="H180" s="374"/>
      <c r="I180" s="375" t="s">
        <v>242</v>
      </c>
      <c r="J180" s="376">
        <f>SUM(J178,J174,J170,J168,J166,J164,J162,J158,J155,J151,J147)</f>
        <v>5.010000000000001</v>
      </c>
      <c r="K180" s="376">
        <f>SUM(K178,K174,K170,K168,K166,K164,K162,K158,K155,K151,K147)</f>
        <v>4.93</v>
      </c>
    </row>
    <row r="181" spans="1:10" ht="12.75">
      <c r="A181" t="s">
        <v>161</v>
      </c>
      <c r="B181" t="s">
        <v>85</v>
      </c>
      <c r="C181" t="s">
        <v>135</v>
      </c>
      <c r="D181" s="65" t="s">
        <v>169</v>
      </c>
      <c r="E181" s="73"/>
      <c r="F181" s="73"/>
      <c r="G181" s="73"/>
      <c r="H181" s="73"/>
      <c r="I181" s="73"/>
      <c r="J181">
        <v>1.1</v>
      </c>
    </row>
    <row r="182" spans="1:13" ht="12.75">
      <c r="A182" t="s">
        <v>159</v>
      </c>
      <c r="B182" t="s">
        <v>87</v>
      </c>
      <c r="C182" t="s">
        <v>138</v>
      </c>
      <c r="D182" s="65" t="s">
        <v>169</v>
      </c>
      <c r="E182" s="73"/>
      <c r="F182" s="73"/>
      <c r="G182" s="73"/>
      <c r="H182" s="73"/>
      <c r="I182" s="73"/>
      <c r="J182">
        <v>0.9</v>
      </c>
      <c r="K182">
        <v>0.9</v>
      </c>
      <c r="L182">
        <v>0.9</v>
      </c>
      <c r="M182">
        <v>0.9</v>
      </c>
    </row>
    <row r="183" spans="1:13" ht="12.75">
      <c r="A183" t="s">
        <v>161</v>
      </c>
      <c r="B183" t="s">
        <v>150</v>
      </c>
      <c r="C183" t="s">
        <v>153</v>
      </c>
      <c r="D183" s="65" t="s">
        <v>169</v>
      </c>
      <c r="E183" s="73"/>
      <c r="F183" s="73"/>
      <c r="G183" s="73"/>
      <c r="H183" s="73"/>
      <c r="I183" s="73"/>
      <c r="J183">
        <v>1</v>
      </c>
      <c r="K183">
        <v>1</v>
      </c>
      <c r="L183">
        <v>1</v>
      </c>
      <c r="M183">
        <v>0.7</v>
      </c>
    </row>
    <row r="184" spans="1:11" ht="12.75">
      <c r="A184" t="s">
        <v>161</v>
      </c>
      <c r="B184" t="s">
        <v>59</v>
      </c>
      <c r="C184" t="s">
        <v>143</v>
      </c>
      <c r="D184" s="65" t="s">
        <v>169</v>
      </c>
      <c r="E184" s="73"/>
      <c r="F184" s="73"/>
      <c r="G184" s="73"/>
      <c r="H184" s="73"/>
      <c r="I184" s="73"/>
      <c r="J184">
        <v>0.4</v>
      </c>
      <c r="K184">
        <v>0.4</v>
      </c>
    </row>
    <row r="185" spans="1:12" ht="12.75">
      <c r="A185" t="s">
        <v>161</v>
      </c>
      <c r="B185" t="s">
        <v>59</v>
      </c>
      <c r="C185" t="s">
        <v>129</v>
      </c>
      <c r="D185" s="65" t="s">
        <v>169</v>
      </c>
      <c r="E185" s="73"/>
      <c r="F185" s="73"/>
      <c r="G185" s="73"/>
      <c r="H185" s="73"/>
      <c r="I185" s="73"/>
      <c r="J185">
        <v>4.3</v>
      </c>
      <c r="K185">
        <v>3.9</v>
      </c>
      <c r="L185">
        <v>1.5</v>
      </c>
    </row>
    <row r="186" spans="1:11" ht="12.75">
      <c r="A186" t="s">
        <v>161</v>
      </c>
      <c r="B186" t="s">
        <v>59</v>
      </c>
      <c r="C186" t="s">
        <v>129</v>
      </c>
      <c r="D186" s="65" t="s">
        <v>169</v>
      </c>
      <c r="E186" s="73"/>
      <c r="F186" s="73"/>
      <c r="G186" s="73"/>
      <c r="H186" s="73"/>
      <c r="I186" s="73"/>
      <c r="K186">
        <v>1.7</v>
      </c>
    </row>
    <row r="187" spans="1:12" ht="12.75">
      <c r="A187" t="s">
        <v>161</v>
      </c>
      <c r="B187" t="s">
        <v>59</v>
      </c>
      <c r="C187" t="s">
        <v>129</v>
      </c>
      <c r="D187" s="65" t="s">
        <v>169</v>
      </c>
      <c r="E187" s="73"/>
      <c r="F187" s="73"/>
      <c r="G187" s="73"/>
      <c r="H187" s="73"/>
      <c r="I187" s="73"/>
      <c r="K187">
        <v>0.3</v>
      </c>
      <c r="L187">
        <v>0.2</v>
      </c>
    </row>
    <row r="188" spans="1:12" ht="12.75">
      <c r="A188" t="s">
        <v>161</v>
      </c>
      <c r="B188" t="s">
        <v>59</v>
      </c>
      <c r="C188" t="s">
        <v>141</v>
      </c>
      <c r="D188" s="65" t="s">
        <v>169</v>
      </c>
      <c r="E188" s="73"/>
      <c r="F188" s="73"/>
      <c r="G188" s="73"/>
      <c r="H188" s="73"/>
      <c r="I188" s="73"/>
      <c r="J188">
        <v>1.8</v>
      </c>
      <c r="K188">
        <v>1.8</v>
      </c>
      <c r="L188">
        <v>1.8</v>
      </c>
    </row>
    <row r="189" spans="1:14" ht="12.75">
      <c r="A189" t="s">
        <v>161</v>
      </c>
      <c r="B189" t="s">
        <v>59</v>
      </c>
      <c r="C189" t="s">
        <v>138</v>
      </c>
      <c r="D189" s="65" t="s">
        <v>169</v>
      </c>
      <c r="E189" s="73"/>
      <c r="F189" s="73"/>
      <c r="G189" s="73"/>
      <c r="H189" s="73"/>
      <c r="I189" s="73"/>
      <c r="J189">
        <v>9.1</v>
      </c>
      <c r="K189">
        <v>9</v>
      </c>
      <c r="L189">
        <v>6.7</v>
      </c>
      <c r="M189">
        <v>6.7</v>
      </c>
      <c r="N189">
        <v>1.2</v>
      </c>
    </row>
    <row r="190" spans="1:10" ht="12.75">
      <c r="A190" t="s">
        <v>161</v>
      </c>
      <c r="B190" t="s">
        <v>59</v>
      </c>
      <c r="C190" t="s">
        <v>140</v>
      </c>
      <c r="D190" s="65" t="s">
        <v>169</v>
      </c>
      <c r="E190" s="73"/>
      <c r="F190" s="73"/>
      <c r="G190" s="73"/>
      <c r="H190" s="73"/>
      <c r="I190" s="73"/>
      <c r="J190">
        <v>0.1</v>
      </c>
    </row>
    <row r="191" spans="1:16" ht="12.75">
      <c r="A191" t="s">
        <v>161</v>
      </c>
      <c r="B191" t="s">
        <v>59</v>
      </c>
      <c r="C191" t="s">
        <v>142</v>
      </c>
      <c r="D191" s="65" t="s">
        <v>169</v>
      </c>
      <c r="E191" s="73"/>
      <c r="F191" s="73"/>
      <c r="G191" s="73"/>
      <c r="H191" s="73"/>
      <c r="I191" s="73"/>
      <c r="K191">
        <v>3.2</v>
      </c>
      <c r="L191">
        <v>5.1</v>
      </c>
      <c r="M191">
        <v>6.3</v>
      </c>
      <c r="N191">
        <v>4.8</v>
      </c>
      <c r="O191">
        <v>2.3</v>
      </c>
      <c r="P191">
        <v>2.2</v>
      </c>
    </row>
    <row r="192" spans="1:10" ht="12.75">
      <c r="A192" t="s">
        <v>161</v>
      </c>
      <c r="B192" t="s">
        <v>93</v>
      </c>
      <c r="C192" t="s">
        <v>140</v>
      </c>
      <c r="D192" s="65" t="s">
        <v>169</v>
      </c>
      <c r="E192" s="73"/>
      <c r="F192" s="73"/>
      <c r="G192" s="73"/>
      <c r="H192" s="73"/>
      <c r="I192" s="73"/>
      <c r="J192">
        <v>1</v>
      </c>
    </row>
    <row r="193" spans="1:12" ht="12.75">
      <c r="A193" t="s">
        <v>161</v>
      </c>
      <c r="B193" t="s">
        <v>151</v>
      </c>
      <c r="C193" t="s">
        <v>153</v>
      </c>
      <c r="D193" s="65" t="s">
        <v>169</v>
      </c>
      <c r="E193" s="73"/>
      <c r="F193" s="73"/>
      <c r="G193" s="73"/>
      <c r="H193" s="73"/>
      <c r="I193" s="73"/>
      <c r="J193">
        <v>1</v>
      </c>
      <c r="K193">
        <v>1</v>
      </c>
      <c r="L193">
        <v>0.5</v>
      </c>
    </row>
    <row r="194" spans="1:11" ht="12.75">
      <c r="A194" t="s">
        <v>161</v>
      </c>
      <c r="B194" t="s">
        <v>152</v>
      </c>
      <c r="C194" t="s">
        <v>153</v>
      </c>
      <c r="D194" s="65" t="s">
        <v>169</v>
      </c>
      <c r="E194" s="73"/>
      <c r="F194" s="73"/>
      <c r="G194" s="73"/>
      <c r="H194" s="73"/>
      <c r="I194" s="73"/>
      <c r="J194">
        <v>1</v>
      </c>
      <c r="K194">
        <v>0.6</v>
      </c>
    </row>
    <row r="195" spans="1:16" ht="12.75">
      <c r="A195" t="s">
        <v>161</v>
      </c>
      <c r="B195" t="s">
        <v>101</v>
      </c>
      <c r="C195" t="s">
        <v>142</v>
      </c>
      <c r="D195" s="65" t="s">
        <v>169</v>
      </c>
      <c r="E195" s="73"/>
      <c r="F195" s="73"/>
      <c r="G195" s="73"/>
      <c r="H195" s="73"/>
      <c r="I195" s="73"/>
      <c r="K195">
        <v>0.5</v>
      </c>
      <c r="L195">
        <v>0.3</v>
      </c>
      <c r="M195">
        <v>1.5</v>
      </c>
      <c r="N195">
        <v>1.5</v>
      </c>
      <c r="O195">
        <v>1.2</v>
      </c>
      <c r="P195">
        <v>1.1</v>
      </c>
    </row>
    <row r="196" spans="1:13" ht="12.75">
      <c r="A196" t="s">
        <v>161</v>
      </c>
      <c r="B196" t="s">
        <v>105</v>
      </c>
      <c r="C196" t="s">
        <v>147</v>
      </c>
      <c r="D196" s="65" t="s">
        <v>169</v>
      </c>
      <c r="E196" s="73"/>
      <c r="F196" s="73"/>
      <c r="G196" s="73"/>
      <c r="H196" s="73"/>
      <c r="I196" s="73"/>
      <c r="J196">
        <v>0.3</v>
      </c>
      <c r="K196">
        <v>0.3</v>
      </c>
      <c r="L196">
        <v>0.3</v>
      </c>
      <c r="M196">
        <v>0.2</v>
      </c>
    </row>
    <row r="197" spans="1:12" ht="12.75">
      <c r="A197" t="s">
        <v>161</v>
      </c>
      <c r="B197" t="s">
        <v>105</v>
      </c>
      <c r="C197" t="s">
        <v>129</v>
      </c>
      <c r="D197" s="65" t="s">
        <v>169</v>
      </c>
      <c r="E197" s="73"/>
      <c r="F197" s="73"/>
      <c r="G197" s="73"/>
      <c r="H197" s="73"/>
      <c r="I197" s="73"/>
      <c r="J197">
        <v>0.7</v>
      </c>
      <c r="K197">
        <v>0.7</v>
      </c>
      <c r="L197">
        <v>0.7</v>
      </c>
    </row>
    <row r="198" spans="1:10" ht="12.75">
      <c r="A198" t="s">
        <v>161</v>
      </c>
      <c r="B198" t="s">
        <v>174</v>
      </c>
      <c r="C198" t="s">
        <v>153</v>
      </c>
      <c r="D198" s="65" t="s">
        <v>169</v>
      </c>
      <c r="E198" s="73"/>
      <c r="F198" s="73"/>
      <c r="G198" s="73"/>
      <c r="H198" s="73"/>
      <c r="I198" s="73"/>
      <c r="J198">
        <v>1</v>
      </c>
    </row>
    <row r="199" spans="3:16" ht="15.75">
      <c r="C199" s="75" t="s">
        <v>177</v>
      </c>
      <c r="D199" s="78" t="s">
        <v>169</v>
      </c>
      <c r="E199" s="73">
        <v>15</v>
      </c>
      <c r="F199" s="73">
        <v>39.2</v>
      </c>
      <c r="G199" s="73">
        <v>26.4</v>
      </c>
      <c r="H199" s="73">
        <v>25.4</v>
      </c>
      <c r="I199" s="73">
        <v>27.6</v>
      </c>
      <c r="J199" s="78">
        <f>SUM(J181:J198)</f>
        <v>23.700000000000003</v>
      </c>
      <c r="K199" s="78">
        <f aca="true" t="shared" si="10" ref="K199:P199">SUM(K181:K198)</f>
        <v>25.3</v>
      </c>
      <c r="L199" s="78">
        <f t="shared" si="10"/>
        <v>19.000000000000004</v>
      </c>
      <c r="M199" s="78">
        <f t="shared" si="10"/>
        <v>16.3</v>
      </c>
      <c r="N199" s="78">
        <f t="shared" si="10"/>
        <v>7.5</v>
      </c>
      <c r="O199" s="78">
        <f t="shared" si="10"/>
        <v>3.5</v>
      </c>
      <c r="P199" s="78">
        <f t="shared" si="10"/>
        <v>3.3000000000000003</v>
      </c>
    </row>
    <row r="200" spans="4:11" ht="15.75">
      <c r="D200" s="65" t="s">
        <v>169</v>
      </c>
      <c r="E200" s="73"/>
      <c r="F200" s="73"/>
      <c r="G200" s="73"/>
      <c r="H200" s="374"/>
      <c r="I200" s="375" t="s">
        <v>242</v>
      </c>
      <c r="J200" s="376">
        <f>22.14+0.81</f>
        <v>22.95</v>
      </c>
      <c r="K200" s="376">
        <v>17.88</v>
      </c>
    </row>
    <row r="201" spans="4:9" ht="12.75">
      <c r="D201" s="65" t="s">
        <v>169</v>
      </c>
      <c r="E201" s="73"/>
      <c r="F201" s="73"/>
      <c r="G201" s="73"/>
      <c r="H201" s="73"/>
      <c r="I201" s="73"/>
    </row>
    <row r="202" spans="1:16" ht="12.75">
      <c r="A202" t="s">
        <v>164</v>
      </c>
      <c r="B202" t="s">
        <v>60</v>
      </c>
      <c r="C202" t="s">
        <v>135</v>
      </c>
      <c r="D202" s="65" t="s">
        <v>169</v>
      </c>
      <c r="E202" s="73"/>
      <c r="F202" s="73"/>
      <c r="G202" s="73"/>
      <c r="H202" s="73"/>
      <c r="I202" s="73"/>
      <c r="J202">
        <v>0.7</v>
      </c>
      <c r="K202">
        <v>0.7</v>
      </c>
      <c r="L202">
        <v>0.7</v>
      </c>
      <c r="M202">
        <v>0.7</v>
      </c>
      <c r="N202">
        <v>0.7</v>
      </c>
      <c r="O202">
        <v>0.6</v>
      </c>
      <c r="P202">
        <v>0.6</v>
      </c>
    </row>
    <row r="203" spans="4:11" ht="12.75">
      <c r="D203" s="65" t="s">
        <v>169</v>
      </c>
      <c r="E203" s="73"/>
      <c r="F203" s="73"/>
      <c r="G203" s="73"/>
      <c r="H203" s="370"/>
      <c r="I203" s="373" t="s">
        <v>242</v>
      </c>
      <c r="J203" s="372">
        <v>1.02</v>
      </c>
      <c r="K203" s="383">
        <v>0.94</v>
      </c>
    </row>
    <row r="204" spans="1:19" ht="12.75">
      <c r="A204" t="s">
        <v>162</v>
      </c>
      <c r="B204" t="s">
        <v>119</v>
      </c>
      <c r="C204" t="s">
        <v>148</v>
      </c>
      <c r="D204" s="65" t="s">
        <v>169</v>
      </c>
      <c r="E204" s="73"/>
      <c r="F204" s="73"/>
      <c r="G204" s="73"/>
      <c r="H204" s="73"/>
      <c r="I204" s="73"/>
      <c r="J204">
        <v>0.8</v>
      </c>
      <c r="K204">
        <v>0.9</v>
      </c>
      <c r="L204">
        <v>0.8</v>
      </c>
      <c r="M204">
        <v>0.8</v>
      </c>
      <c r="N204">
        <v>0.5</v>
      </c>
      <c r="O204">
        <v>0.4</v>
      </c>
      <c r="P204">
        <v>0.4</v>
      </c>
      <c r="Q204">
        <v>0.5</v>
      </c>
      <c r="R204">
        <v>0.4</v>
      </c>
      <c r="S204">
        <v>0.5</v>
      </c>
    </row>
    <row r="205" spans="1:14" ht="12.75">
      <c r="A205" t="s">
        <v>162</v>
      </c>
      <c r="B205" t="s">
        <v>119</v>
      </c>
      <c r="C205" t="s">
        <v>76</v>
      </c>
      <c r="D205" s="65" t="s">
        <v>169</v>
      </c>
      <c r="E205" s="73"/>
      <c r="F205" s="73"/>
      <c r="G205" s="73"/>
      <c r="H205" s="73"/>
      <c r="I205" s="73"/>
      <c r="K205">
        <v>0.3</v>
      </c>
      <c r="L205">
        <v>0.2</v>
      </c>
      <c r="M205">
        <v>0.2</v>
      </c>
      <c r="N205">
        <v>0.3</v>
      </c>
    </row>
    <row r="206" spans="3:19" ht="12.75">
      <c r="C206" s="74" t="s">
        <v>206</v>
      </c>
      <c r="D206" s="65" t="s">
        <v>169</v>
      </c>
      <c r="E206" s="73"/>
      <c r="F206" s="73"/>
      <c r="G206" s="73"/>
      <c r="H206" s="73"/>
      <c r="I206" s="73"/>
      <c r="J206" s="79">
        <f>SUM(J204:J205)</f>
        <v>0.8</v>
      </c>
      <c r="K206" s="79">
        <f aca="true" t="shared" si="11" ref="K206:S206">SUM(K204:K205)</f>
        <v>1.2</v>
      </c>
      <c r="L206" s="79">
        <f t="shared" si="11"/>
        <v>1</v>
      </c>
      <c r="M206" s="79">
        <f t="shared" si="11"/>
        <v>1</v>
      </c>
      <c r="N206" s="79">
        <f t="shared" si="11"/>
        <v>0.8</v>
      </c>
      <c r="O206" s="79">
        <f t="shared" si="11"/>
        <v>0.4</v>
      </c>
      <c r="P206" s="79">
        <f t="shared" si="11"/>
        <v>0.4</v>
      </c>
      <c r="Q206" s="79">
        <f t="shared" si="11"/>
        <v>0.5</v>
      </c>
      <c r="R206" s="79">
        <f t="shared" si="11"/>
        <v>0.4</v>
      </c>
      <c r="S206" s="79">
        <f t="shared" si="11"/>
        <v>0.5</v>
      </c>
    </row>
    <row r="207" spans="3:19" ht="12.75">
      <c r="C207" s="74"/>
      <c r="D207" s="65"/>
      <c r="E207" s="73"/>
      <c r="F207" s="73"/>
      <c r="G207" s="73"/>
      <c r="H207" s="370"/>
      <c r="I207" s="373" t="s">
        <v>242</v>
      </c>
      <c r="J207" s="372">
        <v>0.83</v>
      </c>
      <c r="K207" s="383">
        <v>0.56</v>
      </c>
      <c r="L207" s="79"/>
      <c r="M207" s="79"/>
      <c r="N207" s="79"/>
      <c r="O207" s="79"/>
      <c r="P207" s="79"/>
      <c r="Q207" s="79"/>
      <c r="R207" s="79"/>
      <c r="S207" s="79"/>
    </row>
    <row r="208" spans="1:19" ht="12.75">
      <c r="A208" t="s">
        <v>163</v>
      </c>
      <c r="B208" t="s">
        <v>109</v>
      </c>
      <c r="C208" t="s">
        <v>148</v>
      </c>
      <c r="D208" s="65" t="s">
        <v>169</v>
      </c>
      <c r="E208" s="73"/>
      <c r="F208" s="73"/>
      <c r="G208" s="73"/>
      <c r="H208" s="73"/>
      <c r="I208" s="73"/>
      <c r="J208">
        <v>0.6</v>
      </c>
      <c r="K208">
        <v>0.7</v>
      </c>
      <c r="L208">
        <v>0.6</v>
      </c>
      <c r="M208">
        <v>0.6</v>
      </c>
      <c r="N208">
        <v>0.4</v>
      </c>
      <c r="O208">
        <v>0.3</v>
      </c>
      <c r="P208">
        <v>0.3</v>
      </c>
      <c r="Q208">
        <v>0.4</v>
      </c>
      <c r="R208">
        <v>0.3</v>
      </c>
      <c r="S208">
        <v>0.4</v>
      </c>
    </row>
    <row r="209" spans="1:14" ht="12.75">
      <c r="A209" t="s">
        <v>163</v>
      </c>
      <c r="B209" t="s">
        <v>118</v>
      </c>
      <c r="C209" t="s">
        <v>76</v>
      </c>
      <c r="D209" s="65" t="s">
        <v>169</v>
      </c>
      <c r="E209" s="73"/>
      <c r="F209" s="73"/>
      <c r="G209" s="73"/>
      <c r="H209" s="73"/>
      <c r="I209" s="73"/>
      <c r="K209">
        <v>0.1</v>
      </c>
      <c r="L209">
        <v>0.1</v>
      </c>
      <c r="M209">
        <v>0.1</v>
      </c>
      <c r="N209">
        <v>0.1</v>
      </c>
    </row>
    <row r="210" spans="3:19" ht="15.75">
      <c r="C210" s="80" t="s">
        <v>178</v>
      </c>
      <c r="D210" s="81" t="s">
        <v>169</v>
      </c>
      <c r="E210" s="73"/>
      <c r="F210" s="73"/>
      <c r="G210" s="73"/>
      <c r="H210" s="73"/>
      <c r="I210" s="73"/>
      <c r="J210" s="81">
        <f>SUM(J208:J209)</f>
        <v>0.6</v>
      </c>
      <c r="K210" s="81">
        <f aca="true" t="shared" si="12" ref="K210:S210">SUM(K208:K209)</f>
        <v>0.7999999999999999</v>
      </c>
      <c r="L210" s="81">
        <f t="shared" si="12"/>
        <v>0.7</v>
      </c>
      <c r="M210" s="81">
        <f t="shared" si="12"/>
        <v>0.7</v>
      </c>
      <c r="N210" s="81">
        <f t="shared" si="12"/>
        <v>0.5</v>
      </c>
      <c r="O210" s="81">
        <f t="shared" si="12"/>
        <v>0.3</v>
      </c>
      <c r="P210" s="81">
        <f t="shared" si="12"/>
        <v>0.3</v>
      </c>
      <c r="Q210" s="81">
        <f t="shared" si="12"/>
        <v>0.4</v>
      </c>
      <c r="R210" s="81">
        <f t="shared" si="12"/>
        <v>0.3</v>
      </c>
      <c r="S210" s="81">
        <f t="shared" si="12"/>
        <v>0.4</v>
      </c>
    </row>
    <row r="211" spans="4:11" ht="12.75">
      <c r="D211" s="65" t="s">
        <v>169</v>
      </c>
      <c r="E211" s="73"/>
      <c r="F211" s="73"/>
      <c r="G211" s="73"/>
      <c r="H211" s="370"/>
      <c r="I211" s="373" t="s">
        <v>242</v>
      </c>
      <c r="J211" s="372">
        <v>0.66</v>
      </c>
      <c r="K211" s="383">
        <v>1.34</v>
      </c>
    </row>
    <row r="212" spans="4:9" ht="12.75">
      <c r="D212" s="65" t="s">
        <v>169</v>
      </c>
      <c r="E212" s="73"/>
      <c r="F212" s="73"/>
      <c r="G212" s="73"/>
      <c r="H212" s="73"/>
      <c r="I212" s="73"/>
    </row>
    <row r="213" spans="4:19" ht="39">
      <c r="D213" s="65" t="s">
        <v>169</v>
      </c>
      <c r="E213" s="72" t="s">
        <v>210</v>
      </c>
      <c r="F213" s="72" t="s">
        <v>62</v>
      </c>
      <c r="G213" s="72" t="s">
        <v>63</v>
      </c>
      <c r="H213" s="72" t="s">
        <v>64</v>
      </c>
      <c r="I213" s="72" t="s">
        <v>65</v>
      </c>
      <c r="J213" s="71" t="s">
        <v>66</v>
      </c>
      <c r="K213" s="71" t="s">
        <v>67</v>
      </c>
      <c r="L213" s="71" t="s">
        <v>68</v>
      </c>
      <c r="M213" s="71" t="s">
        <v>69</v>
      </c>
      <c r="N213" s="71" t="s">
        <v>70</v>
      </c>
      <c r="O213" s="71" t="s">
        <v>71</v>
      </c>
      <c r="P213" s="71" t="s">
        <v>72</v>
      </c>
      <c r="Q213" s="71" t="s">
        <v>73</v>
      </c>
      <c r="R213" s="71" t="s">
        <v>74</v>
      </c>
      <c r="S213" s="71" t="s">
        <v>75</v>
      </c>
    </row>
    <row r="214" spans="4:19" ht="15.75">
      <c r="D214" s="75" t="s">
        <v>251</v>
      </c>
      <c r="E214" s="73">
        <f>SUM(E75)</f>
        <v>1.6</v>
      </c>
      <c r="F214" s="73">
        <f aca="true" t="shared" si="13" ref="F214:S214">SUM(F75)</f>
        <v>5.5</v>
      </c>
      <c r="G214" s="73">
        <f t="shared" si="13"/>
        <v>2.4</v>
      </c>
      <c r="H214" s="73">
        <f t="shared" si="13"/>
        <v>2.1</v>
      </c>
      <c r="I214" s="73">
        <f t="shared" si="13"/>
        <v>5.4</v>
      </c>
      <c r="J214" s="65">
        <f t="shared" si="13"/>
        <v>3</v>
      </c>
      <c r="K214" s="65">
        <f t="shared" si="13"/>
        <v>3.6</v>
      </c>
      <c r="L214" s="65">
        <f t="shared" si="13"/>
        <v>3.7</v>
      </c>
      <c r="M214" s="65">
        <f t="shared" si="13"/>
        <v>3.6</v>
      </c>
      <c r="N214" s="65">
        <f t="shared" si="13"/>
        <v>3.9999999999999996</v>
      </c>
      <c r="O214" s="65">
        <f t="shared" si="13"/>
        <v>1.8</v>
      </c>
      <c r="P214" s="65">
        <f t="shared" si="13"/>
        <v>1.7</v>
      </c>
      <c r="Q214" s="65">
        <f t="shared" si="13"/>
        <v>0</v>
      </c>
      <c r="R214" s="65">
        <f t="shared" si="13"/>
        <v>0</v>
      </c>
      <c r="S214" s="65">
        <f t="shared" si="13"/>
        <v>0</v>
      </c>
    </row>
    <row r="215" spans="3:19" ht="15.75">
      <c r="C215" s="384"/>
      <c r="D215" s="385" t="s">
        <v>252</v>
      </c>
      <c r="E215" s="386">
        <f>+E214</f>
        <v>1.6</v>
      </c>
      <c r="F215" s="386">
        <f>+F214</f>
        <v>5.5</v>
      </c>
      <c r="G215" s="386">
        <f>+G214</f>
        <v>2.4</v>
      </c>
      <c r="H215" s="386">
        <f>+H214</f>
        <v>2.1</v>
      </c>
      <c r="I215" s="386">
        <f>+I214</f>
        <v>5.4</v>
      </c>
      <c r="J215" s="387">
        <f>SUM(J76)</f>
        <v>3.4000000000000004</v>
      </c>
      <c r="K215" s="387">
        <f>SUM(K76)</f>
        <v>1.5899999999999999</v>
      </c>
      <c r="L215" s="65"/>
      <c r="M215" s="65"/>
      <c r="N215" s="65"/>
      <c r="O215" s="65"/>
      <c r="P215" s="65"/>
      <c r="Q215" s="65"/>
      <c r="R215" s="65"/>
      <c r="S215" s="65"/>
    </row>
    <row r="216" spans="4:19" ht="15.75">
      <c r="D216" s="75" t="s">
        <v>249</v>
      </c>
      <c r="E216" s="73">
        <f>SUM(E135)</f>
        <v>5.2</v>
      </c>
      <c r="F216" s="73">
        <f aca="true" t="shared" si="14" ref="F216:S216">SUM(F135)</f>
        <v>8.3</v>
      </c>
      <c r="G216" s="73">
        <f t="shared" si="14"/>
        <v>8.4</v>
      </c>
      <c r="H216" s="73">
        <f t="shared" si="14"/>
        <v>10.8</v>
      </c>
      <c r="I216" s="73">
        <f t="shared" si="14"/>
        <v>10.3</v>
      </c>
      <c r="J216" s="65">
        <f t="shared" si="14"/>
        <v>6.1</v>
      </c>
      <c r="K216" s="65">
        <f t="shared" si="14"/>
        <v>7.1000000000000005</v>
      </c>
      <c r="L216" s="65">
        <f t="shared" si="14"/>
        <v>6.9</v>
      </c>
      <c r="M216" s="65">
        <f t="shared" si="14"/>
        <v>6.500000000000001</v>
      </c>
      <c r="N216" s="65">
        <f t="shared" si="14"/>
        <v>5.2</v>
      </c>
      <c r="O216" s="65">
        <f t="shared" si="14"/>
        <v>1.4</v>
      </c>
      <c r="P216" s="65">
        <f t="shared" si="14"/>
        <v>1.4</v>
      </c>
      <c r="Q216" s="65">
        <f t="shared" si="14"/>
        <v>1.5</v>
      </c>
      <c r="R216" s="65">
        <f t="shared" si="14"/>
        <v>1.5</v>
      </c>
      <c r="S216" s="65">
        <f t="shared" si="14"/>
        <v>1.7000000000000002</v>
      </c>
    </row>
    <row r="217" spans="3:19" ht="15.75">
      <c r="C217" s="384"/>
      <c r="D217" s="385" t="s">
        <v>250</v>
      </c>
      <c r="E217" s="386">
        <f>+E216</f>
        <v>5.2</v>
      </c>
      <c r="F217" s="386">
        <f>+F216</f>
        <v>8.3</v>
      </c>
      <c r="G217" s="386">
        <f>+G216</f>
        <v>8.4</v>
      </c>
      <c r="H217" s="386">
        <f>+H216</f>
        <v>10.8</v>
      </c>
      <c r="I217" s="386">
        <f>+I216</f>
        <v>10.3</v>
      </c>
      <c r="J217" s="386">
        <f>SUM(J136)</f>
        <v>8.14</v>
      </c>
      <c r="K217" s="386">
        <f>SUM(K136)</f>
        <v>6.8500000000000005</v>
      </c>
      <c r="L217" s="65"/>
      <c r="M217" s="65"/>
      <c r="N217" s="65"/>
      <c r="O217" s="65"/>
      <c r="P217" s="65"/>
      <c r="Q217" s="65"/>
      <c r="R217" s="65"/>
      <c r="S217" s="65"/>
    </row>
    <row r="218" spans="4:19" ht="15.75">
      <c r="D218" s="75" t="s">
        <v>247</v>
      </c>
      <c r="E218" s="73">
        <f>SUM(E179)</f>
        <v>4.1</v>
      </c>
      <c r="F218" s="73">
        <f aca="true" t="shared" si="15" ref="F218:S218">SUM(F179)</f>
        <v>7.3</v>
      </c>
      <c r="G218" s="73">
        <f t="shared" si="15"/>
        <v>8.2</v>
      </c>
      <c r="H218" s="73">
        <f t="shared" si="15"/>
        <v>8.5</v>
      </c>
      <c r="I218" s="73">
        <f t="shared" si="15"/>
        <v>7.1</v>
      </c>
      <c r="J218" s="65">
        <f t="shared" si="15"/>
        <v>6.2</v>
      </c>
      <c r="K218" s="65">
        <f t="shared" si="15"/>
        <v>5.9</v>
      </c>
      <c r="L218" s="65">
        <f t="shared" si="15"/>
        <v>5.799999999999999</v>
      </c>
      <c r="M218" s="65">
        <f t="shared" si="15"/>
        <v>6.1</v>
      </c>
      <c r="N218" s="65">
        <f t="shared" si="15"/>
        <v>2.3000000000000003</v>
      </c>
      <c r="O218" s="65">
        <f t="shared" si="15"/>
        <v>0.8999999999999999</v>
      </c>
      <c r="P218" s="65">
        <f t="shared" si="15"/>
        <v>0.8999999999999999</v>
      </c>
      <c r="Q218" s="65">
        <f t="shared" si="15"/>
        <v>0.8</v>
      </c>
      <c r="R218" s="65">
        <f t="shared" si="15"/>
        <v>0.7</v>
      </c>
      <c r="S218" s="65">
        <f t="shared" si="15"/>
        <v>0.8</v>
      </c>
    </row>
    <row r="219" spans="3:19" ht="15.75">
      <c r="C219" s="384"/>
      <c r="D219" s="385" t="s">
        <v>248</v>
      </c>
      <c r="E219" s="386">
        <f>+E218</f>
        <v>4.1</v>
      </c>
      <c r="F219" s="386">
        <f>+F218</f>
        <v>7.3</v>
      </c>
      <c r="G219" s="386">
        <f>+G218</f>
        <v>8.2</v>
      </c>
      <c r="H219" s="386">
        <f>+H218</f>
        <v>8.5</v>
      </c>
      <c r="I219" s="386">
        <f>+I218</f>
        <v>7.1</v>
      </c>
      <c r="J219" s="386">
        <f>SUM(J180)</f>
        <v>5.010000000000001</v>
      </c>
      <c r="K219" s="386">
        <f>SUM(K180)</f>
        <v>4.93</v>
      </c>
      <c r="L219" s="65"/>
      <c r="M219" s="65"/>
      <c r="N219" s="65"/>
      <c r="O219" s="65"/>
      <c r="P219" s="65"/>
      <c r="Q219" s="65"/>
      <c r="R219" s="65"/>
      <c r="S219" s="65"/>
    </row>
    <row r="220" spans="2:19" ht="15.75">
      <c r="B220" t="s">
        <v>256</v>
      </c>
      <c r="D220" s="75" t="s">
        <v>245</v>
      </c>
      <c r="E220" s="73">
        <f>SUM(E199)</f>
        <v>15</v>
      </c>
      <c r="F220" s="73">
        <f aca="true" t="shared" si="16" ref="F220:S220">SUM(F199)</f>
        <v>39.2</v>
      </c>
      <c r="G220" s="73">
        <f t="shared" si="16"/>
        <v>26.4</v>
      </c>
      <c r="H220" s="73">
        <f t="shared" si="16"/>
        <v>25.4</v>
      </c>
      <c r="I220" s="73">
        <f t="shared" si="16"/>
        <v>27.6</v>
      </c>
      <c r="J220" s="65">
        <f t="shared" si="16"/>
        <v>23.700000000000003</v>
      </c>
      <c r="K220" s="65">
        <f t="shared" si="16"/>
        <v>25.3</v>
      </c>
      <c r="L220" s="65">
        <f t="shared" si="16"/>
        <v>19.000000000000004</v>
      </c>
      <c r="M220" s="65">
        <f t="shared" si="16"/>
        <v>16.3</v>
      </c>
      <c r="N220" s="65">
        <f t="shared" si="16"/>
        <v>7.5</v>
      </c>
      <c r="O220" s="65">
        <f t="shared" si="16"/>
        <v>3.5</v>
      </c>
      <c r="P220" s="65">
        <f t="shared" si="16"/>
        <v>3.3000000000000003</v>
      </c>
      <c r="Q220" s="65">
        <f t="shared" si="16"/>
        <v>0</v>
      </c>
      <c r="R220" s="65">
        <f t="shared" si="16"/>
        <v>0</v>
      </c>
      <c r="S220" s="65">
        <f t="shared" si="16"/>
        <v>0</v>
      </c>
    </row>
    <row r="221" spans="2:19" ht="15.75">
      <c r="B221" t="s">
        <v>231</v>
      </c>
      <c r="C221" s="384"/>
      <c r="D221" s="385" t="s">
        <v>246</v>
      </c>
      <c r="E221" s="386">
        <f>+E220</f>
        <v>15</v>
      </c>
      <c r="F221" s="386">
        <f>+F220</f>
        <v>39.2</v>
      </c>
      <c r="G221" s="386">
        <f>+G220</f>
        <v>26.4</v>
      </c>
      <c r="H221" s="386">
        <f>+H220</f>
        <v>25.4</v>
      </c>
      <c r="I221" s="386">
        <f>+I220</f>
        <v>27.6</v>
      </c>
      <c r="J221" s="386">
        <f>SUM(J200)</f>
        <v>22.95</v>
      </c>
      <c r="K221" s="386">
        <f>SUM(K200)</f>
        <v>17.88</v>
      </c>
      <c r="L221" s="65"/>
      <c r="M221" s="65"/>
      <c r="N221" s="65"/>
      <c r="O221" s="65"/>
      <c r="P221" s="65"/>
      <c r="Q221" s="65"/>
      <c r="R221" s="65"/>
      <c r="S221" s="65"/>
    </row>
    <row r="222" spans="4:19" ht="12.75">
      <c r="D222" s="74" t="s">
        <v>253</v>
      </c>
      <c r="E222" s="73">
        <f>SUM(E49)</f>
        <v>7.6</v>
      </c>
      <c r="F222" s="73">
        <f aca="true" t="shared" si="17" ref="F222:S222">SUM(F49)</f>
        <v>8.1</v>
      </c>
      <c r="G222" s="73">
        <f t="shared" si="17"/>
        <v>7.8</v>
      </c>
      <c r="H222" s="73">
        <f t="shared" si="17"/>
        <v>11.1</v>
      </c>
      <c r="I222" s="73">
        <f t="shared" si="17"/>
        <v>8.44</v>
      </c>
      <c r="J222" s="82">
        <f t="shared" si="17"/>
        <v>7.4</v>
      </c>
      <c r="K222" s="82">
        <f t="shared" si="17"/>
        <v>3.7000000000000006</v>
      </c>
      <c r="L222" s="82">
        <f t="shared" si="17"/>
        <v>3.0000000000000004</v>
      </c>
      <c r="M222" s="82">
        <f t="shared" si="17"/>
        <v>2.8000000000000003</v>
      </c>
      <c r="N222" s="82">
        <f t="shared" si="17"/>
        <v>0.8</v>
      </c>
      <c r="O222" s="82">
        <f t="shared" si="17"/>
        <v>0.1</v>
      </c>
      <c r="P222" s="82">
        <f t="shared" si="17"/>
        <v>0.1</v>
      </c>
      <c r="Q222" s="82">
        <f t="shared" si="17"/>
        <v>0.1</v>
      </c>
      <c r="R222" s="82">
        <f t="shared" si="17"/>
        <v>0.1</v>
      </c>
      <c r="S222" s="82">
        <f t="shared" si="17"/>
        <v>0.2</v>
      </c>
    </row>
    <row r="223" spans="3:11" ht="12.75">
      <c r="C223" s="384"/>
      <c r="D223" s="388" t="s">
        <v>254</v>
      </c>
      <c r="E223" s="386">
        <f>+E222</f>
        <v>7.6</v>
      </c>
      <c r="F223" s="386">
        <f>+F222</f>
        <v>8.1</v>
      </c>
      <c r="G223" s="386">
        <f>+G222</f>
        <v>7.8</v>
      </c>
      <c r="H223" s="386">
        <f>+H222</f>
        <v>11.1</v>
      </c>
      <c r="I223" s="386">
        <f>+I222</f>
        <v>8.44</v>
      </c>
      <c r="J223" s="389">
        <f>SUM(J50)</f>
        <v>6.789999999999999</v>
      </c>
      <c r="K223" s="389">
        <f>SUM(K50)</f>
        <v>0</v>
      </c>
    </row>
    <row r="224" spans="3:19" ht="12.75">
      <c r="C224" t="s">
        <v>215</v>
      </c>
      <c r="D224" s="65" t="s">
        <v>169</v>
      </c>
      <c r="E224" s="73"/>
      <c r="F224" s="73"/>
      <c r="G224" s="73"/>
      <c r="H224" s="73"/>
      <c r="I224" s="73"/>
      <c r="J224" s="4">
        <f>SUM(J210,J206,J202,J138:J182,J52)</f>
        <v>31.03</v>
      </c>
      <c r="K224" s="4">
        <f>SUM(K210,K206,K202,K138:K182,K52)</f>
        <v>29.659999999999997</v>
      </c>
      <c r="L224" s="4">
        <f>SUM(L210,L206,L202,L138:L182,L52)</f>
        <v>18.799999999999997</v>
      </c>
      <c r="M224" s="4">
        <f>SUM(M210,M206,M202,M138:M182,M52)</f>
        <v>19.299999999999997</v>
      </c>
      <c r="N224" s="4">
        <f>SUM(N210,N206,N202,N138:N182,N52)</f>
        <v>8.200000000000001</v>
      </c>
      <c r="O224" s="4">
        <f>SUM(O210,O206,O202,O138:O182,O52)</f>
        <v>3.8999999999999995</v>
      </c>
      <c r="P224" s="4">
        <f>SUM(P210,P206,P202,P138:P182,P52)</f>
        <v>3.8999999999999995</v>
      </c>
      <c r="Q224" s="4">
        <f>SUM(Q210,Q206,Q202,Q138:Q182,Q52)</f>
        <v>3.4000000000000004</v>
      </c>
      <c r="R224" s="4">
        <f>SUM(R210,R206,R202,R138:R182,R52)</f>
        <v>2.9000000000000004</v>
      </c>
      <c r="S224" s="4">
        <f>SUM(S210,S206,S202,S138:S182,S52)</f>
        <v>3.4000000000000004</v>
      </c>
    </row>
    <row r="225" spans="4:9" ht="12.75">
      <c r="D225" s="65" t="s">
        <v>169</v>
      </c>
      <c r="E225" s="73"/>
      <c r="F225" s="73"/>
      <c r="G225" s="73"/>
      <c r="H225" s="73"/>
      <c r="I225" s="73"/>
    </row>
    <row r="226" spans="4:19" ht="12.75">
      <c r="D226" s="65" t="s">
        <v>169</v>
      </c>
      <c r="E226" s="73"/>
      <c r="F226" s="73"/>
      <c r="G226" s="73"/>
      <c r="H226" s="73"/>
      <c r="I226" s="73"/>
      <c r="J226">
        <f>SUM(J214:J224)</f>
        <v>123.72</v>
      </c>
      <c r="K226">
        <f aca="true" t="shared" si="18" ref="K226:S226">SUM(K214:K224)</f>
        <v>106.50999999999999</v>
      </c>
      <c r="L226">
        <f t="shared" si="18"/>
        <v>57.2</v>
      </c>
      <c r="M226">
        <f t="shared" si="18"/>
        <v>54.599999999999994</v>
      </c>
      <c r="N226">
        <f t="shared" si="18"/>
        <v>28</v>
      </c>
      <c r="O226">
        <f t="shared" si="18"/>
        <v>11.599999999999998</v>
      </c>
      <c r="P226">
        <f t="shared" si="18"/>
        <v>11.299999999999999</v>
      </c>
      <c r="Q226">
        <f t="shared" si="18"/>
        <v>5.800000000000001</v>
      </c>
      <c r="R226">
        <f t="shared" si="18"/>
        <v>5.200000000000001</v>
      </c>
      <c r="S226">
        <f t="shared" si="18"/>
        <v>6.1000000000000005</v>
      </c>
    </row>
    <row r="227" spans="3:10" ht="12.75">
      <c r="C227" s="8"/>
      <c r="D227" s="82"/>
      <c r="E227" s="82"/>
      <c r="F227" s="82"/>
      <c r="G227" s="82"/>
      <c r="H227" s="82"/>
      <c r="I227" s="82"/>
      <c r="J227" s="8"/>
    </row>
    <row r="228" spans="3:19" ht="26.25">
      <c r="C228" s="8"/>
      <c r="D228" s="82"/>
      <c r="E228" s="82"/>
      <c r="F228" s="82"/>
      <c r="G228" s="82"/>
      <c r="H228" s="82"/>
      <c r="I228" s="82"/>
      <c r="J228" s="8"/>
      <c r="M228" s="381"/>
      <c r="N228" s="381"/>
      <c r="O228" s="382" t="s">
        <v>255</v>
      </c>
      <c r="P228" s="381"/>
      <c r="Q228" s="381"/>
      <c r="R228" s="381"/>
      <c r="S228" s="381"/>
    </row>
    <row r="229" spans="3:22" ht="18">
      <c r="C229" s="8"/>
      <c r="D229" s="82" t="s">
        <v>169</v>
      </c>
      <c r="E229" s="82"/>
      <c r="F229" s="82"/>
      <c r="G229" s="82"/>
      <c r="H229" s="82"/>
      <c r="I229" s="82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378"/>
      <c r="U229" s="89"/>
      <c r="V229" s="89"/>
    </row>
    <row r="230" spans="3:20" ht="12.75">
      <c r="C230" s="8"/>
      <c r="D230" s="8"/>
      <c r="E230" s="379"/>
      <c r="F230" s="379"/>
      <c r="G230" s="379"/>
      <c r="H230" s="379"/>
      <c r="I230" s="379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3:21" ht="18">
      <c r="C231" s="8"/>
      <c r="D231" s="8"/>
      <c r="E231" s="379"/>
      <c r="F231" s="379"/>
      <c r="G231" s="379"/>
      <c r="H231" s="379"/>
      <c r="I231" s="379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380"/>
      <c r="U231" s="90"/>
    </row>
    <row r="232" spans="3:20" ht="12.75">
      <c r="C232" s="8"/>
      <c r="D232" s="8"/>
      <c r="E232" s="379"/>
      <c r="F232" s="379"/>
      <c r="G232" s="379"/>
      <c r="H232" s="379"/>
      <c r="I232" s="379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3:20" ht="12.75">
      <c r="C233" s="8"/>
      <c r="D233" s="8"/>
      <c r="E233" s="379"/>
      <c r="F233" s="379"/>
      <c r="G233" s="379"/>
      <c r="H233" s="379"/>
      <c r="I233" s="379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3:20" ht="12.75">
      <c r="C234" s="8"/>
      <c r="D234" s="8"/>
      <c r="E234" s="379"/>
      <c r="F234" s="379"/>
      <c r="G234" s="379"/>
      <c r="H234" s="379"/>
      <c r="I234" s="379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3:20" ht="12.75">
      <c r="C235" s="8"/>
      <c r="D235" s="8"/>
      <c r="E235" s="379"/>
      <c r="F235" s="379"/>
      <c r="G235" s="379"/>
      <c r="H235" s="379"/>
      <c r="I235" s="379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3:20" ht="27.75" customHeight="1">
      <c r="C236" s="8"/>
      <c r="D236" s="8"/>
      <c r="E236" s="379"/>
      <c r="F236" s="379"/>
      <c r="G236" s="379"/>
      <c r="H236" s="379"/>
      <c r="I236" s="379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3:20" ht="12.75">
      <c r="C237" s="8"/>
      <c r="D237" s="8"/>
      <c r="E237" s="379"/>
      <c r="F237" s="379"/>
      <c r="G237" s="379"/>
      <c r="H237" s="379"/>
      <c r="I237" s="379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3:20" ht="12.75">
      <c r="C238" s="8"/>
      <c r="D238" s="8"/>
      <c r="E238" s="379"/>
      <c r="F238" s="379"/>
      <c r="G238" s="379"/>
      <c r="H238" s="379"/>
      <c r="I238" s="379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3:20" ht="12.75">
      <c r="C239" s="8"/>
      <c r="D239" s="8"/>
      <c r="E239" s="379"/>
      <c r="F239" s="379"/>
      <c r="G239" s="379"/>
      <c r="H239" s="379"/>
      <c r="I239" s="379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3:20" ht="12.75">
      <c r="C240" s="8"/>
      <c r="D240" s="8"/>
      <c r="E240" s="379"/>
      <c r="F240" s="379"/>
      <c r="G240" s="379"/>
      <c r="H240" s="379"/>
      <c r="I240" s="379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3:20" ht="12.75">
      <c r="C241" s="8"/>
      <c r="D241" s="8"/>
      <c r="E241" s="379"/>
      <c r="F241" s="379"/>
      <c r="G241" s="379"/>
      <c r="H241" s="379"/>
      <c r="I241" s="379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3:20" ht="12.75">
      <c r="C242" s="8"/>
      <c r="D242" s="8"/>
      <c r="E242" s="379"/>
      <c r="F242" s="379"/>
      <c r="G242" s="379"/>
      <c r="H242" s="379"/>
      <c r="I242" s="379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3:20" ht="12.75">
      <c r="C243" s="8"/>
      <c r="D243" s="8"/>
      <c r="E243" s="379"/>
      <c r="F243" s="379"/>
      <c r="G243" s="379"/>
      <c r="H243" s="379"/>
      <c r="I243" s="379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3:20" ht="12.75">
      <c r="C244" s="8"/>
      <c r="D244" s="8"/>
      <c r="E244" s="379"/>
      <c r="F244" s="379"/>
      <c r="G244" s="379"/>
      <c r="H244" s="379"/>
      <c r="I244" s="379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3:20" ht="12.75">
      <c r="C245" s="8"/>
      <c r="D245" s="8"/>
      <c r="E245" s="379"/>
      <c r="F245" s="379"/>
      <c r="G245" s="379"/>
      <c r="H245" s="379"/>
      <c r="I245" s="379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3:20" ht="12.75">
      <c r="C246" s="8"/>
      <c r="D246" s="8"/>
      <c r="E246" s="379"/>
      <c r="F246" s="379"/>
      <c r="G246" s="379"/>
      <c r="H246" s="379"/>
      <c r="I246" s="379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3:20" ht="12.75">
      <c r="C247" s="8"/>
      <c r="D247" s="8"/>
      <c r="E247" s="379"/>
      <c r="F247" s="379"/>
      <c r="G247" s="379"/>
      <c r="H247" s="379"/>
      <c r="I247" s="379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3:20" ht="12.75">
      <c r="C248" s="8"/>
      <c r="D248" s="8"/>
      <c r="E248" s="379"/>
      <c r="F248" s="379"/>
      <c r="G248" s="379"/>
      <c r="H248" s="379"/>
      <c r="I248" s="379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3:20" ht="12.75">
      <c r="C249" s="8"/>
      <c r="D249" s="8"/>
      <c r="E249" s="379"/>
      <c r="F249" s="379"/>
      <c r="G249" s="379"/>
      <c r="H249" s="379"/>
      <c r="I249" s="379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3:20" ht="12.75">
      <c r="C250" s="8"/>
      <c r="D250" s="8"/>
      <c r="E250" s="379"/>
      <c r="F250" s="379"/>
      <c r="G250" s="379"/>
      <c r="H250" s="379"/>
      <c r="I250" s="379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3:20" ht="12.75">
      <c r="C251" s="8"/>
      <c r="D251" s="8"/>
      <c r="E251" s="379"/>
      <c r="F251" s="379"/>
      <c r="G251" s="379"/>
      <c r="H251" s="379"/>
      <c r="I251" s="379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3:20" ht="12.75">
      <c r="C252" s="8"/>
      <c r="D252" s="8"/>
      <c r="E252" s="379"/>
      <c r="F252" s="379"/>
      <c r="G252" s="379"/>
      <c r="H252" s="379"/>
      <c r="I252" s="379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3:20" ht="12.75">
      <c r="C253" s="8"/>
      <c r="D253" s="8"/>
      <c r="E253" s="379"/>
      <c r="F253" s="379"/>
      <c r="G253" s="379"/>
      <c r="H253" s="379"/>
      <c r="I253" s="379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3:20" ht="12.75">
      <c r="C254" s="8"/>
      <c r="D254" s="8"/>
      <c r="E254" s="379"/>
      <c r="F254" s="379"/>
      <c r="G254" s="379"/>
      <c r="H254" s="379"/>
      <c r="I254" s="379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3:20" ht="12.75">
      <c r="C255" s="8"/>
      <c r="D255" s="8"/>
      <c r="E255" s="379"/>
      <c r="F255" s="379"/>
      <c r="G255" s="379"/>
      <c r="H255" s="379"/>
      <c r="I255" s="379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3:20" ht="12.75">
      <c r="C256" s="8"/>
      <c r="D256" s="8"/>
      <c r="E256" s="379"/>
      <c r="F256" s="379"/>
      <c r="G256" s="379"/>
      <c r="H256" s="379"/>
      <c r="I256" s="379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3:20" ht="12.75">
      <c r="C257" s="8"/>
      <c r="D257" s="8"/>
      <c r="E257" s="379"/>
      <c r="F257" s="379"/>
      <c r="G257" s="379"/>
      <c r="H257" s="379"/>
      <c r="I257" s="379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3:20" ht="12.75">
      <c r="C258" s="8"/>
      <c r="D258" s="8"/>
      <c r="E258" s="379"/>
      <c r="F258" s="379"/>
      <c r="G258" s="379"/>
      <c r="H258" s="379"/>
      <c r="I258" s="379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3:20" ht="12.75">
      <c r="C259" s="8"/>
      <c r="D259" s="8"/>
      <c r="E259" s="379"/>
      <c r="F259" s="379"/>
      <c r="G259" s="379"/>
      <c r="H259" s="379"/>
      <c r="I259" s="379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3:20" ht="12.75">
      <c r="C260" s="8"/>
      <c r="D260" s="8"/>
      <c r="E260" s="379"/>
      <c r="F260" s="379"/>
      <c r="G260" s="379"/>
      <c r="H260" s="379"/>
      <c r="I260" s="379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3:20" ht="12.75">
      <c r="C261" s="8"/>
      <c r="D261" s="8"/>
      <c r="E261" s="379"/>
      <c r="F261" s="379"/>
      <c r="G261" s="379"/>
      <c r="H261" s="379"/>
      <c r="I261" s="379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3:20" ht="12.75">
      <c r="C262" s="8"/>
      <c r="D262" s="8"/>
      <c r="E262" s="379"/>
      <c r="F262" s="379"/>
      <c r="G262" s="379"/>
      <c r="H262" s="379"/>
      <c r="I262" s="379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3:20" ht="12.75">
      <c r="C263" s="8"/>
      <c r="D263" s="8"/>
      <c r="E263" s="379"/>
      <c r="F263" s="379"/>
      <c r="G263" s="379"/>
      <c r="H263" s="379"/>
      <c r="I263" s="379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3:20" ht="12.75">
      <c r="C264" s="8"/>
      <c r="D264" s="8"/>
      <c r="E264" s="379"/>
      <c r="F264" s="379"/>
      <c r="G264" s="379"/>
      <c r="H264" s="379"/>
      <c r="I264" s="379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3:20" ht="12.75">
      <c r="C265" s="8"/>
      <c r="D265" s="8"/>
      <c r="E265" s="379"/>
      <c r="F265" s="379"/>
      <c r="G265" s="379"/>
      <c r="H265" s="379"/>
      <c r="I265" s="379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3:20" ht="12.75">
      <c r="C266" s="8"/>
      <c r="D266" s="8"/>
      <c r="E266" s="379"/>
      <c r="F266" s="379"/>
      <c r="G266" s="379"/>
      <c r="H266" s="379"/>
      <c r="I266" s="379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3:20" ht="12.75">
      <c r="C267" s="8"/>
      <c r="D267" s="8"/>
      <c r="E267" s="379"/>
      <c r="F267" s="379"/>
      <c r="G267" s="379"/>
      <c r="H267" s="379"/>
      <c r="I267" s="379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3:20" ht="12.75">
      <c r="C268" s="8"/>
      <c r="D268" s="8"/>
      <c r="E268" s="379"/>
      <c r="F268" s="379"/>
      <c r="G268" s="379"/>
      <c r="H268" s="379"/>
      <c r="I268" s="379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3:20" ht="12.75">
      <c r="C269" s="8"/>
      <c r="D269" s="8"/>
      <c r="E269" s="379"/>
      <c r="F269" s="379"/>
      <c r="G269" s="379"/>
      <c r="H269" s="379"/>
      <c r="I269" s="379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3:20" ht="12.75">
      <c r="C270" s="8"/>
      <c r="D270" s="8"/>
      <c r="E270" s="379"/>
      <c r="F270" s="379"/>
      <c r="G270" s="379"/>
      <c r="H270" s="379"/>
      <c r="I270" s="379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3:20" ht="12.75">
      <c r="C271" s="8"/>
      <c r="D271" s="8"/>
      <c r="E271" s="379"/>
      <c r="F271" s="379"/>
      <c r="G271" s="379"/>
      <c r="H271" s="379"/>
      <c r="I271" s="379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3:20" ht="12.75">
      <c r="C272" s="8"/>
      <c r="D272" s="8"/>
      <c r="E272" s="379"/>
      <c r="F272" s="379"/>
      <c r="G272" s="379"/>
      <c r="H272" s="379"/>
      <c r="I272" s="379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3:20" ht="12.75">
      <c r="C273" s="8"/>
      <c r="D273" s="8"/>
      <c r="E273" s="379"/>
      <c r="F273" s="379"/>
      <c r="G273" s="379"/>
      <c r="H273" s="379"/>
      <c r="I273" s="379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3:20" ht="12.75">
      <c r="C274" s="8"/>
      <c r="D274" s="8"/>
      <c r="E274" s="379"/>
      <c r="F274" s="379"/>
      <c r="G274" s="379"/>
      <c r="H274" s="379"/>
      <c r="I274" s="379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3:20" ht="12.75">
      <c r="C275" s="8"/>
      <c r="D275" s="8"/>
      <c r="E275" s="379"/>
      <c r="F275" s="379"/>
      <c r="G275" s="379"/>
      <c r="H275" s="379"/>
      <c r="I275" s="379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3:20" ht="12.75">
      <c r="C276" s="8"/>
      <c r="D276" s="8"/>
      <c r="E276" s="379"/>
      <c r="F276" s="379"/>
      <c r="G276" s="379"/>
      <c r="H276" s="379"/>
      <c r="I276" s="379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3:20" ht="12.75">
      <c r="C277" s="8"/>
      <c r="D277" s="8"/>
      <c r="E277" s="379"/>
      <c r="F277" s="379"/>
      <c r="G277" s="379"/>
      <c r="H277" s="379"/>
      <c r="I277" s="379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3:20" ht="12.75">
      <c r="C278" s="8"/>
      <c r="D278" s="8"/>
      <c r="E278" s="379"/>
      <c r="F278" s="379"/>
      <c r="G278" s="379"/>
      <c r="H278" s="379"/>
      <c r="I278" s="379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3:20" ht="12.75">
      <c r="C279" s="8"/>
      <c r="D279" s="8"/>
      <c r="E279" s="379"/>
      <c r="F279" s="379"/>
      <c r="G279" s="379"/>
      <c r="H279" s="379"/>
      <c r="I279" s="379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3:20" ht="12.75">
      <c r="C280" s="8"/>
      <c r="D280" s="8"/>
      <c r="E280" s="379"/>
      <c r="F280" s="379"/>
      <c r="G280" s="379"/>
      <c r="H280" s="379"/>
      <c r="I280" s="379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3:20" ht="12.75">
      <c r="C281" s="8"/>
      <c r="D281" s="8"/>
      <c r="E281" s="379"/>
      <c r="F281" s="379"/>
      <c r="G281" s="379"/>
      <c r="H281" s="379"/>
      <c r="I281" s="379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3:20" ht="12.75">
      <c r="C282" s="8"/>
      <c r="D282" s="8"/>
      <c r="E282" s="379"/>
      <c r="F282" s="379"/>
      <c r="G282" s="379"/>
      <c r="H282" s="379"/>
      <c r="I282" s="379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3:20" ht="12.75">
      <c r="C283" s="8"/>
      <c r="D283" s="8"/>
      <c r="E283" s="379"/>
      <c r="F283" s="379"/>
      <c r="G283" s="379"/>
      <c r="H283" s="379"/>
      <c r="I283" s="379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3:20" ht="12.75">
      <c r="C284" s="8"/>
      <c r="D284" s="8"/>
      <c r="E284" s="379"/>
      <c r="F284" s="379"/>
      <c r="G284" s="379"/>
      <c r="H284" s="379"/>
      <c r="I284" s="379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3:20" ht="12.75">
      <c r="C285" s="8"/>
      <c r="D285" s="8"/>
      <c r="E285" s="379"/>
      <c r="F285" s="379"/>
      <c r="G285" s="379"/>
      <c r="H285" s="379"/>
      <c r="I285" s="379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3:20" ht="12.75">
      <c r="C286" s="8"/>
      <c r="D286" s="8"/>
      <c r="E286" s="379"/>
      <c r="F286" s="379"/>
      <c r="G286" s="379"/>
      <c r="H286" s="379"/>
      <c r="I286" s="379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3:20" ht="12.75">
      <c r="C287" s="8"/>
      <c r="D287" s="8"/>
      <c r="E287" s="379"/>
      <c r="F287" s="379"/>
      <c r="G287" s="379"/>
      <c r="H287" s="379"/>
      <c r="I287" s="379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3:20" ht="12.75">
      <c r="C288" s="8"/>
      <c r="D288" s="8"/>
      <c r="E288" s="379"/>
      <c r="F288" s="379"/>
      <c r="G288" s="379"/>
      <c r="H288" s="379"/>
      <c r="I288" s="379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3:20" ht="12.75">
      <c r="C289" s="8"/>
      <c r="D289" s="8"/>
      <c r="E289" s="379"/>
      <c r="F289" s="379"/>
      <c r="G289" s="379"/>
      <c r="H289" s="379"/>
      <c r="I289" s="379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3:20" ht="12.75">
      <c r="C290" s="8"/>
      <c r="D290" s="8"/>
      <c r="E290" s="379"/>
      <c r="F290" s="379"/>
      <c r="G290" s="379"/>
      <c r="H290" s="379"/>
      <c r="I290" s="379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3:20" ht="12.75">
      <c r="C291" s="8"/>
      <c r="D291" s="8"/>
      <c r="E291" s="379"/>
      <c r="F291" s="379"/>
      <c r="G291" s="379"/>
      <c r="H291" s="379"/>
      <c r="I291" s="379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3:20" ht="12.75">
      <c r="C292" s="8"/>
      <c r="D292" s="8"/>
      <c r="E292" s="379"/>
      <c r="F292" s="379"/>
      <c r="G292" s="379"/>
      <c r="H292" s="379"/>
      <c r="I292" s="379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3:20" ht="12.75">
      <c r="C293" s="8"/>
      <c r="D293" s="8"/>
      <c r="E293" s="379"/>
      <c r="F293" s="379"/>
      <c r="G293" s="379"/>
      <c r="H293" s="379"/>
      <c r="I293" s="379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3:20" ht="12.75">
      <c r="C294" s="8"/>
      <c r="D294" s="8"/>
      <c r="E294" s="379"/>
      <c r="F294" s="379"/>
      <c r="G294" s="379"/>
      <c r="H294" s="379"/>
      <c r="I294" s="379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3:20" ht="12.75">
      <c r="C295" s="8"/>
      <c r="D295" s="8"/>
      <c r="E295" s="379"/>
      <c r="F295" s="379"/>
      <c r="G295" s="379"/>
      <c r="H295" s="379"/>
      <c r="I295" s="379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3:20" ht="12.75">
      <c r="C296" s="8"/>
      <c r="D296" s="8"/>
      <c r="E296" s="379"/>
      <c r="F296" s="379"/>
      <c r="G296" s="379"/>
      <c r="H296" s="379"/>
      <c r="I296" s="379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3:20" ht="12.75">
      <c r="C297" s="8"/>
      <c r="D297" s="8"/>
      <c r="E297" s="379"/>
      <c r="F297" s="379"/>
      <c r="G297" s="379"/>
      <c r="H297" s="379"/>
      <c r="I297" s="379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3:20" ht="12.75">
      <c r="C298" s="8"/>
      <c r="D298" s="8"/>
      <c r="E298" s="379"/>
      <c r="F298" s="379"/>
      <c r="G298" s="379"/>
      <c r="H298" s="379"/>
      <c r="I298" s="379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3:20" ht="12.75">
      <c r="C299" s="8"/>
      <c r="D299" s="8"/>
      <c r="E299" s="379"/>
      <c r="F299" s="379"/>
      <c r="G299" s="379"/>
      <c r="H299" s="379"/>
      <c r="I299" s="379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3:20" ht="12.75">
      <c r="C300" s="8"/>
      <c r="D300" s="8"/>
      <c r="E300" s="379"/>
      <c r="F300" s="379"/>
      <c r="G300" s="379"/>
      <c r="H300" s="379"/>
      <c r="I300" s="379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3:20" ht="12.75">
      <c r="C301" s="8"/>
      <c r="D301" s="8"/>
      <c r="E301" s="379"/>
      <c r="F301" s="379"/>
      <c r="G301" s="379"/>
      <c r="H301" s="379"/>
      <c r="I301" s="379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3:20" ht="12.75">
      <c r="C302" s="8"/>
      <c r="D302" s="8"/>
      <c r="E302" s="379"/>
      <c r="F302" s="379"/>
      <c r="G302" s="379"/>
      <c r="H302" s="379"/>
      <c r="I302" s="379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3:20" ht="12.75">
      <c r="C303" s="8"/>
      <c r="D303" s="8"/>
      <c r="E303" s="379"/>
      <c r="F303" s="379"/>
      <c r="G303" s="379"/>
      <c r="H303" s="379"/>
      <c r="I303" s="379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3:20" ht="12.75">
      <c r="C304" s="8"/>
      <c r="D304" s="8"/>
      <c r="E304" s="379"/>
      <c r="F304" s="379"/>
      <c r="G304" s="379"/>
      <c r="H304" s="379"/>
      <c r="I304" s="379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3:20" ht="12.75">
      <c r="C305" s="8"/>
      <c r="D305" s="8"/>
      <c r="E305" s="379"/>
      <c r="F305" s="379"/>
      <c r="G305" s="379"/>
      <c r="H305" s="379"/>
      <c r="I305" s="379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3:20" ht="12.75">
      <c r="C306" s="8"/>
      <c r="D306" s="8"/>
      <c r="E306" s="379"/>
      <c r="F306" s="379"/>
      <c r="G306" s="379"/>
      <c r="H306" s="379"/>
      <c r="I306" s="379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3:20" ht="12.75">
      <c r="C307" s="8"/>
      <c r="D307" s="8"/>
      <c r="E307" s="379"/>
      <c r="F307" s="379"/>
      <c r="G307" s="379"/>
      <c r="H307" s="379"/>
      <c r="I307" s="379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3:20" ht="12.75">
      <c r="C308" s="8"/>
      <c r="D308" s="8"/>
      <c r="E308" s="379"/>
      <c r="F308" s="379"/>
      <c r="G308" s="379"/>
      <c r="H308" s="379"/>
      <c r="I308" s="379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3:20" ht="12.75">
      <c r="C309" s="8"/>
      <c r="D309" s="8"/>
      <c r="E309" s="379"/>
      <c r="F309" s="379"/>
      <c r="G309" s="379"/>
      <c r="H309" s="379"/>
      <c r="I309" s="379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3:20" ht="12.75">
      <c r="C310" s="8"/>
      <c r="D310" s="8"/>
      <c r="E310" s="379"/>
      <c r="F310" s="379"/>
      <c r="G310" s="379"/>
      <c r="H310" s="379"/>
      <c r="I310" s="379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3:20" ht="12.75">
      <c r="C311" s="8"/>
      <c r="D311" s="8"/>
      <c r="E311" s="379"/>
      <c r="F311" s="379"/>
      <c r="G311" s="379"/>
      <c r="H311" s="379"/>
      <c r="I311" s="379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3:20" ht="12.75">
      <c r="C312" s="8"/>
      <c r="D312" s="8"/>
      <c r="E312" s="379"/>
      <c r="F312" s="379"/>
      <c r="G312" s="379"/>
      <c r="H312" s="379"/>
      <c r="I312" s="379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3:20" ht="12.75">
      <c r="C313" s="8"/>
      <c r="D313" s="8"/>
      <c r="E313" s="379"/>
      <c r="F313" s="379"/>
      <c r="G313" s="379"/>
      <c r="H313" s="379"/>
      <c r="I313" s="379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3:20" ht="12.75">
      <c r="C314" s="8"/>
      <c r="D314" s="8"/>
      <c r="E314" s="379"/>
      <c r="F314" s="379"/>
      <c r="G314" s="379"/>
      <c r="H314" s="379"/>
      <c r="I314" s="379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3:20" ht="12.75">
      <c r="C315" s="8"/>
      <c r="D315" s="8"/>
      <c r="E315" s="379"/>
      <c r="F315" s="379"/>
      <c r="G315" s="379"/>
      <c r="H315" s="379"/>
      <c r="I315" s="379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3:20" ht="12.75">
      <c r="C316" s="8"/>
      <c r="D316" s="8"/>
      <c r="E316" s="379"/>
      <c r="F316" s="379"/>
      <c r="G316" s="379"/>
      <c r="H316" s="379"/>
      <c r="I316" s="379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3:20" ht="12.75">
      <c r="C317" s="8"/>
      <c r="D317" s="8"/>
      <c r="E317" s="379"/>
      <c r="F317" s="379"/>
      <c r="G317" s="379"/>
      <c r="H317" s="379"/>
      <c r="I317" s="379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3:20" ht="12.75">
      <c r="C318" s="8"/>
      <c r="D318" s="8"/>
      <c r="E318" s="379"/>
      <c r="F318" s="379"/>
      <c r="G318" s="379"/>
      <c r="H318" s="379"/>
      <c r="I318" s="379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3:20" ht="12.75">
      <c r="C319" s="8"/>
      <c r="D319" s="8"/>
      <c r="E319" s="379"/>
      <c r="F319" s="379"/>
      <c r="G319" s="379"/>
      <c r="H319" s="379"/>
      <c r="I319" s="379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3:20" ht="12.75">
      <c r="C320" s="8"/>
      <c r="D320" s="8"/>
      <c r="E320" s="379"/>
      <c r="F320" s="379"/>
      <c r="G320" s="379"/>
      <c r="H320" s="379"/>
      <c r="I320" s="379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3:20" ht="12.75">
      <c r="C321" s="8"/>
      <c r="D321" s="8"/>
      <c r="E321" s="379"/>
      <c r="F321" s="379"/>
      <c r="G321" s="379"/>
      <c r="H321" s="379"/>
      <c r="I321" s="379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3:20" ht="12.75">
      <c r="C322" s="8"/>
      <c r="D322" s="8"/>
      <c r="E322" s="379"/>
      <c r="F322" s="379"/>
      <c r="G322" s="379"/>
      <c r="H322" s="379"/>
      <c r="I322" s="379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3:20" ht="12.75">
      <c r="C323" s="8"/>
      <c r="D323" s="8"/>
      <c r="E323" s="379"/>
      <c r="F323" s="379"/>
      <c r="G323" s="379"/>
      <c r="H323" s="379"/>
      <c r="I323" s="379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3:20" ht="12.75">
      <c r="C324" s="8"/>
      <c r="D324" s="8"/>
      <c r="E324" s="379"/>
      <c r="F324" s="379"/>
      <c r="G324" s="379"/>
      <c r="H324" s="379"/>
      <c r="I324" s="379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3:20" ht="12.75">
      <c r="C325" s="8"/>
      <c r="D325" s="8"/>
      <c r="E325" s="379"/>
      <c r="F325" s="379"/>
      <c r="G325" s="379"/>
      <c r="H325" s="379"/>
      <c r="I325" s="379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3:20" ht="12.75">
      <c r="C326" s="8"/>
      <c r="D326" s="8"/>
      <c r="E326" s="379"/>
      <c r="F326" s="379"/>
      <c r="G326" s="379"/>
      <c r="H326" s="379"/>
      <c r="I326" s="379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3:20" ht="12.75">
      <c r="C327" s="8"/>
      <c r="D327" s="8"/>
      <c r="E327" s="379"/>
      <c r="F327" s="379"/>
      <c r="G327" s="379"/>
      <c r="H327" s="379"/>
      <c r="I327" s="379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3:20" ht="12.75">
      <c r="C328" s="8"/>
      <c r="D328" s="8"/>
      <c r="E328" s="379"/>
      <c r="F328" s="379"/>
      <c r="G328" s="379"/>
      <c r="H328" s="379"/>
      <c r="I328" s="379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3:20" ht="12.75">
      <c r="C329" s="8"/>
      <c r="D329" s="8"/>
      <c r="E329" s="379"/>
      <c r="F329" s="379"/>
      <c r="G329" s="379"/>
      <c r="H329" s="379"/>
      <c r="I329" s="379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3:20" ht="12.75">
      <c r="C330" s="8"/>
      <c r="D330" s="8"/>
      <c r="E330" s="379"/>
      <c r="F330" s="379"/>
      <c r="G330" s="379"/>
      <c r="H330" s="379"/>
      <c r="I330" s="379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3:20" ht="12.75">
      <c r="C331" s="8"/>
      <c r="D331" s="8"/>
      <c r="E331" s="379"/>
      <c r="F331" s="379"/>
      <c r="G331" s="379"/>
      <c r="H331" s="379"/>
      <c r="I331" s="379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</sheetData>
  <printOptions gridLines="1"/>
  <pageMargins left="0.23" right="0.17" top="0.35" bottom="0.31" header="0.26" footer="0.17"/>
  <pageSetup fitToHeight="5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 Neilson</dc:creator>
  <cp:keywords/>
  <dc:description/>
  <cp:lastModifiedBy>rstrykowsky</cp:lastModifiedBy>
  <cp:lastPrinted>2008-08-04T14:30:18Z</cp:lastPrinted>
  <dcterms:created xsi:type="dcterms:W3CDTF">2008-05-05T21:10:12Z</dcterms:created>
  <dcterms:modified xsi:type="dcterms:W3CDTF">2008-08-04T14:37:48Z</dcterms:modified>
  <cp:category/>
  <cp:version/>
  <cp:contentType/>
  <cp:contentStatus/>
</cp:coreProperties>
</file>