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0" windowWidth="18840" windowHeight="12045" activeTab="0"/>
  </bookViews>
  <sheets>
    <sheet name="comparison" sheetId="1" r:id="rId1"/>
    <sheet name="NCSX no Kest." sheetId="2" r:id="rId2"/>
    <sheet name="NCSX Kest." sheetId="3" r:id="rId3"/>
    <sheet name="W7AS pack" sheetId="4" r:id="rId4"/>
    <sheet name="NCSX hypothetical" sheetId="5" r:id="rId5"/>
  </sheets>
  <definedNames/>
  <calcPr fullCalcOnLoad="1"/>
</workbook>
</file>

<file path=xl/sharedStrings.xml><?xml version="1.0" encoding="utf-8"?>
<sst xmlns="http://schemas.openxmlformats.org/spreadsheetml/2006/main" count="363" uniqueCount="94">
  <si>
    <t>Winding pack</t>
  </si>
  <si>
    <t>height</t>
  </si>
  <si>
    <t>width</t>
  </si>
  <si>
    <t>cross-section</t>
  </si>
  <si>
    <t>copper cross-section</t>
  </si>
  <si>
    <t>max current</t>
  </si>
  <si>
    <t>copper fraction</t>
  </si>
  <si>
    <t>max I^2 t</t>
  </si>
  <si>
    <t>max temp. rise</t>
  </si>
  <si>
    <t>max B</t>
  </si>
  <si>
    <t>conductor width</t>
  </si>
  <si>
    <t>conductor height</t>
  </si>
  <si>
    <t>W7AS - MC</t>
  </si>
  <si>
    <t>cm2</t>
  </si>
  <si>
    <t>cm</t>
  </si>
  <si>
    <t xml:space="preserve">cm </t>
  </si>
  <si>
    <t>C</t>
  </si>
  <si>
    <t>T</t>
  </si>
  <si>
    <t>kA</t>
  </si>
  <si>
    <t>turn-turn insulation</t>
  </si>
  <si>
    <t>rope-rope within turn</t>
  </si>
  <si>
    <t>kA^2 s</t>
  </si>
  <si>
    <t>max thermal displacement</t>
  </si>
  <si>
    <t>max total deflection</t>
  </si>
  <si>
    <t>mm</t>
  </si>
  <si>
    <t>operating Temp</t>
  </si>
  <si>
    <t xml:space="preserve">K </t>
  </si>
  <si>
    <t>max voltage</t>
  </si>
  <si>
    <t>kV</t>
  </si>
  <si>
    <t>s</t>
  </si>
  <si>
    <t>current density overall</t>
  </si>
  <si>
    <t>current density copper</t>
  </si>
  <si>
    <t>kA/cm2</t>
  </si>
  <si>
    <t>R</t>
  </si>
  <si>
    <t>m</t>
  </si>
  <si>
    <t xml:space="preserve">RB = </t>
  </si>
  <si>
    <t>overall</t>
  </si>
  <si>
    <t>1?</t>
  </si>
  <si>
    <t>duration at max I, esw</t>
  </si>
  <si>
    <t>nominal</t>
  </si>
  <si>
    <t>Number of turns high</t>
  </si>
  <si>
    <t>Number of turns wide</t>
  </si>
  <si>
    <t>Total number of turns</t>
  </si>
  <si>
    <t>rope cross section</t>
  </si>
  <si>
    <t>missing height</t>
  </si>
  <si>
    <t>missing width</t>
  </si>
  <si>
    <t>ground wrap</t>
  </si>
  <si>
    <t>chill plate thickness</t>
  </si>
  <si>
    <t>cooling</t>
  </si>
  <si>
    <t>insulation</t>
  </si>
  <si>
    <t>Wayne's, no Keyst.
NCSX  1 in hand</t>
  </si>
  <si>
    <t>Wayne's, no Keyst.
NCSX   3 in hand</t>
  </si>
  <si>
    <t>corrected, no Keyst.
NCSX   3 in hand</t>
  </si>
  <si>
    <t>conductor aspect ratio</t>
  </si>
  <si>
    <t>corrected, no Keyst.
NCSX   2 in hand</t>
  </si>
  <si>
    <t>corrected, no Keyst.
NCSX   4 in hand</t>
  </si>
  <si>
    <t>min bend radius</t>
  </si>
  <si>
    <t>orig. conductor height</t>
  </si>
  <si>
    <t>Wayne's Keyst.
NCSX  1 in hand</t>
  </si>
  <si>
    <t>Wayne's, Keyst.
NCSX   3 in hand</t>
  </si>
  <si>
    <t>Wayne's, Keyst.
NCSX   4 in hand</t>
  </si>
  <si>
    <t>orig. rope cross section</t>
  </si>
  <si>
    <t>fluff cross section</t>
  </si>
  <si>
    <t>kest. rope cross sect.</t>
  </si>
  <si>
    <t>kest. additional height</t>
  </si>
  <si>
    <t>corrected, Keyst.
NCSX   3 in hand</t>
  </si>
  <si>
    <t>corrected, Keyst.
NCSX   2 in hand</t>
  </si>
  <si>
    <t>corrected, Keyst.
NCSX   4 in hand</t>
  </si>
  <si>
    <t>corrected, Keyst.
NCSX   1 in hand</t>
  </si>
  <si>
    <t>orig cond aspect ratio</t>
  </si>
  <si>
    <t>Mathis and Sapper</t>
  </si>
  <si>
    <t>ropes high/turn</t>
  </si>
  <si>
    <t>ropes wide/turn</t>
  </si>
  <si>
    <t>guess ID of 3mm</t>
  </si>
  <si>
    <t>Insulation height</t>
  </si>
  <si>
    <t>Insulation width</t>
  </si>
  <si>
    <t>original conductor Cu fraction</t>
  </si>
  <si>
    <t>cooling fraction</t>
  </si>
  <si>
    <t>insulation fraction</t>
  </si>
  <si>
    <t>fluff fraction</t>
  </si>
  <si>
    <t>1/2 overall</t>
  </si>
  <si>
    <t xml:space="preserve">structure </t>
  </si>
  <si>
    <t>structure fraction</t>
  </si>
  <si>
    <t>Wayne's NCSX 
1 in hand</t>
  </si>
  <si>
    <t>Wayne's NCSX  
3 in hand</t>
  </si>
  <si>
    <t>Corrected NCSX  
1 in hand</t>
  </si>
  <si>
    <t>Corrected NCSX 
3 in hand</t>
  </si>
  <si>
    <t>Corrected NCSX  
3 in hand</t>
  </si>
  <si>
    <t>hypothetical, Keyst.
NCSX   2 in hand</t>
  </si>
  <si>
    <t>hypothetical, Keyst.
NCSX   3 in hand</t>
  </si>
  <si>
    <t>hypothetical, Keyst.
NCSX   4 in hand</t>
  </si>
  <si>
    <t>chill tube I.D.</t>
  </si>
  <si>
    <t>hypothetical, NCSX
 3 in hand</t>
  </si>
  <si>
    <t>hypothetical, NCSX
4 in hand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</si>
</sst>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6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1">
      <pane xSplit="3270" topLeftCell="E1" activePane="topRight" state="split"/>
      <selection pane="topLeft" activeCell="A39" sqref="A39"/>
      <selection pane="topRight" activeCell="J34" sqref="J34"/>
    </sheetView>
  </sheetViews>
  <sheetFormatPr defaultColWidth="9.140625" defaultRowHeight="12.75"/>
  <cols>
    <col min="1" max="1" width="20.421875" style="4" bestFit="1" customWidth="1"/>
    <col min="2" max="2" width="7.7109375" style="1" customWidth="1"/>
    <col min="3" max="3" width="18.28125" style="14" customWidth="1"/>
    <col min="4" max="4" width="13.7109375" style="0" customWidth="1"/>
    <col min="5" max="5" width="13.57421875" style="1" customWidth="1"/>
    <col min="6" max="6" width="14.57421875" style="0" customWidth="1"/>
    <col min="7" max="7" width="14.421875" style="4" customWidth="1"/>
    <col min="8" max="8" width="14.421875" style="1" customWidth="1"/>
    <col min="9" max="10" width="17.00390625" style="4" customWidth="1"/>
    <col min="11" max="11" width="16.7109375" style="1" customWidth="1"/>
    <col min="12" max="12" width="14.8515625" style="0" customWidth="1"/>
    <col min="13" max="13" width="14.140625" style="0" customWidth="1"/>
  </cols>
  <sheetData>
    <row r="1" spans="2:13" s="37" customFormat="1" ht="29.25" customHeight="1">
      <c r="B1" s="38"/>
      <c r="C1" s="39" t="s">
        <v>12</v>
      </c>
      <c r="D1" s="40" t="s">
        <v>83</v>
      </c>
      <c r="E1" s="41" t="s">
        <v>84</v>
      </c>
      <c r="F1" s="42" t="s">
        <v>85</v>
      </c>
      <c r="G1" s="42" t="s">
        <v>86</v>
      </c>
      <c r="H1" s="43" t="s">
        <v>86</v>
      </c>
      <c r="I1" s="44" t="s">
        <v>92</v>
      </c>
      <c r="J1" s="50" t="s">
        <v>92</v>
      </c>
      <c r="K1" s="47" t="s">
        <v>93</v>
      </c>
      <c r="L1" s="46" t="s">
        <v>85</v>
      </c>
      <c r="M1" s="46" t="s">
        <v>87</v>
      </c>
    </row>
    <row r="2" spans="3:13" ht="12.75">
      <c r="C2" s="12"/>
      <c r="D2" s="6"/>
      <c r="E2" s="7"/>
      <c r="F2" s="6"/>
      <c r="G2" s="18"/>
      <c r="H2" s="7"/>
      <c r="I2" s="18"/>
      <c r="J2" s="18"/>
      <c r="K2" s="7"/>
      <c r="L2" s="6"/>
      <c r="M2" s="18"/>
    </row>
    <row r="3" spans="1:13" ht="12.75">
      <c r="A3" s="4" t="s">
        <v>0</v>
      </c>
      <c r="C3" s="45" t="s">
        <v>36</v>
      </c>
      <c r="D3" s="6" t="s">
        <v>39</v>
      </c>
      <c r="E3" s="7" t="s">
        <v>39</v>
      </c>
      <c r="F3" s="6" t="s">
        <v>39</v>
      </c>
      <c r="G3" s="18" t="s">
        <v>39</v>
      </c>
      <c r="H3" s="7" t="s">
        <v>39</v>
      </c>
      <c r="I3" s="18" t="s">
        <v>39</v>
      </c>
      <c r="J3" s="18" t="s">
        <v>39</v>
      </c>
      <c r="K3" s="7" t="s">
        <v>39</v>
      </c>
      <c r="L3" s="16" t="s">
        <v>80</v>
      </c>
      <c r="M3" s="36" t="s">
        <v>80</v>
      </c>
    </row>
    <row r="4" spans="1:13" ht="12.75">
      <c r="A4" s="4" t="s">
        <v>1</v>
      </c>
      <c r="B4" s="1" t="s">
        <v>15</v>
      </c>
      <c r="C4" s="13">
        <v>17.8</v>
      </c>
      <c r="D4" s="15">
        <v>11.86434</v>
      </c>
      <c r="E4" s="9">
        <v>11.86434</v>
      </c>
      <c r="F4" s="15">
        <v>11.86434</v>
      </c>
      <c r="G4" s="15">
        <v>11.86434</v>
      </c>
      <c r="H4" s="9">
        <v>11.86434</v>
      </c>
      <c r="I4" s="15">
        <v>11.86434</v>
      </c>
      <c r="J4" s="15">
        <v>11.86434</v>
      </c>
      <c r="K4" s="9">
        <v>11.86434</v>
      </c>
      <c r="L4" s="8">
        <f>2.54*(4.671+0.75)</f>
        <v>13.769340000000001</v>
      </c>
      <c r="M4" s="15">
        <f>2.54*(4.671+0.75)</f>
        <v>13.769340000000001</v>
      </c>
    </row>
    <row r="5" spans="1:13" ht="12.75">
      <c r="A5" s="4" t="s">
        <v>2</v>
      </c>
      <c r="B5" s="1" t="s">
        <v>14</v>
      </c>
      <c r="C5" s="13">
        <v>12.4</v>
      </c>
      <c r="D5" s="15">
        <v>4.254499999999999</v>
      </c>
      <c r="E5" s="9">
        <v>4.254499999999999</v>
      </c>
      <c r="F5" s="15">
        <v>4.254499999999999</v>
      </c>
      <c r="G5" s="15">
        <v>4.254499999999999</v>
      </c>
      <c r="H5" s="9">
        <v>4.254499999999999</v>
      </c>
      <c r="I5" s="15">
        <v>4.254499999999999</v>
      </c>
      <c r="J5" s="15">
        <v>4.254499999999999</v>
      </c>
      <c r="K5" s="9">
        <v>4.254499999999999</v>
      </c>
      <c r="L5" s="8">
        <f>2.54*(4.1+0.375)/2</f>
        <v>5.683249999999999</v>
      </c>
      <c r="M5" s="15">
        <f>2.54*(4.1+0.375)/2</f>
        <v>5.683249999999999</v>
      </c>
    </row>
    <row r="6" spans="1:13" ht="12.75">
      <c r="A6" s="4" t="s">
        <v>3</v>
      </c>
      <c r="B6" s="1" t="s">
        <v>13</v>
      </c>
      <c r="C6" s="13">
        <v>220.72</v>
      </c>
      <c r="D6" s="8">
        <v>50.47683452999999</v>
      </c>
      <c r="E6" s="9">
        <v>50.47683452999999</v>
      </c>
      <c r="F6" s="8">
        <v>50.47683452999999</v>
      </c>
      <c r="G6" s="15">
        <v>50.47683452999999</v>
      </c>
      <c r="H6" s="9">
        <v>50.47683452999999</v>
      </c>
      <c r="I6" s="15">
        <v>50.47683452999999</v>
      </c>
      <c r="J6" s="15">
        <v>50.47683452999999</v>
      </c>
      <c r="K6" s="9">
        <v>50.47683452999999</v>
      </c>
      <c r="L6" s="8">
        <f>L4*L5</f>
        <v>78.254601555</v>
      </c>
      <c r="M6" s="15">
        <f>M4*M5</f>
        <v>78.254601555</v>
      </c>
    </row>
    <row r="7" spans="1:13" ht="12.75">
      <c r="A7" s="5" t="s">
        <v>61</v>
      </c>
      <c r="B7" s="1" t="s">
        <v>13</v>
      </c>
      <c r="C7" s="13">
        <v>184.0896</v>
      </c>
      <c r="D7" s="8">
        <v>24.446209172</v>
      </c>
      <c r="E7" s="9">
        <v>27.561235200000002</v>
      </c>
      <c r="F7" s="8">
        <v>26.08255179913768</v>
      </c>
      <c r="G7" s="15">
        <v>31.158628899202395</v>
      </c>
      <c r="H7" s="9">
        <v>32.12685104455209</v>
      </c>
      <c r="I7" s="15">
        <v>38.67202359501699</v>
      </c>
      <c r="J7" s="15">
        <v>37.48336180430513</v>
      </c>
      <c r="K7" s="9">
        <v>38.84001261878783</v>
      </c>
      <c r="L7" s="8">
        <v>26.08255179913768</v>
      </c>
      <c r="M7" s="15">
        <v>31.158628899202395</v>
      </c>
    </row>
    <row r="8" spans="1:13" ht="12.75">
      <c r="A8" s="5" t="s">
        <v>63</v>
      </c>
      <c r="B8" s="1" t="s">
        <v>13</v>
      </c>
      <c r="C8" s="13"/>
      <c r="D8" s="8">
        <v>32.79425925006</v>
      </c>
      <c r="E8" s="9">
        <v>31.84951731466286</v>
      </c>
      <c r="F8" s="8">
        <v>32.558521979599995</v>
      </c>
      <c r="G8" s="15">
        <v>34.63241460599999</v>
      </c>
      <c r="H8" s="9">
        <v>35.166413537999986</v>
      </c>
      <c r="I8" s="15">
        <v>43.63727613</v>
      </c>
      <c r="J8" s="15">
        <v>43.157936129999996</v>
      </c>
      <c r="K8" s="9">
        <v>42.46490932999998</v>
      </c>
      <c r="L8" s="8">
        <v>32.558521979599995</v>
      </c>
      <c r="M8" s="15">
        <v>34.63241460599999</v>
      </c>
    </row>
    <row r="9" spans="1:13" ht="12.75">
      <c r="A9" s="5" t="s">
        <v>48</v>
      </c>
      <c r="B9" s="1" t="s">
        <v>13</v>
      </c>
      <c r="C9" s="13">
        <v>3.39292006632</v>
      </c>
      <c r="D9" s="8">
        <v>3.275348288</v>
      </c>
      <c r="E9" s="9">
        <v>3.275348288</v>
      </c>
      <c r="F9" s="8">
        <v>3.275348288</v>
      </c>
      <c r="G9" s="15">
        <v>3.275348288</v>
      </c>
      <c r="H9" s="9">
        <v>3.275348288</v>
      </c>
      <c r="I9" s="15">
        <v>0.494800843005</v>
      </c>
      <c r="J9" s="15">
        <v>0.5654866777199999</v>
      </c>
      <c r="K9" s="9">
        <v>0.636172512435</v>
      </c>
      <c r="L9" s="8">
        <v>3.275348288</v>
      </c>
      <c r="M9" s="15">
        <v>3.275348288</v>
      </c>
    </row>
    <row r="10" spans="1:13" ht="12.75">
      <c r="A10" s="5" t="s">
        <v>49</v>
      </c>
      <c r="B10" s="1" t="s">
        <v>13</v>
      </c>
      <c r="C10" s="13">
        <v>33.237479933680035</v>
      </c>
      <c r="D10" s="8">
        <v>14.40722699193999</v>
      </c>
      <c r="E10" s="9">
        <v>15.35196892733713</v>
      </c>
      <c r="F10" s="8">
        <v>14.642964262399996</v>
      </c>
      <c r="G10" s="15">
        <v>12.569071636</v>
      </c>
      <c r="H10" s="9">
        <v>12.035072704000005</v>
      </c>
      <c r="I10" s="15">
        <v>6.3447575569949946</v>
      </c>
      <c r="J10" s="15">
        <v>6.753411722279995</v>
      </c>
      <c r="K10" s="9">
        <v>7.375752687565008</v>
      </c>
      <c r="L10" s="8">
        <v>14.642964262399996</v>
      </c>
      <c r="M10" s="15">
        <v>12.569071636</v>
      </c>
    </row>
    <row r="11" spans="1:13" ht="12.75">
      <c r="A11" s="4" t="s">
        <v>4</v>
      </c>
      <c r="B11" s="1" t="s">
        <v>13</v>
      </c>
      <c r="C11" s="13">
        <v>146.4</v>
      </c>
      <c r="D11" s="8">
        <v>19.06804315416</v>
      </c>
      <c r="E11" s="9">
        <v>21.497763456</v>
      </c>
      <c r="F11" s="8">
        <v>20.34439040332739</v>
      </c>
      <c r="G11" s="15">
        <v>24.303730541377867</v>
      </c>
      <c r="H11" s="9">
        <v>25.05894381475063</v>
      </c>
      <c r="I11" s="15">
        <v>29.669377561108252</v>
      </c>
      <c r="J11" s="15">
        <v>28.671535529638007</v>
      </c>
      <c r="K11" s="9">
        <v>29.65903733021951</v>
      </c>
      <c r="L11" s="8">
        <v>20.34439040332739</v>
      </c>
      <c r="M11" s="15">
        <v>24.303730541377867</v>
      </c>
    </row>
    <row r="12" spans="1:13" ht="12.75">
      <c r="A12" s="5" t="s">
        <v>62</v>
      </c>
      <c r="B12" s="1" t="s">
        <v>13</v>
      </c>
      <c r="C12" s="29">
        <v>37.68960000000001</v>
      </c>
      <c r="D12" s="25">
        <v>13.726216095899993</v>
      </c>
      <c r="E12" s="26">
        <v>10.351753858662857</v>
      </c>
      <c r="F12" s="25">
        <v>12.214131576272596</v>
      </c>
      <c r="G12" s="34">
        <v>10.328684064622117</v>
      </c>
      <c r="H12" s="26">
        <v>10.107469723249356</v>
      </c>
      <c r="I12" s="15">
        <v>13.967898568891744</v>
      </c>
      <c r="J12" s="15">
        <v>14.48640060036199</v>
      </c>
      <c r="K12" s="9">
        <v>12.805871999780475</v>
      </c>
      <c r="L12" s="25">
        <v>12.214131576272596</v>
      </c>
      <c r="M12" s="34">
        <v>10.328684064622117</v>
      </c>
    </row>
    <row r="13" spans="1:13" ht="12.75">
      <c r="A13" s="5" t="s">
        <v>81</v>
      </c>
      <c r="B13" s="1" t="s">
        <v>13</v>
      </c>
      <c r="C13" s="29"/>
      <c r="D13" s="25"/>
      <c r="E13" s="26"/>
      <c r="F13" s="25"/>
      <c r="G13" s="34"/>
      <c r="H13" s="7"/>
      <c r="L13" s="25">
        <f>L6-F6</f>
        <v>27.777767025000003</v>
      </c>
      <c r="M13" s="34">
        <f>M6-G6</f>
        <v>27.777767025000003</v>
      </c>
    </row>
    <row r="14" spans="1:13" ht="12.75">
      <c r="A14" s="5"/>
      <c r="C14" s="29"/>
      <c r="D14" s="25"/>
      <c r="E14" s="26"/>
      <c r="F14" s="25"/>
      <c r="G14" s="34"/>
      <c r="H14" s="7"/>
      <c r="I14" s="18"/>
      <c r="J14" s="18"/>
      <c r="K14" s="7"/>
      <c r="L14" s="25"/>
      <c r="M14" s="34"/>
    </row>
    <row r="15" spans="1:13" ht="12.75">
      <c r="A15" s="28" t="s">
        <v>6</v>
      </c>
      <c r="C15" s="30">
        <v>0.6632837984777092</v>
      </c>
      <c r="D15" s="10">
        <v>0.3777582990634497</v>
      </c>
      <c r="E15" s="11">
        <v>0.425893653121675</v>
      </c>
      <c r="F15" s="10">
        <v>0.40304410117548223</v>
      </c>
      <c r="G15" s="19">
        <v>0.4814828577836708</v>
      </c>
      <c r="H15" s="11">
        <f>H11/H6</f>
        <v>0.4964444392775324</v>
      </c>
      <c r="I15" s="19">
        <v>0.587782055617509</v>
      </c>
      <c r="J15" s="19">
        <v>0.5680137393044645</v>
      </c>
      <c r="K15" s="11">
        <v>0.5875772046005023</v>
      </c>
      <c r="L15" s="10">
        <f>L11/L6</f>
        <v>0.25997692147251766</v>
      </c>
      <c r="M15" s="19">
        <f>M11/M6</f>
        <v>0.3105725421692471</v>
      </c>
    </row>
    <row r="16" spans="1:13" ht="12.75">
      <c r="A16" s="5" t="s">
        <v>77</v>
      </c>
      <c r="C16" s="29">
        <f aca="true" t="shared" si="0" ref="C16:M16">C9/C6</f>
        <v>0.015372055392895977</v>
      </c>
      <c r="D16" s="25">
        <f t="shared" si="0"/>
        <v>0.06488814757298927</v>
      </c>
      <c r="E16" s="26">
        <f t="shared" si="0"/>
        <v>0.06488814757298927</v>
      </c>
      <c r="F16" s="25">
        <f t="shared" si="0"/>
        <v>0.06488814757298927</v>
      </c>
      <c r="G16" s="34">
        <f t="shared" si="0"/>
        <v>0.06488814757298927</v>
      </c>
      <c r="H16" s="26">
        <f t="shared" si="0"/>
        <v>0.06488814757298927</v>
      </c>
      <c r="I16" s="34">
        <f>I9/I6</f>
        <v>0.009802533134500026</v>
      </c>
      <c r="J16" s="34">
        <f>J9/J6</f>
        <v>0.011202895010857172</v>
      </c>
      <c r="K16" s="26">
        <f>K9/K6</f>
        <v>0.01260325688721432</v>
      </c>
      <c r="L16" s="25">
        <f t="shared" si="0"/>
        <v>0.0418550247897943</v>
      </c>
      <c r="M16" s="34">
        <f t="shared" si="0"/>
        <v>0.0418550247897943</v>
      </c>
    </row>
    <row r="17" spans="1:13" ht="12.75">
      <c r="A17" s="5" t="s">
        <v>78</v>
      </c>
      <c r="C17" s="29">
        <f aca="true" t="shared" si="1" ref="C17:M17">C10/C6</f>
        <v>0.1505866252885105</v>
      </c>
      <c r="D17" s="32">
        <f t="shared" si="1"/>
        <v>0.28542255325811516</v>
      </c>
      <c r="E17" s="33">
        <f t="shared" si="1"/>
        <v>0.30413889995841487</v>
      </c>
      <c r="F17" s="32">
        <f t="shared" si="1"/>
        <v>0.2900927603472681</v>
      </c>
      <c r="G17" s="35">
        <f t="shared" si="1"/>
        <v>0.24900673255431263</v>
      </c>
      <c r="H17" s="33">
        <f t="shared" si="1"/>
        <v>0.2384276434142711</v>
      </c>
      <c r="I17" s="34">
        <f>I10/I6</f>
        <v>0.12569642324191513</v>
      </c>
      <c r="J17" s="34">
        <f>J10/J6</f>
        <v>0.13379229868834638</v>
      </c>
      <c r="K17" s="26">
        <f>K10/K6</f>
        <v>0.14612153785478293</v>
      </c>
      <c r="L17" s="32">
        <f t="shared" si="1"/>
        <v>0.1871195299883857</v>
      </c>
      <c r="M17" s="35">
        <f t="shared" si="1"/>
        <v>0.16061766830626606</v>
      </c>
    </row>
    <row r="18" spans="1:13" ht="12.75">
      <c r="A18" s="5" t="s">
        <v>79</v>
      </c>
      <c r="C18" s="29">
        <f aca="true" t="shared" si="2" ref="C18:M18">C12/C6</f>
        <v>0.17075752084088444</v>
      </c>
      <c r="D18" s="25">
        <f t="shared" si="2"/>
        <v>0.2719310001054457</v>
      </c>
      <c r="E18" s="26">
        <f t="shared" si="2"/>
        <v>0.20507929934692082</v>
      </c>
      <c r="F18" s="32">
        <f t="shared" si="2"/>
        <v>0.24197499090426022</v>
      </c>
      <c r="G18" s="34">
        <f t="shared" si="2"/>
        <v>0.2046222620890272</v>
      </c>
      <c r="H18" s="26">
        <f t="shared" si="2"/>
        <v>0.20023976973520724</v>
      </c>
      <c r="I18" s="34">
        <f>I12/I6</f>
        <v>0.27671898800607586</v>
      </c>
      <c r="J18" s="34">
        <f>J12/J6</f>
        <v>0.2869910669963319</v>
      </c>
      <c r="K18" s="26">
        <f>K12/K6</f>
        <v>0.25369800065750037</v>
      </c>
      <c r="L18" s="32">
        <f t="shared" si="2"/>
        <v>0.15608195982811426</v>
      </c>
      <c r="M18" s="34">
        <f t="shared" si="2"/>
        <v>0.13198820081350446</v>
      </c>
    </row>
    <row r="19" spans="1:13" ht="12.75">
      <c r="A19" s="5" t="s">
        <v>82</v>
      </c>
      <c r="C19" s="29"/>
      <c r="D19" s="25"/>
      <c r="E19" s="26"/>
      <c r="F19" s="32"/>
      <c r="G19" s="34"/>
      <c r="H19" s="7"/>
      <c r="I19" s="18"/>
      <c r="J19" s="18"/>
      <c r="K19" s="7"/>
      <c r="L19" s="32">
        <f>L13/L6</f>
        <v>0.35496656392118797</v>
      </c>
      <c r="M19" s="35">
        <f>M13/M6</f>
        <v>0.35496656392118797</v>
      </c>
    </row>
    <row r="20" spans="1:13" ht="12.75">
      <c r="A20" s="5"/>
      <c r="C20" s="29"/>
      <c r="D20" s="25"/>
      <c r="E20" s="26"/>
      <c r="F20" s="25"/>
      <c r="G20" s="34"/>
      <c r="H20" s="7"/>
      <c r="I20" s="18"/>
      <c r="J20" s="18"/>
      <c r="K20" s="7"/>
      <c r="L20" s="25"/>
      <c r="M20" s="34"/>
    </row>
    <row r="21" spans="3:13" ht="12.75">
      <c r="C21" s="13"/>
      <c r="D21" s="6"/>
      <c r="E21" s="7"/>
      <c r="F21" s="6"/>
      <c r="G21" s="18"/>
      <c r="H21" s="7"/>
      <c r="I21" s="18"/>
      <c r="J21" s="18"/>
      <c r="K21" s="7"/>
      <c r="L21" s="6"/>
      <c r="M21" s="18"/>
    </row>
    <row r="22" spans="1:13" ht="12.75">
      <c r="A22" s="5" t="s">
        <v>56</v>
      </c>
      <c r="B22" s="1" t="s">
        <v>14</v>
      </c>
      <c r="C22" s="13">
        <v>8</v>
      </c>
      <c r="D22" s="8">
        <v>6.223000000000001</v>
      </c>
      <c r="E22" s="9">
        <v>6.223000000000001</v>
      </c>
      <c r="F22" s="8">
        <v>7.243445000000001</v>
      </c>
      <c r="G22" s="15">
        <v>6.983730000000001</v>
      </c>
      <c r="H22" s="9">
        <v>6.983730000000001</v>
      </c>
      <c r="I22" s="34">
        <v>6.98875</v>
      </c>
      <c r="J22" s="34">
        <v>6.98875</v>
      </c>
      <c r="K22" s="26">
        <v>6.8198125</v>
      </c>
      <c r="L22" s="8">
        <v>7.243445000000001</v>
      </c>
      <c r="M22" s="15">
        <v>6.983730000000001</v>
      </c>
    </row>
    <row r="23" spans="3:13" ht="12.75">
      <c r="C23" s="13"/>
      <c r="D23" s="6"/>
      <c r="E23" s="7"/>
      <c r="F23" s="6"/>
      <c r="G23" s="18"/>
      <c r="H23" s="7"/>
      <c r="I23" s="34"/>
      <c r="J23" s="34"/>
      <c r="K23" s="26"/>
      <c r="L23" s="6"/>
      <c r="M23" s="18"/>
    </row>
    <row r="24" spans="1:13" ht="12.75">
      <c r="A24" s="4" t="s">
        <v>10</v>
      </c>
      <c r="B24" s="1" t="s">
        <v>14</v>
      </c>
      <c r="C24" s="13">
        <v>0.94</v>
      </c>
      <c r="D24" s="8">
        <v>1.6891</v>
      </c>
      <c r="E24" s="9">
        <v>1.1303</v>
      </c>
      <c r="F24" s="15">
        <v>1.6852899999999997</v>
      </c>
      <c r="G24" s="15">
        <v>1.1302999999999999</v>
      </c>
      <c r="H24" s="9">
        <v>1.1302999999999999</v>
      </c>
      <c r="I24" s="34">
        <v>1.3314999999999997</v>
      </c>
      <c r="J24" s="34">
        <v>1.3314999999999997</v>
      </c>
      <c r="K24" s="26">
        <v>0.9936249999999998</v>
      </c>
      <c r="L24" s="15">
        <v>1.6852899999999997</v>
      </c>
      <c r="M24" s="15">
        <v>1.1302999999999999</v>
      </c>
    </row>
    <row r="25" spans="1:13" ht="12.75">
      <c r="A25" s="4" t="s">
        <v>57</v>
      </c>
      <c r="B25" s="1" t="s">
        <v>14</v>
      </c>
      <c r="C25" s="13">
        <v>1.02</v>
      </c>
      <c r="D25" s="8">
        <v>1.03378</v>
      </c>
      <c r="E25" s="9">
        <v>1.016</v>
      </c>
      <c r="F25" s="15">
        <v>1.1054711143032476</v>
      </c>
      <c r="G25" s="15">
        <v>1.1486120535551918</v>
      </c>
      <c r="H25" s="9">
        <v>1.353490267840906</v>
      </c>
      <c r="I25" s="34">
        <v>1.3830453872294761</v>
      </c>
      <c r="J25" s="34">
        <v>1.1729678872294762</v>
      </c>
      <c r="K25" s="26">
        <v>1.0858112863613267</v>
      </c>
      <c r="L25" s="15">
        <v>1.1054711143032476</v>
      </c>
      <c r="M25" s="15">
        <v>1.1486120535551918</v>
      </c>
    </row>
    <row r="26" spans="1:13" ht="12.75">
      <c r="A26" s="5" t="s">
        <v>64</v>
      </c>
      <c r="B26" s="1" t="s">
        <v>14</v>
      </c>
      <c r="C26" s="13"/>
      <c r="D26" s="8">
        <v>0.3530219</v>
      </c>
      <c r="E26" s="9">
        <v>0.15808052857142857</v>
      </c>
      <c r="F26" s="8">
        <v>0.27447459998246676</v>
      </c>
      <c r="G26" s="15">
        <v>0.1280554464448081</v>
      </c>
      <c r="H26" s="9">
        <v>0.1280554464448081</v>
      </c>
      <c r="I26" s="15">
        <v>0.17757461277052394</v>
      </c>
      <c r="J26" s="15">
        <v>0.17757461277052394</v>
      </c>
      <c r="K26" s="9">
        <v>0.10133760252756209</v>
      </c>
      <c r="L26" s="8">
        <v>0.27447459998246676</v>
      </c>
      <c r="M26" s="15">
        <v>0.1280554464448081</v>
      </c>
    </row>
    <row r="27" spans="1:13" ht="12.75">
      <c r="A27" s="27" t="s">
        <v>69</v>
      </c>
      <c r="C27" s="13">
        <v>1.0851063829787235</v>
      </c>
      <c r="D27" s="8">
        <v>1.6339066339066342</v>
      </c>
      <c r="E27" s="9">
        <v>1.1125</v>
      </c>
      <c r="F27" s="8">
        <v>1.524499354342875</v>
      </c>
      <c r="G27" s="15">
        <v>1.0162010559631884</v>
      </c>
      <c r="H27" s="9">
        <v>1.1974610880659171</v>
      </c>
      <c r="I27" s="15">
        <v>1.0387122697930729</v>
      </c>
      <c r="J27" s="15">
        <v>1.1351546913572994</v>
      </c>
      <c r="K27" s="9">
        <v>1.0927777444824023</v>
      </c>
      <c r="L27" s="8">
        <v>1.524499354342875</v>
      </c>
      <c r="M27" s="15">
        <v>1.0162010559631884</v>
      </c>
    </row>
    <row r="28" spans="1:13" ht="12.75">
      <c r="A28" s="5"/>
      <c r="C28" s="13"/>
      <c r="D28" s="8"/>
      <c r="E28" s="9"/>
      <c r="F28" s="8"/>
      <c r="G28" s="15"/>
      <c r="H28" s="9"/>
      <c r="I28" s="18"/>
      <c r="J28" s="18"/>
      <c r="K28" s="7"/>
      <c r="L28" s="8"/>
      <c r="M28" s="15"/>
    </row>
    <row r="29" spans="1:13" ht="12.75">
      <c r="A29" s="5" t="s">
        <v>40</v>
      </c>
      <c r="C29" s="12">
        <v>8</v>
      </c>
      <c r="D29" s="6">
        <v>7</v>
      </c>
      <c r="E29" s="7">
        <v>8</v>
      </c>
      <c r="F29" s="6">
        <v>7</v>
      </c>
      <c r="G29" s="18">
        <v>8</v>
      </c>
      <c r="H29" s="7">
        <v>7</v>
      </c>
      <c r="I29" s="48">
        <v>7</v>
      </c>
      <c r="J29" s="48">
        <v>8</v>
      </c>
      <c r="K29" s="49">
        <v>9</v>
      </c>
      <c r="L29" s="6">
        <v>7</v>
      </c>
      <c r="M29" s="18">
        <v>8</v>
      </c>
    </row>
    <row r="30" spans="1:13" ht="12.75">
      <c r="A30" s="5" t="s">
        <v>41</v>
      </c>
      <c r="C30" s="12">
        <v>2</v>
      </c>
      <c r="D30" s="6">
        <v>2</v>
      </c>
      <c r="E30" s="7">
        <v>3</v>
      </c>
      <c r="F30" s="6">
        <v>2</v>
      </c>
      <c r="G30" s="18">
        <v>3</v>
      </c>
      <c r="H30" s="7">
        <v>3</v>
      </c>
      <c r="I30" s="18">
        <v>3</v>
      </c>
      <c r="J30" s="18">
        <v>3</v>
      </c>
      <c r="K30" s="7">
        <v>4</v>
      </c>
      <c r="L30" s="6">
        <v>2</v>
      </c>
      <c r="M30" s="18">
        <v>3</v>
      </c>
    </row>
    <row r="31" spans="1:13" ht="12.75">
      <c r="A31" s="5" t="s">
        <v>42</v>
      </c>
      <c r="C31" s="12">
        <v>16</v>
      </c>
      <c r="D31" s="6">
        <v>14</v>
      </c>
      <c r="E31" s="7">
        <v>24</v>
      </c>
      <c r="F31" s="6">
        <v>14</v>
      </c>
      <c r="G31" s="18">
        <v>24</v>
      </c>
      <c r="H31" s="7">
        <v>21</v>
      </c>
      <c r="I31" s="48">
        <v>21</v>
      </c>
      <c r="J31" s="48">
        <v>24</v>
      </c>
      <c r="K31" s="49">
        <v>36</v>
      </c>
      <c r="L31" s="6">
        <v>14</v>
      </c>
      <c r="M31" s="18">
        <v>24</v>
      </c>
    </row>
    <row r="32" spans="1:13" ht="12.75">
      <c r="A32" s="5" t="s">
        <v>71</v>
      </c>
      <c r="C32" s="31">
        <v>2</v>
      </c>
      <c r="D32" s="6">
        <v>1</v>
      </c>
      <c r="E32" s="7">
        <v>1</v>
      </c>
      <c r="F32" s="6">
        <v>1</v>
      </c>
      <c r="G32" s="18">
        <v>1</v>
      </c>
      <c r="H32" s="7">
        <v>1</v>
      </c>
      <c r="I32" s="6">
        <v>1</v>
      </c>
      <c r="J32" s="18">
        <v>1</v>
      </c>
      <c r="K32" s="7">
        <v>1</v>
      </c>
      <c r="L32" s="6">
        <v>1</v>
      </c>
      <c r="M32" s="18">
        <v>1</v>
      </c>
    </row>
    <row r="33" spans="1:13" ht="12.75">
      <c r="A33" s="5" t="s">
        <v>72</v>
      </c>
      <c r="C33" s="12">
        <v>6</v>
      </c>
      <c r="D33" s="6">
        <v>1</v>
      </c>
      <c r="E33" s="7">
        <v>1</v>
      </c>
      <c r="F33" s="6">
        <v>1</v>
      </c>
      <c r="G33" s="18">
        <v>1</v>
      </c>
      <c r="H33" s="7">
        <v>1</v>
      </c>
      <c r="I33" s="6">
        <v>1</v>
      </c>
      <c r="J33" s="18">
        <v>1</v>
      </c>
      <c r="K33" s="7">
        <v>1</v>
      </c>
      <c r="L33" s="6">
        <v>1</v>
      </c>
      <c r="M33" s="18">
        <v>1</v>
      </c>
    </row>
    <row r="34" spans="3:13" ht="12.75">
      <c r="C34" s="12"/>
      <c r="D34" s="6"/>
      <c r="E34" s="7"/>
      <c r="F34" s="6"/>
      <c r="G34" s="18"/>
      <c r="H34" s="7"/>
      <c r="I34" s="15"/>
      <c r="J34" s="15"/>
      <c r="K34" s="9"/>
      <c r="L34" s="6"/>
      <c r="M34" s="18"/>
    </row>
    <row r="35" spans="1:13" ht="12.75">
      <c r="A35" s="5" t="s">
        <v>19</v>
      </c>
      <c r="B35" s="1" t="s">
        <v>14</v>
      </c>
      <c r="C35" s="13">
        <v>0.133</v>
      </c>
      <c r="D35" s="8">
        <v>0.13208</v>
      </c>
      <c r="E35" s="9">
        <v>0.07874</v>
      </c>
      <c r="F35" s="8">
        <v>0.13208</v>
      </c>
      <c r="G35" s="15">
        <v>0.07874</v>
      </c>
      <c r="H35" s="9">
        <v>0.07874</v>
      </c>
      <c r="I35" s="15">
        <v>0.1</v>
      </c>
      <c r="J35" s="15">
        <v>0.1</v>
      </c>
      <c r="K35" s="9">
        <v>0.1</v>
      </c>
      <c r="L35" s="8">
        <v>0.13208</v>
      </c>
      <c r="M35" s="15">
        <v>0.07874</v>
      </c>
    </row>
    <row r="36" spans="1:13" ht="12.75">
      <c r="A36" s="5" t="s">
        <v>20</v>
      </c>
      <c r="B36" s="1" t="s">
        <v>14</v>
      </c>
      <c r="C36" s="13">
        <v>0.01</v>
      </c>
      <c r="D36" s="8">
        <v>0.13208</v>
      </c>
      <c r="E36" s="9">
        <v>0.07874</v>
      </c>
      <c r="F36" s="8">
        <v>0.13208</v>
      </c>
      <c r="G36" s="15">
        <v>0.07874</v>
      </c>
      <c r="H36" s="9">
        <v>0.07874</v>
      </c>
      <c r="I36" s="15">
        <v>0.01</v>
      </c>
      <c r="J36" s="15">
        <v>0.01</v>
      </c>
      <c r="K36" s="9">
        <v>0.01</v>
      </c>
      <c r="L36" s="8">
        <v>0.13208</v>
      </c>
      <c r="M36" s="15">
        <v>0.07874</v>
      </c>
    </row>
    <row r="37" spans="1:12" ht="12.75">
      <c r="A37" s="5" t="s">
        <v>46</v>
      </c>
      <c r="B37" s="1" t="s">
        <v>14</v>
      </c>
      <c r="C37" s="13">
        <v>0.133</v>
      </c>
      <c r="D37" s="8">
        <v>0.0762</v>
      </c>
      <c r="E37" s="9">
        <v>0.09398</v>
      </c>
      <c r="F37" s="8">
        <v>0.0762</v>
      </c>
      <c r="G37" s="15">
        <v>0.09398</v>
      </c>
      <c r="H37" s="9">
        <v>0.09398</v>
      </c>
      <c r="I37" s="15">
        <v>0.1</v>
      </c>
      <c r="J37" s="15">
        <v>0.1</v>
      </c>
      <c r="K37" s="9">
        <v>0.1</v>
      </c>
      <c r="L37" s="15">
        <v>0.09398</v>
      </c>
    </row>
    <row r="38" spans="1:12" ht="12.75">
      <c r="A38" s="5" t="s">
        <v>47</v>
      </c>
      <c r="B38" s="1" t="s">
        <v>14</v>
      </c>
      <c r="C38" s="12">
        <v>0</v>
      </c>
      <c r="D38" s="6">
        <v>0.10160000000000001</v>
      </c>
      <c r="E38" s="7">
        <v>0.10160000000000001</v>
      </c>
      <c r="F38" s="6">
        <v>0.10160000000000001</v>
      </c>
      <c r="G38" s="18">
        <v>0.10160000000000001</v>
      </c>
      <c r="H38" s="7">
        <v>0.10160000000000001</v>
      </c>
      <c r="I38" s="18">
        <v>0</v>
      </c>
      <c r="J38" s="18">
        <v>0</v>
      </c>
      <c r="K38" s="7">
        <v>0</v>
      </c>
      <c r="L38" s="18">
        <v>0.10160000000000001</v>
      </c>
    </row>
    <row r="39" spans="1:12" ht="12.75">
      <c r="A39" s="5" t="s">
        <v>91</v>
      </c>
      <c r="C39" s="12">
        <v>0.3</v>
      </c>
      <c r="D39" s="6"/>
      <c r="E39" s="7"/>
      <c r="F39" s="6"/>
      <c r="G39" s="18"/>
      <c r="H39" s="7"/>
      <c r="I39" s="18">
        <v>0.3</v>
      </c>
      <c r="J39" s="18">
        <v>0.3</v>
      </c>
      <c r="K39" s="7">
        <v>0.3</v>
      </c>
      <c r="L39" s="18"/>
    </row>
    <row r="40" spans="3:12" ht="12.75">
      <c r="C40" s="12"/>
      <c r="D40" s="6"/>
      <c r="E40" s="7"/>
      <c r="F40" s="6"/>
      <c r="G40" s="18"/>
      <c r="H40" s="7"/>
      <c r="I40" s="18"/>
      <c r="J40" s="18"/>
      <c r="K40" s="7"/>
      <c r="L40" s="18"/>
    </row>
    <row r="41" spans="1:12" ht="12.75">
      <c r="A41" s="5" t="s">
        <v>74</v>
      </c>
      <c r="B41" s="1" t="s">
        <v>14</v>
      </c>
      <c r="C41" s="12">
        <v>1.357</v>
      </c>
      <c r="D41" s="6">
        <v>2.00152</v>
      </c>
      <c r="E41" s="7">
        <v>1.4478</v>
      </c>
      <c r="F41" s="6">
        <v>2.00152</v>
      </c>
      <c r="G41" s="18">
        <v>1.4478</v>
      </c>
      <c r="H41" s="7">
        <v>1.29032</v>
      </c>
      <c r="I41" s="18">
        <v>0.94</v>
      </c>
      <c r="J41" s="18">
        <v>1.06</v>
      </c>
      <c r="K41" s="7">
        <v>1.18</v>
      </c>
      <c r="L41" s="18">
        <v>1.4478</v>
      </c>
    </row>
    <row r="42" spans="1:12" ht="12.75">
      <c r="A42" s="5" t="s">
        <v>75</v>
      </c>
      <c r="B42" s="1" t="s">
        <v>14</v>
      </c>
      <c r="C42" s="12">
        <v>0.519</v>
      </c>
      <c r="D42" s="6">
        <v>0.68072</v>
      </c>
      <c r="E42" s="7">
        <v>0.6604</v>
      </c>
      <c r="F42" s="6">
        <v>0.68072</v>
      </c>
      <c r="G42" s="18">
        <v>0.6604</v>
      </c>
      <c r="H42" s="7">
        <v>0.6604</v>
      </c>
      <c r="I42" s="18">
        <v>0.26</v>
      </c>
      <c r="J42" s="18">
        <v>0.26</v>
      </c>
      <c r="K42" s="7">
        <v>0.28</v>
      </c>
      <c r="L42" s="18">
        <v>0.6604</v>
      </c>
    </row>
    <row r="43" spans="3:12" ht="12.75">
      <c r="C43" s="12"/>
      <c r="D43" s="6"/>
      <c r="E43" s="7"/>
      <c r="F43" s="6"/>
      <c r="G43" s="18"/>
      <c r="H43" s="7"/>
      <c r="I43" s="18"/>
      <c r="J43" s="18"/>
      <c r="K43" s="7"/>
      <c r="L43" s="18"/>
    </row>
    <row r="44" spans="1:12" ht="12.75">
      <c r="A44" s="27" t="s">
        <v>44</v>
      </c>
      <c r="B44" s="1" t="s">
        <v>14</v>
      </c>
      <c r="C44" s="12">
        <v>0.12300000000000044</v>
      </c>
      <c r="D44" s="6">
        <v>-0.0479933000000001</v>
      </c>
      <c r="E44" s="22">
        <v>0.8206957714285712</v>
      </c>
      <c r="F44" s="6">
        <v>0</v>
      </c>
      <c r="G44" s="18">
        <v>1.582067810090848E-15</v>
      </c>
      <c r="H44" s="7">
        <v>2.0261570199409107E-15</v>
      </c>
      <c r="I44" s="15">
        <v>-5.551115123125783E-16</v>
      </c>
      <c r="J44" s="15">
        <v>-1.3322676295501878E-15</v>
      </c>
      <c r="K44" s="9">
        <v>1.5543122344752192E-15</v>
      </c>
      <c r="L44" s="18">
        <v>1.582067810090848E-15</v>
      </c>
    </row>
    <row r="45" spans="1:12" ht="12.75">
      <c r="A45" s="27" t="s">
        <v>45</v>
      </c>
      <c r="B45" s="1" t="s">
        <v>14</v>
      </c>
      <c r="C45" s="12">
        <v>0.601000000000001</v>
      </c>
      <c r="D45" s="6">
        <v>-0.0076200000000008206</v>
      </c>
      <c r="E45" s="7">
        <v>-9.71445146547012E-16</v>
      </c>
      <c r="F45" s="6">
        <v>0</v>
      </c>
      <c r="G45" s="18">
        <v>0</v>
      </c>
      <c r="H45" s="7">
        <v>0</v>
      </c>
      <c r="I45" s="15">
        <v>2.220446049250313E-16</v>
      </c>
      <c r="J45" s="15">
        <v>2.220446049250313E-16</v>
      </c>
      <c r="K45" s="9">
        <v>2.220446049250313E-16</v>
      </c>
      <c r="L45" s="18">
        <v>0</v>
      </c>
    </row>
    <row r="46" spans="3:13" ht="12.75">
      <c r="C46" s="12"/>
      <c r="D46" s="6"/>
      <c r="E46" s="7"/>
      <c r="F46" s="6"/>
      <c r="G46" s="18"/>
      <c r="H46" s="7"/>
      <c r="I46" s="15"/>
      <c r="J46" s="15"/>
      <c r="K46" s="9"/>
      <c r="L46" s="8">
        <v>0.0762</v>
      </c>
      <c r="M46" s="18"/>
    </row>
    <row r="47" spans="3:13" ht="12.75">
      <c r="C47" s="12"/>
      <c r="D47" s="6"/>
      <c r="E47" s="7"/>
      <c r="F47" s="6"/>
      <c r="G47" s="18"/>
      <c r="H47" s="7"/>
      <c r="I47" s="18"/>
      <c r="J47" s="18"/>
      <c r="K47" s="7"/>
      <c r="L47" s="6">
        <v>0.10160000000000001</v>
      </c>
      <c r="M47" s="18"/>
    </row>
    <row r="48" spans="3:13" ht="12.75">
      <c r="C48" s="12"/>
      <c r="D48" s="6"/>
      <c r="E48" s="7"/>
      <c r="F48" s="6"/>
      <c r="G48" s="18"/>
      <c r="H48" s="7"/>
      <c r="I48" s="18"/>
      <c r="J48" s="18"/>
      <c r="K48" s="7"/>
      <c r="L48" s="6"/>
      <c r="M48" s="18"/>
    </row>
    <row r="49" spans="1:13" ht="12.75">
      <c r="A49" s="4" t="s">
        <v>5</v>
      </c>
      <c r="B49" s="1" t="s">
        <v>18</v>
      </c>
      <c r="C49" s="12">
        <f>592/16</f>
        <v>37</v>
      </c>
      <c r="D49" s="6">
        <v>28.5</v>
      </c>
      <c r="E49" s="7">
        <f>D31/E31*28.5</f>
        <v>16.625</v>
      </c>
      <c r="F49" s="6">
        <v>28.5</v>
      </c>
      <c r="G49" s="18">
        <f>F31/G31*28.5</f>
        <v>16.625</v>
      </c>
      <c r="H49" s="7">
        <f>F31/H31*28.5</f>
        <v>19</v>
      </c>
      <c r="I49" s="18">
        <f>F31/I31*28.5</f>
        <v>19</v>
      </c>
      <c r="J49" s="18">
        <f>F31/J31*28.5</f>
        <v>16.625</v>
      </c>
      <c r="K49" s="7">
        <f>F31/K31*28.5</f>
        <v>11.083333333333334</v>
      </c>
      <c r="L49" s="6">
        <v>2.00152</v>
      </c>
      <c r="M49" s="18">
        <f>L31/M31*28.5</f>
        <v>16.625</v>
      </c>
    </row>
    <row r="50" spans="1:13" ht="12.75">
      <c r="A50" s="5" t="s">
        <v>27</v>
      </c>
      <c r="B50" s="1" t="s">
        <v>28</v>
      </c>
      <c r="C50" s="12">
        <v>4</v>
      </c>
      <c r="D50" s="6">
        <v>4</v>
      </c>
      <c r="E50" s="7"/>
      <c r="F50" s="6">
        <v>4</v>
      </c>
      <c r="G50" s="18"/>
      <c r="H50" s="7"/>
      <c r="I50" s="18"/>
      <c r="J50" s="18"/>
      <c r="K50" s="7"/>
      <c r="L50" s="6">
        <v>0.68072</v>
      </c>
      <c r="M50" s="18"/>
    </row>
    <row r="51" spans="1:13" ht="12.75">
      <c r="A51" s="5" t="s">
        <v>38</v>
      </c>
      <c r="B51" s="1" t="s">
        <v>29</v>
      </c>
      <c r="C51" s="12">
        <v>5</v>
      </c>
      <c r="D51" s="6" t="s">
        <v>37</v>
      </c>
      <c r="E51" s="7"/>
      <c r="F51" s="6" t="s">
        <v>37</v>
      </c>
      <c r="G51" s="18"/>
      <c r="H51" s="7"/>
      <c r="I51" s="18"/>
      <c r="J51" s="18"/>
      <c r="K51" s="7"/>
      <c r="L51" s="6"/>
      <c r="M51" s="18"/>
    </row>
    <row r="52" spans="3:13" ht="14.25" customHeight="1">
      <c r="C52" s="12"/>
      <c r="D52" s="6"/>
      <c r="E52" s="7"/>
      <c r="F52" s="6"/>
      <c r="G52" s="18"/>
      <c r="H52" s="7"/>
      <c r="I52" s="18"/>
      <c r="J52" s="18"/>
      <c r="K52" s="7"/>
      <c r="L52" s="6">
        <v>0</v>
      </c>
      <c r="M52" s="18"/>
    </row>
    <row r="53" spans="1:13" ht="14.25" customHeight="1">
      <c r="A53" s="5" t="s">
        <v>25</v>
      </c>
      <c r="B53" s="1" t="s">
        <v>26</v>
      </c>
      <c r="C53" s="12">
        <v>273</v>
      </c>
      <c r="D53" s="6">
        <v>80</v>
      </c>
      <c r="E53" s="7">
        <v>80</v>
      </c>
      <c r="F53" s="6">
        <v>80</v>
      </c>
      <c r="G53" s="18">
        <v>80</v>
      </c>
      <c r="H53" s="7">
        <v>80</v>
      </c>
      <c r="I53" s="6">
        <v>80</v>
      </c>
      <c r="J53" s="18">
        <v>80</v>
      </c>
      <c r="K53" s="7">
        <v>80</v>
      </c>
      <c r="L53" s="6">
        <v>0</v>
      </c>
      <c r="M53" s="18">
        <v>80</v>
      </c>
    </row>
    <row r="54" spans="3:13" ht="12.75">
      <c r="C54" s="12"/>
      <c r="D54" s="6"/>
      <c r="E54" s="7"/>
      <c r="F54" s="6"/>
      <c r="G54" s="18"/>
      <c r="H54" s="7"/>
      <c r="I54" s="18"/>
      <c r="J54" s="18"/>
      <c r="K54" s="7"/>
      <c r="L54" s="6"/>
      <c r="M54" s="18"/>
    </row>
    <row r="55" spans="1:13" ht="12.75">
      <c r="A55" s="4" t="s">
        <v>30</v>
      </c>
      <c r="B55" s="1" t="s">
        <v>32</v>
      </c>
      <c r="C55" s="13">
        <f>(C49*C25)/C6</f>
        <v>0.170985864443639</v>
      </c>
      <c r="D55" s="8">
        <f>D49*D31/D6</f>
        <v>7.90461612173524</v>
      </c>
      <c r="E55" s="9">
        <f>E49*E31/E6</f>
        <v>7.90461612173524</v>
      </c>
      <c r="F55" s="8">
        <f>F49*F31/F6</f>
        <v>7.90461612173524</v>
      </c>
      <c r="G55" s="15">
        <f>G49*G31/G6</f>
        <v>7.90461612173524</v>
      </c>
      <c r="H55" s="9">
        <f>H49*H31/H6</f>
        <v>7.90461612173524</v>
      </c>
      <c r="I55" s="8">
        <f>I49*I31/I6</f>
        <v>7.90461612173524</v>
      </c>
      <c r="J55" s="15">
        <f>J49*J31/J6</f>
        <v>7.90461612173524</v>
      </c>
      <c r="K55" s="9">
        <f>K49*K31/K6</f>
        <v>7.90461612173524</v>
      </c>
      <c r="L55" s="6"/>
      <c r="M55" s="15">
        <f>M49*M31/M6</f>
        <v>5.098741697886855</v>
      </c>
    </row>
    <row r="56" spans="1:13" ht="12.75">
      <c r="A56" s="4" t="s">
        <v>31</v>
      </c>
      <c r="B56" s="1" t="s">
        <v>32</v>
      </c>
      <c r="C56" s="13">
        <f>C49*C25/C7</f>
        <v>0.20500886524822698</v>
      </c>
      <c r="D56" s="10">
        <f>D49*D31/D11</f>
        <v>20.925062775146472</v>
      </c>
      <c r="E56" s="11">
        <f>E49*E31/E11</f>
        <v>18.56007025180285</v>
      </c>
      <c r="F56" s="10">
        <f>F49*F31/F11</f>
        <v>19.61228584832614</v>
      </c>
      <c r="G56" s="19">
        <f>G49*G31/G11</f>
        <v>16.41723270922091</v>
      </c>
      <c r="H56" s="11">
        <f>H49*H31/H11</f>
        <v>15.922458781568187</v>
      </c>
      <c r="I56" s="10">
        <f>I49*I31/I11</f>
        <v>13.448209325531128</v>
      </c>
      <c r="J56" s="19">
        <f>J49*J31/J11</f>
        <v>13.91624106032097</v>
      </c>
      <c r="K56" s="11">
        <f>K49*K31/K11</f>
        <v>13.452897865753048</v>
      </c>
      <c r="L56" s="6"/>
      <c r="M56" s="19">
        <f>M49*M31/M11</f>
        <v>16.41723270922091</v>
      </c>
    </row>
    <row r="57" spans="1:13" ht="12.75">
      <c r="A57" s="4" t="s">
        <v>7</v>
      </c>
      <c r="B57" s="1" t="s">
        <v>21</v>
      </c>
      <c r="C57" s="12">
        <f>C49^2*5</f>
        <v>6845</v>
      </c>
      <c r="D57" s="6"/>
      <c r="E57" s="7"/>
      <c r="F57" s="6"/>
      <c r="G57" s="18"/>
      <c r="H57" s="7"/>
      <c r="I57" s="18"/>
      <c r="J57" s="18"/>
      <c r="K57" s="7"/>
      <c r="L57" s="6">
        <v>28.5</v>
      </c>
      <c r="M57" s="18"/>
    </row>
    <row r="58" spans="1:13" ht="12.75">
      <c r="A58" s="4" t="s">
        <v>8</v>
      </c>
      <c r="B58" s="1" t="s">
        <v>16</v>
      </c>
      <c r="C58" s="12">
        <v>55</v>
      </c>
      <c r="D58" s="6">
        <v>40</v>
      </c>
      <c r="E58" s="7"/>
      <c r="F58" s="6">
        <v>40</v>
      </c>
      <c r="G58" s="18"/>
      <c r="H58" s="7"/>
      <c r="I58" s="18"/>
      <c r="J58" s="18"/>
      <c r="K58" s="7"/>
      <c r="L58" s="6">
        <v>4</v>
      </c>
      <c r="M58" s="18"/>
    </row>
    <row r="59" spans="3:13" ht="12.75">
      <c r="C59" s="12"/>
      <c r="D59" s="6"/>
      <c r="E59" s="7"/>
      <c r="F59" s="6"/>
      <c r="G59" s="18"/>
      <c r="H59" s="7"/>
      <c r="I59" s="18"/>
      <c r="J59" s="18"/>
      <c r="K59" s="7"/>
      <c r="L59" s="6" t="s">
        <v>37</v>
      </c>
      <c r="M59" s="18"/>
    </row>
    <row r="60" spans="1:13" ht="12.75">
      <c r="A60" s="4" t="s">
        <v>9</v>
      </c>
      <c r="B60" s="1" t="s">
        <v>17</v>
      </c>
      <c r="C60" s="12">
        <v>3</v>
      </c>
      <c r="D60" s="6">
        <v>1.9</v>
      </c>
      <c r="E60" s="7">
        <v>1.9</v>
      </c>
      <c r="F60" s="6">
        <v>1.9</v>
      </c>
      <c r="G60" s="18">
        <v>1.9</v>
      </c>
      <c r="H60" s="7">
        <v>1.9</v>
      </c>
      <c r="I60" s="6">
        <v>1.9</v>
      </c>
      <c r="J60" s="18">
        <v>1.9</v>
      </c>
      <c r="K60" s="7">
        <v>1.9</v>
      </c>
      <c r="L60" s="6"/>
      <c r="M60" s="18">
        <v>1.9</v>
      </c>
    </row>
    <row r="61" spans="1:13" ht="12.75">
      <c r="A61" s="5" t="s">
        <v>33</v>
      </c>
      <c r="B61" s="1" t="s">
        <v>34</v>
      </c>
      <c r="C61" s="12">
        <v>2</v>
      </c>
      <c r="D61" s="6">
        <v>1.4</v>
      </c>
      <c r="E61" s="7">
        <v>1.4</v>
      </c>
      <c r="F61" s="6">
        <v>1.4</v>
      </c>
      <c r="G61" s="18">
        <v>1.4</v>
      </c>
      <c r="H61" s="7">
        <v>1.4</v>
      </c>
      <c r="I61" s="6">
        <v>1.4</v>
      </c>
      <c r="J61" s="18">
        <v>1.4</v>
      </c>
      <c r="K61" s="7">
        <v>1.4</v>
      </c>
      <c r="L61" s="6">
        <v>80</v>
      </c>
      <c r="M61" s="18">
        <v>1.4</v>
      </c>
    </row>
    <row r="62" spans="1:13" ht="12.75">
      <c r="A62" s="5" t="s">
        <v>35</v>
      </c>
      <c r="C62" s="12">
        <v>6</v>
      </c>
      <c r="D62" s="6">
        <f>D60*D61</f>
        <v>2.6599999999999997</v>
      </c>
      <c r="E62" s="7">
        <f>E60*E61</f>
        <v>2.6599999999999997</v>
      </c>
      <c r="F62" s="6">
        <f>F60*F61</f>
        <v>2.6599999999999997</v>
      </c>
      <c r="G62" s="18">
        <f>G60*G61</f>
        <v>2.6599999999999997</v>
      </c>
      <c r="H62" s="7">
        <f>H60*H61</f>
        <v>2.6599999999999997</v>
      </c>
      <c r="I62" s="6">
        <f>I60*I61</f>
        <v>2.6599999999999997</v>
      </c>
      <c r="J62" s="18">
        <f>J60*J61</f>
        <v>2.6599999999999997</v>
      </c>
      <c r="K62" s="7">
        <f>K60*K61</f>
        <v>2.6599999999999997</v>
      </c>
      <c r="L62" s="6"/>
      <c r="M62" s="18">
        <f>M60*M61</f>
        <v>2.6599999999999997</v>
      </c>
    </row>
    <row r="63" spans="3:12" ht="12.75">
      <c r="C63" s="12"/>
      <c r="D63" s="6"/>
      <c r="E63" s="7"/>
      <c r="F63" s="6"/>
      <c r="G63" s="18"/>
      <c r="H63" s="7"/>
      <c r="I63" s="15"/>
      <c r="J63" s="15"/>
      <c r="K63" s="9"/>
      <c r="L63" s="8">
        <f>L57*L31/L6</f>
        <v>5.098741697886855</v>
      </c>
    </row>
    <row r="64" spans="3:12" ht="12.75">
      <c r="C64" s="12"/>
      <c r="D64" s="6"/>
      <c r="E64" s="7"/>
      <c r="F64" s="6"/>
      <c r="G64" s="18"/>
      <c r="H64" s="7"/>
      <c r="I64" s="19"/>
      <c r="J64" s="19"/>
      <c r="K64" s="11"/>
      <c r="L64" s="10">
        <f>L57*L31/L11</f>
        <v>19.61228584832614</v>
      </c>
    </row>
    <row r="65" spans="1:12" ht="12.75">
      <c r="A65" s="5" t="s">
        <v>22</v>
      </c>
      <c r="B65" s="1" t="s">
        <v>24</v>
      </c>
      <c r="C65" s="12">
        <v>1.2</v>
      </c>
      <c r="D65" s="6"/>
      <c r="E65" s="7"/>
      <c r="F65" s="6"/>
      <c r="G65" s="18"/>
      <c r="H65" s="7"/>
      <c r="I65" s="18"/>
      <c r="J65" s="18"/>
      <c r="K65" s="7"/>
      <c r="L65" s="6"/>
    </row>
    <row r="66" spans="1:12" ht="12.75">
      <c r="A66" s="5" t="s">
        <v>23</v>
      </c>
      <c r="B66" s="1" t="s">
        <v>24</v>
      </c>
      <c r="C66" s="12">
        <v>2.8</v>
      </c>
      <c r="D66" s="6"/>
      <c r="E66" s="7"/>
      <c r="F66" s="6"/>
      <c r="G66" s="18"/>
      <c r="H66" s="7"/>
      <c r="I66" s="18"/>
      <c r="J66" s="18"/>
      <c r="K66" s="7"/>
      <c r="L66" s="6">
        <v>40</v>
      </c>
    </row>
    <row r="67" spans="3:12" ht="12.75">
      <c r="C67" s="12"/>
      <c r="D67" s="6"/>
      <c r="E67" s="7"/>
      <c r="F67" s="6"/>
      <c r="G67" s="18"/>
      <c r="H67" s="7"/>
      <c r="I67" s="18"/>
      <c r="J67" s="18"/>
      <c r="K67" s="7"/>
      <c r="L67" s="6"/>
    </row>
    <row r="68" spans="3:12" ht="12.75">
      <c r="C68" s="12"/>
      <c r="D68" s="6"/>
      <c r="E68" s="7"/>
      <c r="F68" s="6"/>
      <c r="G68" s="18"/>
      <c r="H68" s="7"/>
      <c r="I68" s="18"/>
      <c r="J68" s="18"/>
      <c r="K68" s="7"/>
      <c r="L68" s="6">
        <v>1.9</v>
      </c>
    </row>
    <row r="69" spans="3:12" ht="12.75">
      <c r="C69" s="12"/>
      <c r="D69" s="6"/>
      <c r="E69" s="7"/>
      <c r="F69" s="6"/>
      <c r="G69" s="18"/>
      <c r="H69" s="7"/>
      <c r="I69" s="18"/>
      <c r="J69" s="18"/>
      <c r="K69" s="7"/>
      <c r="L69" s="6">
        <v>1.4</v>
      </c>
    </row>
    <row r="70" spans="3:12" ht="12.75">
      <c r="C70" s="12"/>
      <c r="D70" s="6"/>
      <c r="E70" s="7"/>
      <c r="F70" s="6"/>
      <c r="G70" s="18"/>
      <c r="H70" s="7"/>
      <c r="I70" s="18"/>
      <c r="J70" s="18"/>
      <c r="K70" s="7"/>
      <c r="L70" s="6">
        <f>L68*L69</f>
        <v>2.6599999999999997</v>
      </c>
    </row>
    <row r="71" spans="3:11" ht="12.75">
      <c r="C71" s="12"/>
      <c r="D71" s="6"/>
      <c r="E71" s="7"/>
      <c r="F71" s="6"/>
      <c r="G71" s="18"/>
      <c r="H71" s="7"/>
      <c r="I71" s="18"/>
      <c r="J71" s="18"/>
      <c r="K71" s="7"/>
    </row>
    <row r="72" spans="3:11" ht="12.75">
      <c r="C72" s="12"/>
      <c r="D72" s="6"/>
      <c r="E72" s="7"/>
      <c r="F72" s="6"/>
      <c r="G72" s="18"/>
      <c r="H72" s="7"/>
      <c r="I72" s="18"/>
      <c r="J72" s="18"/>
      <c r="K72" s="7"/>
    </row>
    <row r="73" spans="3:11" ht="12.75">
      <c r="C73" s="12"/>
      <c r="D73" s="6"/>
      <c r="E73" s="7"/>
      <c r="F73" s="6"/>
      <c r="G73" s="18"/>
      <c r="H73" s="7"/>
      <c r="I73" s="18"/>
      <c r="J73" s="18"/>
      <c r="K73" s="7"/>
    </row>
    <row r="74" spans="3:11" ht="12.75">
      <c r="C74" s="12"/>
      <c r="D74" s="6"/>
      <c r="E74" s="7"/>
      <c r="F74" s="6"/>
      <c r="G74" s="18"/>
      <c r="H74" s="7"/>
      <c r="I74" s="18"/>
      <c r="J74" s="18"/>
      <c r="K74" s="7"/>
    </row>
    <row r="75" spans="3:11" ht="12.75">
      <c r="C75" s="12"/>
      <c r="D75" s="6"/>
      <c r="E75" s="7"/>
      <c r="F75" s="6"/>
      <c r="G75" s="18"/>
      <c r="H75" s="7"/>
      <c r="I75" s="18"/>
      <c r="J75" s="18"/>
      <c r="K75" s="7"/>
    </row>
    <row r="76" spans="3:11" ht="12.75">
      <c r="C76" s="12"/>
      <c r="D76" s="6"/>
      <c r="E76" s="7"/>
      <c r="F76" s="6"/>
      <c r="G76" s="18"/>
      <c r="H76" s="7"/>
      <c r="I76" s="18"/>
      <c r="J76" s="18"/>
      <c r="K76" s="7"/>
    </row>
    <row r="77" spans="3:11" ht="12.75">
      <c r="C77" s="12"/>
      <c r="D77" s="6"/>
      <c r="E77" s="7"/>
      <c r="F77" s="6"/>
      <c r="G77" s="18"/>
      <c r="H77" s="7"/>
      <c r="I77" s="18"/>
      <c r="J77" s="18"/>
      <c r="K77" s="7"/>
    </row>
    <row r="78" spans="3:11" ht="12.75">
      <c r="C78" s="12"/>
      <c r="D78" s="6"/>
      <c r="E78" s="7"/>
      <c r="F78" s="6"/>
      <c r="G78" s="18"/>
      <c r="H78" s="7"/>
      <c r="I78" s="18"/>
      <c r="J78" s="18"/>
      <c r="K78" s="7"/>
    </row>
    <row r="79" spans="3:11" ht="12.75">
      <c r="C79" s="12"/>
      <c r="D79" s="6"/>
      <c r="E79" s="7"/>
      <c r="F79" s="6"/>
      <c r="G79" s="18"/>
      <c r="H79" s="7"/>
      <c r="I79" s="18"/>
      <c r="J79" s="18"/>
      <c r="K79" s="7"/>
    </row>
    <row r="80" spans="8:11" ht="12.75">
      <c r="H80" s="7"/>
      <c r="I80" s="18"/>
      <c r="J80" s="18"/>
      <c r="K80" s="7"/>
    </row>
    <row r="81" spans="8:11" ht="12.75">
      <c r="H81" s="7"/>
      <c r="I81" s="18"/>
      <c r="J81" s="18"/>
      <c r="K81" s="7"/>
    </row>
    <row r="82" spans="8:11" ht="12.75">
      <c r="H82" s="7"/>
      <c r="I82" s="18"/>
      <c r="J82" s="18"/>
      <c r="K82" s="7"/>
    </row>
    <row r="83" spans="8:11" ht="12.75">
      <c r="H83" s="7"/>
      <c r="I83" s="18"/>
      <c r="J83" s="18"/>
      <c r="K83" s="7"/>
    </row>
    <row r="84" spans="8:11" ht="12.75">
      <c r="H84" s="7"/>
      <c r="I84" s="18"/>
      <c r="J84" s="18"/>
      <c r="K84" s="7"/>
    </row>
    <row r="85" spans="8:11" ht="12.75">
      <c r="H85" s="7"/>
      <c r="I85" s="18"/>
      <c r="J85" s="18"/>
      <c r="K85" s="7"/>
    </row>
    <row r="86" spans="8:11" ht="12.75">
      <c r="H86" s="7"/>
      <c r="I86" s="18"/>
      <c r="J86" s="18"/>
      <c r="K86" s="7"/>
    </row>
    <row r="87" spans="8:11" ht="12.75">
      <c r="H87" s="7"/>
      <c r="I87" s="18"/>
      <c r="J87" s="18"/>
      <c r="K87" s="7"/>
    </row>
    <row r="88" spans="8:9" ht="12.75">
      <c r="H88" s="7"/>
      <c r="I88" s="18"/>
    </row>
    <row r="89" ht="12.75">
      <c r="I89" s="18"/>
    </row>
    <row r="90" ht="12.75">
      <c r="I90" s="18"/>
    </row>
    <row r="91" ht="12.75">
      <c r="I91" s="18"/>
    </row>
    <row r="92" ht="12.75">
      <c r="I92" s="18"/>
    </row>
    <row r="93" ht="12.75">
      <c r="I93" s="18"/>
    </row>
    <row r="94" ht="12.75">
      <c r="I94" s="18"/>
    </row>
    <row r="95" ht="12.75">
      <c r="I95" s="18"/>
    </row>
    <row r="96" ht="12.75">
      <c r="I96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E1">
      <selection activeCell="A28" sqref="A28"/>
    </sheetView>
  </sheetViews>
  <sheetFormatPr defaultColWidth="9.140625" defaultRowHeight="12.75"/>
  <cols>
    <col min="1" max="1" width="20.421875" style="4" bestFit="1" customWidth="1"/>
    <col min="2" max="2" width="4.57421875" style="1" customWidth="1"/>
    <col min="3" max="3" width="17.57421875" style="0" customWidth="1"/>
    <col min="4" max="6" width="9.8515625" style="0" customWidth="1"/>
    <col min="7" max="7" width="9.8515625" style="1" customWidth="1"/>
    <col min="8" max="8" width="19.140625" style="4" customWidth="1"/>
    <col min="9" max="10" width="8.57421875" style="4" customWidth="1"/>
    <col min="11" max="11" width="8.57421875" style="1" customWidth="1"/>
    <col min="12" max="12" width="19.140625" style="4" customWidth="1"/>
    <col min="13" max="14" width="8.57421875" style="4" customWidth="1"/>
    <col min="15" max="15" width="8.57421875" style="1" customWidth="1"/>
    <col min="16" max="16" width="19.140625" style="4" customWidth="1"/>
    <col min="17" max="18" width="8.57421875" style="4" customWidth="1"/>
    <col min="19" max="19" width="8.57421875" style="1" customWidth="1"/>
    <col min="20" max="20" width="19.140625" style="4" customWidth="1"/>
    <col min="21" max="22" width="8.57421875" style="4" customWidth="1"/>
    <col min="23" max="23" width="8.57421875" style="1" customWidth="1"/>
  </cols>
  <sheetData>
    <row r="1" spans="2:23" s="3" customFormat="1" ht="29.25" customHeight="1" thickBot="1">
      <c r="B1" s="2"/>
      <c r="C1" s="17" t="s">
        <v>50</v>
      </c>
      <c r="G1" s="2"/>
      <c r="H1" s="17" t="s">
        <v>51</v>
      </c>
      <c r="K1" s="2"/>
      <c r="L1" s="23" t="s">
        <v>52</v>
      </c>
      <c r="O1" s="2"/>
      <c r="P1" s="23" t="s">
        <v>54</v>
      </c>
      <c r="S1" s="2"/>
      <c r="T1" s="23" t="s">
        <v>55</v>
      </c>
      <c r="W1" s="2"/>
    </row>
    <row r="2" spans="3:23" ht="12.75">
      <c r="C2" s="6"/>
      <c r="D2" s="6"/>
      <c r="E2" s="6"/>
      <c r="F2" s="6"/>
      <c r="G2" s="7"/>
      <c r="H2" s="18"/>
      <c r="I2" s="18"/>
      <c r="J2" s="18"/>
      <c r="K2" s="7"/>
      <c r="L2" s="18"/>
      <c r="M2" s="18"/>
      <c r="N2" s="18"/>
      <c r="O2" s="7"/>
      <c r="P2" s="18"/>
      <c r="Q2" s="18"/>
      <c r="R2" s="18"/>
      <c r="S2" s="7"/>
      <c r="T2" s="18"/>
      <c r="U2" s="18"/>
      <c r="V2" s="18"/>
      <c r="W2" s="7"/>
    </row>
    <row r="3" spans="1:23" ht="12.75">
      <c r="A3" s="4" t="s">
        <v>0</v>
      </c>
      <c r="C3" s="6" t="s">
        <v>39</v>
      </c>
      <c r="D3" s="6" t="s">
        <v>39</v>
      </c>
      <c r="E3" s="6" t="s">
        <v>39</v>
      </c>
      <c r="F3" s="6" t="s">
        <v>39</v>
      </c>
      <c r="G3" s="7" t="s">
        <v>39</v>
      </c>
      <c r="H3" s="18" t="s">
        <v>39</v>
      </c>
      <c r="I3" s="18" t="s">
        <v>39</v>
      </c>
      <c r="J3" s="18" t="s">
        <v>39</v>
      </c>
      <c r="K3" s="7" t="s">
        <v>39</v>
      </c>
      <c r="L3" s="18" t="s">
        <v>39</v>
      </c>
      <c r="M3" s="18" t="s">
        <v>39</v>
      </c>
      <c r="N3" s="18" t="s">
        <v>39</v>
      </c>
      <c r="O3" s="7" t="s">
        <v>39</v>
      </c>
      <c r="P3" s="18" t="s">
        <v>39</v>
      </c>
      <c r="Q3" s="18" t="s">
        <v>39</v>
      </c>
      <c r="R3" s="18" t="s">
        <v>39</v>
      </c>
      <c r="S3" s="7" t="s">
        <v>39</v>
      </c>
      <c r="T3" s="18" t="s">
        <v>39</v>
      </c>
      <c r="U3" s="18" t="s">
        <v>39</v>
      </c>
      <c r="V3" s="18" t="s">
        <v>39</v>
      </c>
      <c r="W3" s="7" t="s">
        <v>39</v>
      </c>
    </row>
    <row r="4" spans="1:23" ht="12.75">
      <c r="A4" s="4" t="s">
        <v>1</v>
      </c>
      <c r="B4" s="1" t="s">
        <v>15</v>
      </c>
      <c r="C4" s="15">
        <f aca="true" t="shared" si="0" ref="C4:H4">2.54*(4.671)</f>
        <v>11.86434</v>
      </c>
      <c r="D4" s="15">
        <f t="shared" si="0"/>
        <v>11.86434</v>
      </c>
      <c r="E4" s="15">
        <f t="shared" si="0"/>
        <v>11.86434</v>
      </c>
      <c r="F4" s="15">
        <f t="shared" si="0"/>
        <v>11.86434</v>
      </c>
      <c r="G4" s="9">
        <f t="shared" si="0"/>
        <v>11.86434</v>
      </c>
      <c r="H4" s="15">
        <f t="shared" si="0"/>
        <v>11.86434</v>
      </c>
      <c r="I4" s="15">
        <f aca="true" t="shared" si="1" ref="I4:W4">2.54*(4.671)</f>
        <v>11.86434</v>
      </c>
      <c r="J4" s="15">
        <f t="shared" si="1"/>
        <v>11.86434</v>
      </c>
      <c r="K4" s="9">
        <f t="shared" si="1"/>
        <v>11.86434</v>
      </c>
      <c r="L4" s="15">
        <f>2.54*(4.671)</f>
        <v>11.86434</v>
      </c>
      <c r="M4" s="15">
        <f t="shared" si="1"/>
        <v>11.86434</v>
      </c>
      <c r="N4" s="15">
        <f t="shared" si="1"/>
        <v>11.86434</v>
      </c>
      <c r="O4" s="9">
        <f t="shared" si="1"/>
        <v>11.86434</v>
      </c>
      <c r="P4" s="15">
        <f>2.54*(4.671)</f>
        <v>11.86434</v>
      </c>
      <c r="Q4" s="15">
        <f t="shared" si="1"/>
        <v>11.86434</v>
      </c>
      <c r="R4" s="15">
        <f t="shared" si="1"/>
        <v>11.86434</v>
      </c>
      <c r="S4" s="9">
        <f t="shared" si="1"/>
        <v>11.86434</v>
      </c>
      <c r="T4" s="15">
        <f>2.54*(4.671)</f>
        <v>11.86434</v>
      </c>
      <c r="U4" s="15">
        <f t="shared" si="1"/>
        <v>11.86434</v>
      </c>
      <c r="V4" s="15">
        <f t="shared" si="1"/>
        <v>11.86434</v>
      </c>
      <c r="W4" s="9">
        <f t="shared" si="1"/>
        <v>11.86434</v>
      </c>
    </row>
    <row r="5" spans="1:23" ht="12.75">
      <c r="A5" s="4" t="s">
        <v>2</v>
      </c>
      <c r="B5" s="1" t="s">
        <v>14</v>
      </c>
      <c r="C5" s="15">
        <f aca="true" t="shared" si="2" ref="C5:H5">2.54*(4.1-0.75)/2</f>
        <v>4.254499999999999</v>
      </c>
      <c r="D5" s="15">
        <f t="shared" si="2"/>
        <v>4.254499999999999</v>
      </c>
      <c r="E5" s="15">
        <f t="shared" si="2"/>
        <v>4.254499999999999</v>
      </c>
      <c r="F5" s="15">
        <f t="shared" si="2"/>
        <v>4.254499999999999</v>
      </c>
      <c r="G5" s="9">
        <f t="shared" si="2"/>
        <v>4.254499999999999</v>
      </c>
      <c r="H5" s="15">
        <f t="shared" si="2"/>
        <v>4.254499999999999</v>
      </c>
      <c r="I5" s="15">
        <f aca="true" t="shared" si="3" ref="I5:W5">2.54*(4.1-0.75)/2</f>
        <v>4.254499999999999</v>
      </c>
      <c r="J5" s="15">
        <f t="shared" si="3"/>
        <v>4.254499999999999</v>
      </c>
      <c r="K5" s="9">
        <f t="shared" si="3"/>
        <v>4.254499999999999</v>
      </c>
      <c r="L5" s="15">
        <f>2.54*(4.1-0.75)/2</f>
        <v>4.254499999999999</v>
      </c>
      <c r="M5" s="15">
        <f t="shared" si="3"/>
        <v>4.254499999999999</v>
      </c>
      <c r="N5" s="15">
        <f t="shared" si="3"/>
        <v>4.254499999999999</v>
      </c>
      <c r="O5" s="9">
        <f t="shared" si="3"/>
        <v>4.254499999999999</v>
      </c>
      <c r="P5" s="15">
        <f>2.54*(4.1-0.75)/2</f>
        <v>4.254499999999999</v>
      </c>
      <c r="Q5" s="15">
        <f t="shared" si="3"/>
        <v>4.254499999999999</v>
      </c>
      <c r="R5" s="15">
        <f t="shared" si="3"/>
        <v>4.254499999999999</v>
      </c>
      <c r="S5" s="9">
        <f t="shared" si="3"/>
        <v>4.254499999999999</v>
      </c>
      <c r="T5" s="15">
        <f>2.54*(4.1-0.75)/2</f>
        <v>4.254499999999999</v>
      </c>
      <c r="U5" s="15">
        <f t="shared" si="3"/>
        <v>4.254499999999999</v>
      </c>
      <c r="V5" s="15">
        <f t="shared" si="3"/>
        <v>4.254499999999999</v>
      </c>
      <c r="W5" s="9">
        <f t="shared" si="3"/>
        <v>4.254499999999999</v>
      </c>
    </row>
    <row r="6" spans="1:23" ht="12.75">
      <c r="A6" s="4" t="s">
        <v>3</v>
      </c>
      <c r="B6" s="1" t="s">
        <v>13</v>
      </c>
      <c r="C6" s="8">
        <f aca="true" t="shared" si="4" ref="C6:W6">C4*C5</f>
        <v>50.47683452999999</v>
      </c>
      <c r="D6" s="8">
        <f t="shared" si="4"/>
        <v>50.47683452999999</v>
      </c>
      <c r="E6" s="8">
        <f t="shared" si="4"/>
        <v>50.47683452999999</v>
      </c>
      <c r="F6" s="8">
        <f t="shared" si="4"/>
        <v>50.47683452999999</v>
      </c>
      <c r="G6" s="9">
        <f t="shared" si="4"/>
        <v>50.47683452999999</v>
      </c>
      <c r="H6" s="15">
        <f t="shared" si="4"/>
        <v>50.47683452999999</v>
      </c>
      <c r="I6" s="15">
        <f t="shared" si="4"/>
        <v>50.47683452999999</v>
      </c>
      <c r="J6" s="15">
        <f t="shared" si="4"/>
        <v>50.47683452999999</v>
      </c>
      <c r="K6" s="9">
        <f t="shared" si="4"/>
        <v>50.47683452999999</v>
      </c>
      <c r="L6" s="15">
        <f t="shared" si="4"/>
        <v>50.47683452999999</v>
      </c>
      <c r="M6" s="15">
        <f t="shared" si="4"/>
        <v>50.47683452999999</v>
      </c>
      <c r="N6" s="15">
        <f t="shared" si="4"/>
        <v>50.47683452999999</v>
      </c>
      <c r="O6" s="9">
        <f t="shared" si="4"/>
        <v>50.47683452999999</v>
      </c>
      <c r="P6" s="15">
        <f t="shared" si="4"/>
        <v>50.47683452999999</v>
      </c>
      <c r="Q6" s="15">
        <f t="shared" si="4"/>
        <v>50.47683452999999</v>
      </c>
      <c r="R6" s="15">
        <f t="shared" si="4"/>
        <v>50.47683452999999</v>
      </c>
      <c r="S6" s="9">
        <f t="shared" si="4"/>
        <v>50.47683452999999</v>
      </c>
      <c r="T6" s="15">
        <f t="shared" si="4"/>
        <v>50.47683452999999</v>
      </c>
      <c r="U6" s="15">
        <f t="shared" si="4"/>
        <v>50.47683452999999</v>
      </c>
      <c r="V6" s="15">
        <f t="shared" si="4"/>
        <v>50.47683452999999</v>
      </c>
      <c r="W6" s="9">
        <f t="shared" si="4"/>
        <v>50.47683452999999</v>
      </c>
    </row>
    <row r="7" spans="1:23" ht="12.75">
      <c r="A7" s="5" t="s">
        <v>43</v>
      </c>
      <c r="B7" s="1" t="s">
        <v>13</v>
      </c>
      <c r="C7" s="8">
        <f aca="true" t="shared" si="5" ref="C7:W7">C20*C14*C15</f>
        <v>33.44418</v>
      </c>
      <c r="D7" s="8">
        <f t="shared" si="5"/>
        <v>32.633412</v>
      </c>
      <c r="E7" s="8">
        <f t="shared" si="5"/>
        <v>31.619951999999998</v>
      </c>
      <c r="F7" s="8">
        <f t="shared" si="5"/>
        <v>30.707838000000002</v>
      </c>
      <c r="G7" s="9">
        <f t="shared" si="5"/>
        <v>30.065980000000003</v>
      </c>
      <c r="H7" s="8">
        <f t="shared" si="5"/>
        <v>32.756094</v>
      </c>
      <c r="I7" s="15">
        <f t="shared" si="5"/>
        <v>31.738824</v>
      </c>
      <c r="J7" s="15">
        <f t="shared" si="5"/>
        <v>30.823281000000005</v>
      </c>
      <c r="K7" s="9">
        <f t="shared" si="5"/>
        <v>30.179010000000005</v>
      </c>
      <c r="L7" s="8">
        <f t="shared" si="5"/>
        <v>35.166413537999986</v>
      </c>
      <c r="M7" s="15">
        <f t="shared" si="5"/>
        <v>34.63241460599999</v>
      </c>
      <c r="N7" s="15">
        <f t="shared" si="5"/>
        <v>34.098415673999995</v>
      </c>
      <c r="O7" s="9">
        <f t="shared" si="5"/>
        <v>33.56441674199999</v>
      </c>
      <c r="P7" s="8">
        <f t="shared" si="5"/>
        <v>37.91720803639999</v>
      </c>
      <c r="Q7" s="15">
        <f t="shared" si="5"/>
        <v>37.358409153999986</v>
      </c>
      <c r="R7" s="15">
        <f t="shared" si="5"/>
        <v>36.79961027159999</v>
      </c>
      <c r="S7" s="9">
        <f t="shared" si="5"/>
        <v>36.24081138919999</v>
      </c>
      <c r="T7" s="8">
        <f t="shared" si="5"/>
        <v>32.00561985959999</v>
      </c>
      <c r="U7" s="15">
        <f t="shared" si="5"/>
        <v>31.496420877999995</v>
      </c>
      <c r="V7" s="15">
        <f t="shared" si="5"/>
        <v>30.987221896399994</v>
      </c>
      <c r="W7" s="9">
        <f t="shared" si="5"/>
        <v>30.478022914799993</v>
      </c>
    </row>
    <row r="8" spans="1:23" ht="12.75">
      <c r="A8" s="5" t="s">
        <v>48</v>
      </c>
      <c r="B8" s="1" t="s">
        <v>13</v>
      </c>
      <c r="C8" s="8">
        <f aca="true" t="shared" si="6" ref="C8:W8">C25*2*(C4+C5)</f>
        <v>3.275348288</v>
      </c>
      <c r="D8" s="8">
        <f t="shared" si="6"/>
        <v>3.275348288</v>
      </c>
      <c r="E8" s="8">
        <f t="shared" si="6"/>
        <v>3.275348288</v>
      </c>
      <c r="F8" s="8">
        <f t="shared" si="6"/>
        <v>3.275348288</v>
      </c>
      <c r="G8" s="9">
        <f t="shared" si="6"/>
        <v>3.275348288</v>
      </c>
      <c r="H8" s="8">
        <f t="shared" si="6"/>
        <v>3.275348288</v>
      </c>
      <c r="I8" s="15">
        <f t="shared" si="6"/>
        <v>3.275348288</v>
      </c>
      <c r="J8" s="15">
        <f t="shared" si="6"/>
        <v>3.275348288</v>
      </c>
      <c r="K8" s="9">
        <f t="shared" si="6"/>
        <v>3.275348288</v>
      </c>
      <c r="L8" s="8">
        <f t="shared" si="6"/>
        <v>3.275348288</v>
      </c>
      <c r="M8" s="15">
        <f t="shared" si="6"/>
        <v>3.275348288</v>
      </c>
      <c r="N8" s="15">
        <f t="shared" si="6"/>
        <v>3.275348288</v>
      </c>
      <c r="O8" s="9">
        <f t="shared" si="6"/>
        <v>3.275348288</v>
      </c>
      <c r="P8" s="8">
        <f t="shared" si="6"/>
        <v>3.275348288</v>
      </c>
      <c r="Q8" s="15">
        <f t="shared" si="6"/>
        <v>3.275348288</v>
      </c>
      <c r="R8" s="15">
        <f t="shared" si="6"/>
        <v>3.275348288</v>
      </c>
      <c r="S8" s="9">
        <f t="shared" si="6"/>
        <v>3.275348288</v>
      </c>
      <c r="T8" s="8">
        <f t="shared" si="6"/>
        <v>3.275348288</v>
      </c>
      <c r="U8" s="15">
        <f t="shared" si="6"/>
        <v>3.275348288</v>
      </c>
      <c r="V8" s="15">
        <f t="shared" si="6"/>
        <v>3.275348288</v>
      </c>
      <c r="W8" s="9">
        <f t="shared" si="6"/>
        <v>3.275348288</v>
      </c>
    </row>
    <row r="9" spans="1:23" ht="12.75">
      <c r="A9" s="5" t="s">
        <v>49</v>
      </c>
      <c r="B9" s="1" t="s">
        <v>13</v>
      </c>
      <c r="C9" s="8">
        <f>C6-C7-C8</f>
        <v>13.757306241999988</v>
      </c>
      <c r="D9" s="8">
        <f aca="true" t="shared" si="7" ref="D9:W9">D6-D7-D8</f>
        <v>14.568074241999991</v>
      </c>
      <c r="E9" s="8">
        <f t="shared" si="7"/>
        <v>15.581534241999993</v>
      </c>
      <c r="F9" s="8">
        <f t="shared" si="7"/>
        <v>16.49364824199999</v>
      </c>
      <c r="G9" s="9">
        <f t="shared" si="7"/>
        <v>17.135506241999988</v>
      </c>
      <c r="H9" s="8">
        <f t="shared" si="7"/>
        <v>14.445392241999993</v>
      </c>
      <c r="I9" s="15">
        <f t="shared" si="7"/>
        <v>15.46266224199999</v>
      </c>
      <c r="J9" s="15">
        <f t="shared" si="7"/>
        <v>16.378205241999986</v>
      </c>
      <c r="K9" s="9">
        <f t="shared" si="7"/>
        <v>17.022476241999986</v>
      </c>
      <c r="L9" s="8">
        <f t="shared" si="7"/>
        <v>12.035072704000005</v>
      </c>
      <c r="M9" s="15">
        <f t="shared" si="7"/>
        <v>12.569071636</v>
      </c>
      <c r="N9" s="15">
        <f t="shared" si="7"/>
        <v>13.103070567999996</v>
      </c>
      <c r="O9" s="9">
        <f t="shared" si="7"/>
        <v>13.637069499999999</v>
      </c>
      <c r="P9" s="8">
        <f t="shared" si="7"/>
        <v>9.2842782056</v>
      </c>
      <c r="Q9" s="15">
        <f t="shared" si="7"/>
        <v>9.843077088000005</v>
      </c>
      <c r="R9" s="15">
        <f t="shared" si="7"/>
        <v>10.401875970400003</v>
      </c>
      <c r="S9" s="9">
        <f t="shared" si="7"/>
        <v>10.9606748528</v>
      </c>
      <c r="T9" s="8">
        <f t="shared" si="7"/>
        <v>15.195866382400002</v>
      </c>
      <c r="U9" s="15">
        <f t="shared" si="7"/>
        <v>15.705065363999996</v>
      </c>
      <c r="V9" s="15">
        <f t="shared" si="7"/>
        <v>16.214264345599997</v>
      </c>
      <c r="W9" s="9">
        <f t="shared" si="7"/>
        <v>16.723463327199998</v>
      </c>
    </row>
    <row r="10" spans="1:23" ht="12.75">
      <c r="A10" s="4" t="s">
        <v>4</v>
      </c>
      <c r="B10" s="1" t="s">
        <v>13</v>
      </c>
      <c r="C10" s="8">
        <f aca="true" t="shared" si="8" ref="C10:W10">C20*C14*C15*0.78</f>
        <v>26.086460400000004</v>
      </c>
      <c r="D10" s="8">
        <f t="shared" si="8"/>
        <v>25.45406136</v>
      </c>
      <c r="E10" s="8">
        <f t="shared" si="8"/>
        <v>24.66356256</v>
      </c>
      <c r="F10" s="8">
        <f t="shared" si="8"/>
        <v>23.952113640000004</v>
      </c>
      <c r="G10" s="9">
        <f t="shared" si="8"/>
        <v>23.451464400000003</v>
      </c>
      <c r="H10" s="15">
        <f t="shared" si="8"/>
        <v>25.549753319999997</v>
      </c>
      <c r="I10" s="15">
        <f t="shared" si="8"/>
        <v>24.75628272</v>
      </c>
      <c r="J10" s="15">
        <f t="shared" si="8"/>
        <v>24.042159180000006</v>
      </c>
      <c r="K10" s="9">
        <f t="shared" si="8"/>
        <v>23.539627800000005</v>
      </c>
      <c r="L10" s="15">
        <f t="shared" si="8"/>
        <v>27.42980255963999</v>
      </c>
      <c r="M10" s="15">
        <f t="shared" si="8"/>
        <v>27.013283392679995</v>
      </c>
      <c r="N10" s="15">
        <f t="shared" si="8"/>
        <v>26.596764225719998</v>
      </c>
      <c r="O10" s="9">
        <f t="shared" si="8"/>
        <v>26.180245058759994</v>
      </c>
      <c r="P10" s="15">
        <f t="shared" si="8"/>
        <v>29.575422268391993</v>
      </c>
      <c r="Q10" s="15">
        <f t="shared" si="8"/>
        <v>29.13955914011999</v>
      </c>
      <c r="R10" s="15">
        <f t="shared" si="8"/>
        <v>28.703696011847992</v>
      </c>
      <c r="S10" s="9">
        <f t="shared" si="8"/>
        <v>28.267832883575995</v>
      </c>
      <c r="T10" s="15">
        <f t="shared" si="8"/>
        <v>24.964383490487993</v>
      </c>
      <c r="U10" s="15">
        <f t="shared" si="8"/>
        <v>24.567208284839996</v>
      </c>
      <c r="V10" s="15">
        <f t="shared" si="8"/>
        <v>24.170033079191995</v>
      </c>
      <c r="W10" s="9">
        <f t="shared" si="8"/>
        <v>23.772857873543995</v>
      </c>
    </row>
    <row r="11" spans="1:23" ht="12.75">
      <c r="A11" s="4" t="s">
        <v>6</v>
      </c>
      <c r="C11" s="10">
        <f aca="true" t="shared" si="9" ref="C11:W11">C10/C6</f>
        <v>0.5168006401926014</v>
      </c>
      <c r="D11" s="10">
        <f t="shared" si="9"/>
        <v>0.5042721398242959</v>
      </c>
      <c r="E11" s="10">
        <f t="shared" si="9"/>
        <v>0.488611514363914</v>
      </c>
      <c r="F11" s="10">
        <f t="shared" si="9"/>
        <v>0.4745169514495704</v>
      </c>
      <c r="G11" s="11">
        <f t="shared" si="9"/>
        <v>0.4645985553246619</v>
      </c>
      <c r="H11" s="19">
        <f t="shared" si="9"/>
        <v>0.5061678997484472</v>
      </c>
      <c r="I11" s="19">
        <f t="shared" si="9"/>
        <v>0.49044839975625953</v>
      </c>
      <c r="J11" s="19">
        <f t="shared" si="9"/>
        <v>0.4763008497632906</v>
      </c>
      <c r="K11" s="11">
        <f t="shared" si="9"/>
        <v>0.466345166434905</v>
      </c>
      <c r="L11" s="19">
        <f t="shared" si="9"/>
        <v>0.543413683029937</v>
      </c>
      <c r="M11" s="19">
        <f t="shared" si="9"/>
        <v>0.5351619935007046</v>
      </c>
      <c r="N11" s="19">
        <f t="shared" si="9"/>
        <v>0.5269103039714722</v>
      </c>
      <c r="O11" s="11">
        <f t="shared" si="9"/>
        <v>0.5186586144422396</v>
      </c>
      <c r="P11" s="19">
        <f t="shared" si="9"/>
        <v>0.5859207009269644</v>
      </c>
      <c r="Q11" s="19">
        <f t="shared" si="9"/>
        <v>0.5772857868652881</v>
      </c>
      <c r="R11" s="19">
        <f t="shared" si="9"/>
        <v>0.5686508728036119</v>
      </c>
      <c r="S11" s="11">
        <f t="shared" si="9"/>
        <v>0.5600159587419358</v>
      </c>
      <c r="T11" s="19">
        <f t="shared" si="9"/>
        <v>0.4945710982658959</v>
      </c>
      <c r="U11" s="19">
        <f t="shared" si="9"/>
        <v>0.4867026332691073</v>
      </c>
      <c r="V11" s="19">
        <f t="shared" si="9"/>
        <v>0.47883416827231856</v>
      </c>
      <c r="W11" s="11">
        <f t="shared" si="9"/>
        <v>0.47096570327552983</v>
      </c>
    </row>
    <row r="12" spans="1:23" ht="12.75">
      <c r="A12" s="5" t="s">
        <v>62</v>
      </c>
      <c r="B12" s="1" t="s">
        <v>13</v>
      </c>
      <c r="C12" s="25">
        <f>C6-C8-C9-C10</f>
        <v>7.357719599999999</v>
      </c>
      <c r="D12" s="25">
        <f>D6-D8-D9-D10</f>
        <v>7.179350639999992</v>
      </c>
      <c r="E12" s="25">
        <f aca="true" t="shared" si="10" ref="E12:W12">E6-E8-E9-E10</f>
        <v>6.956389439999995</v>
      </c>
      <c r="F12" s="25">
        <f t="shared" si="10"/>
        <v>6.755724359999995</v>
      </c>
      <c r="G12" s="26">
        <f t="shared" si="10"/>
        <v>6.614515599999997</v>
      </c>
      <c r="H12" s="25">
        <f>H6-H8-H9-H10</f>
        <v>7.206340679999993</v>
      </c>
      <c r="I12" s="25">
        <f t="shared" si="10"/>
        <v>6.982541279999996</v>
      </c>
      <c r="J12" s="25">
        <f t="shared" si="10"/>
        <v>6.781121819999996</v>
      </c>
      <c r="K12" s="26">
        <f t="shared" si="10"/>
        <v>6.6393821999999965</v>
      </c>
      <c r="L12" s="25">
        <f t="shared" si="10"/>
        <v>7.736610978359995</v>
      </c>
      <c r="M12" s="25">
        <f t="shared" si="10"/>
        <v>7.619131213319989</v>
      </c>
      <c r="N12" s="25">
        <f t="shared" si="10"/>
        <v>7.501651448279997</v>
      </c>
      <c r="O12" s="26">
        <f t="shared" si="10"/>
        <v>7.384171683239998</v>
      </c>
      <c r="P12" s="25">
        <f t="shared" si="10"/>
        <v>8.341785768007991</v>
      </c>
      <c r="Q12" s="25">
        <f t="shared" si="10"/>
        <v>8.218850013879997</v>
      </c>
      <c r="R12" s="25">
        <f t="shared" si="10"/>
        <v>8.095914259751996</v>
      </c>
      <c r="S12" s="26">
        <f t="shared" si="10"/>
        <v>7.9729785056239955</v>
      </c>
      <c r="T12" s="25">
        <f t="shared" si="10"/>
        <v>7.041236369111996</v>
      </c>
      <c r="U12" s="25">
        <f t="shared" si="10"/>
        <v>6.9292125931599955</v>
      </c>
      <c r="V12" s="25">
        <f t="shared" si="10"/>
        <v>6.817188817207995</v>
      </c>
      <c r="W12" s="26">
        <f t="shared" si="10"/>
        <v>6.705165041255995</v>
      </c>
    </row>
    <row r="13" spans="3:23" ht="12.75">
      <c r="C13" s="8"/>
      <c r="D13" s="6"/>
      <c r="E13" s="6"/>
      <c r="F13" s="6"/>
      <c r="G13" s="7"/>
      <c r="H13" s="15"/>
      <c r="I13" s="18"/>
      <c r="J13" s="18"/>
      <c r="K13" s="7"/>
      <c r="L13" s="18"/>
      <c r="M13" s="18"/>
      <c r="N13" s="18"/>
      <c r="O13" s="7"/>
      <c r="P13" s="18"/>
      <c r="Q13" s="18"/>
      <c r="R13" s="18"/>
      <c r="S13" s="7"/>
      <c r="T13" s="18"/>
      <c r="U13" s="18"/>
      <c r="V13" s="18"/>
      <c r="W13" s="7"/>
    </row>
    <row r="14" spans="1:23" ht="12.75">
      <c r="A14" s="4" t="s">
        <v>10</v>
      </c>
      <c r="B14" s="1" t="s">
        <v>14</v>
      </c>
      <c r="C14" s="8">
        <f>2.54*0.665</f>
        <v>1.6891</v>
      </c>
      <c r="D14" s="8">
        <f>2.54*0.665</f>
        <v>1.6891</v>
      </c>
      <c r="E14" s="8">
        <f>2.54*0.665</f>
        <v>1.6891</v>
      </c>
      <c r="F14" s="8">
        <f>2.54*0.665</f>
        <v>1.6891</v>
      </c>
      <c r="G14" s="9">
        <f>2.54*0.665</f>
        <v>1.6891</v>
      </c>
      <c r="H14" s="15">
        <f>0.445*2.54</f>
        <v>1.1303</v>
      </c>
      <c r="I14" s="15">
        <f>0.445*2.54</f>
        <v>1.1303</v>
      </c>
      <c r="J14" s="15">
        <f>0.445*2.54</f>
        <v>1.1303</v>
      </c>
      <c r="K14" s="9">
        <f>0.445*2.54</f>
        <v>1.1303</v>
      </c>
      <c r="L14" s="15">
        <f aca="true" t="shared" si="11" ref="L14:W14">(L5-2*L25-2*L24)/L19-2*L22</f>
        <v>1.1302999999999999</v>
      </c>
      <c r="M14" s="15">
        <f t="shared" si="11"/>
        <v>1.1302999999999999</v>
      </c>
      <c r="N14" s="15">
        <f t="shared" si="11"/>
        <v>1.1302999999999999</v>
      </c>
      <c r="O14" s="9">
        <f t="shared" si="11"/>
        <v>1.1302999999999999</v>
      </c>
      <c r="P14" s="15">
        <f t="shared" si="11"/>
        <v>1.7741899999999997</v>
      </c>
      <c r="Q14" s="15">
        <f t="shared" si="11"/>
        <v>1.7741899999999997</v>
      </c>
      <c r="R14" s="15">
        <f t="shared" si="11"/>
        <v>1.7741899999999997</v>
      </c>
      <c r="S14" s="9">
        <f t="shared" si="11"/>
        <v>1.7741899999999997</v>
      </c>
      <c r="T14" s="15">
        <f t="shared" si="11"/>
        <v>0.8083549999999999</v>
      </c>
      <c r="U14" s="15">
        <f t="shared" si="11"/>
        <v>0.8083549999999999</v>
      </c>
      <c r="V14" s="15">
        <f t="shared" si="11"/>
        <v>0.8083549999999999</v>
      </c>
      <c r="W14" s="9">
        <f t="shared" si="11"/>
        <v>0.8083549999999999</v>
      </c>
    </row>
    <row r="15" spans="1:23" ht="12.75">
      <c r="A15" s="4" t="s">
        <v>11</v>
      </c>
      <c r="B15" s="1" t="s">
        <v>14</v>
      </c>
      <c r="C15" s="8">
        <v>1.65</v>
      </c>
      <c r="D15" s="8">
        <v>1.38</v>
      </c>
      <c r="E15" s="8">
        <v>1.17</v>
      </c>
      <c r="F15" s="8">
        <v>1.01</v>
      </c>
      <c r="G15" s="9">
        <v>0.89</v>
      </c>
      <c r="H15" s="15">
        <v>1.38</v>
      </c>
      <c r="I15" s="15">
        <v>1.17</v>
      </c>
      <c r="J15" s="15">
        <v>1.01</v>
      </c>
      <c r="K15" s="9">
        <v>0.89</v>
      </c>
      <c r="L15" s="15">
        <f aca="true" t="shared" si="12" ref="L15:W15">(L4-2*L25-2*L24)/L18-2*L22</f>
        <v>1.481545714285714</v>
      </c>
      <c r="M15" s="15">
        <f t="shared" si="12"/>
        <v>1.2766674999999998</v>
      </c>
      <c r="N15" s="15">
        <f t="shared" si="12"/>
        <v>1.1173177777777776</v>
      </c>
      <c r="O15" s="9">
        <f t="shared" si="12"/>
        <v>0.9898379999999998</v>
      </c>
      <c r="P15" s="15">
        <f t="shared" si="12"/>
        <v>2.1371559999999996</v>
      </c>
      <c r="Q15" s="15">
        <f t="shared" si="12"/>
        <v>1.7547166666666665</v>
      </c>
      <c r="R15" s="15">
        <f t="shared" si="12"/>
        <v>1.481545714285714</v>
      </c>
      <c r="S15" s="9">
        <f t="shared" si="12"/>
        <v>1.2766674999999998</v>
      </c>
      <c r="T15" s="15">
        <f t="shared" si="12"/>
        <v>0.9898379999999998</v>
      </c>
      <c r="U15" s="15">
        <f t="shared" si="12"/>
        <v>0.8855363636363636</v>
      </c>
      <c r="V15" s="15">
        <f t="shared" si="12"/>
        <v>0.7986183333333332</v>
      </c>
      <c r="W15" s="9">
        <f t="shared" si="12"/>
        <v>0.7250723076923076</v>
      </c>
    </row>
    <row r="16" spans="1:23" ht="12.75">
      <c r="A16" s="5" t="s">
        <v>53</v>
      </c>
      <c r="C16" s="8">
        <f>MAX(C14/C15,C15/C14)</f>
        <v>1.0236969696969698</v>
      </c>
      <c r="D16" s="8">
        <f aca="true" t="shared" si="13" ref="D16:O16">MAX(D14/D15,D15/D14)</f>
        <v>1.223985507246377</v>
      </c>
      <c r="E16" s="8">
        <f t="shared" si="13"/>
        <v>1.4436752136752138</v>
      </c>
      <c r="F16" s="8">
        <f t="shared" si="13"/>
        <v>1.6723762376237623</v>
      </c>
      <c r="G16" s="9">
        <f t="shared" si="13"/>
        <v>1.897865168539326</v>
      </c>
      <c r="H16" s="8">
        <f t="shared" si="13"/>
        <v>1.2209148013801643</v>
      </c>
      <c r="I16" s="8">
        <f t="shared" si="13"/>
        <v>1.0351234185614437</v>
      </c>
      <c r="J16" s="8">
        <f t="shared" si="13"/>
        <v>1.1191089108910892</v>
      </c>
      <c r="K16" s="9">
        <f t="shared" si="13"/>
        <v>1.27</v>
      </c>
      <c r="L16" s="8">
        <f t="shared" si="13"/>
        <v>1.3107544141252006</v>
      </c>
      <c r="M16" s="8">
        <f t="shared" si="13"/>
        <v>1.1294943820224719</v>
      </c>
      <c r="N16" s="8">
        <f t="shared" si="13"/>
        <v>1.0116190957312452</v>
      </c>
      <c r="O16" s="9">
        <f t="shared" si="13"/>
        <v>1.1419040287400566</v>
      </c>
      <c r="P16" s="8">
        <f aca="true" t="shared" si="14" ref="P16:W16">MAX(P14/P15,P15/P14)</f>
        <v>1.2045812455261273</v>
      </c>
      <c r="Q16" s="8">
        <f t="shared" si="14"/>
        <v>1.0110977080820265</v>
      </c>
      <c r="R16" s="8">
        <f t="shared" si="14"/>
        <v>1.1975263286798923</v>
      </c>
      <c r="S16" s="9">
        <f t="shared" si="14"/>
        <v>1.3897040537179806</v>
      </c>
      <c r="T16" s="8">
        <f t="shared" si="14"/>
        <v>1.2245090337784759</v>
      </c>
      <c r="U16" s="8">
        <f t="shared" si="14"/>
        <v>1.0954795400985504</v>
      </c>
      <c r="V16" s="8">
        <f t="shared" si="14"/>
        <v>1.0121918897429103</v>
      </c>
      <c r="W16" s="9">
        <f t="shared" si="14"/>
        <v>1.114861223389922</v>
      </c>
    </row>
    <row r="17" spans="1:23" ht="12.75">
      <c r="A17" s="5"/>
      <c r="C17" s="8"/>
      <c r="D17" s="8"/>
      <c r="E17" s="8"/>
      <c r="F17" s="8"/>
      <c r="G17" s="9"/>
      <c r="H17" s="8"/>
      <c r="I17" s="8"/>
      <c r="J17" s="8"/>
      <c r="K17" s="9"/>
      <c r="L17" s="8"/>
      <c r="M17" s="8"/>
      <c r="N17" s="8"/>
      <c r="O17" s="9"/>
      <c r="P17" s="8"/>
      <c r="Q17" s="8"/>
      <c r="R17" s="8"/>
      <c r="S17" s="9"/>
      <c r="T17" s="8"/>
      <c r="U17" s="8"/>
      <c r="V17" s="8"/>
      <c r="W17" s="9"/>
    </row>
    <row r="18" spans="1:23" ht="12.75">
      <c r="A18" s="5" t="s">
        <v>40</v>
      </c>
      <c r="C18" s="6">
        <v>6</v>
      </c>
      <c r="D18" s="6">
        <v>7</v>
      </c>
      <c r="E18" s="6">
        <v>8</v>
      </c>
      <c r="F18" s="6">
        <v>9</v>
      </c>
      <c r="G18" s="7">
        <v>10</v>
      </c>
      <c r="H18" s="18">
        <v>7</v>
      </c>
      <c r="I18" s="18">
        <v>8</v>
      </c>
      <c r="J18" s="18">
        <v>9</v>
      </c>
      <c r="K18" s="7">
        <v>10</v>
      </c>
      <c r="L18" s="18">
        <v>7</v>
      </c>
      <c r="M18" s="18">
        <v>8</v>
      </c>
      <c r="N18" s="18">
        <v>9</v>
      </c>
      <c r="O18" s="7">
        <v>10</v>
      </c>
      <c r="P18" s="18">
        <v>5</v>
      </c>
      <c r="Q18" s="18">
        <v>6</v>
      </c>
      <c r="R18" s="18">
        <v>7</v>
      </c>
      <c r="S18" s="7">
        <v>8</v>
      </c>
      <c r="T18" s="18">
        <v>10</v>
      </c>
      <c r="U18" s="18">
        <v>11</v>
      </c>
      <c r="V18" s="18">
        <v>12</v>
      </c>
      <c r="W18" s="7">
        <v>13</v>
      </c>
    </row>
    <row r="19" spans="1:23" ht="12.75">
      <c r="A19" s="5" t="s">
        <v>41</v>
      </c>
      <c r="C19" s="6">
        <v>2</v>
      </c>
      <c r="D19" s="6">
        <v>2</v>
      </c>
      <c r="E19" s="6">
        <v>2</v>
      </c>
      <c r="F19" s="6">
        <v>2</v>
      </c>
      <c r="G19" s="7">
        <v>2</v>
      </c>
      <c r="H19" s="18">
        <v>3</v>
      </c>
      <c r="I19" s="18">
        <v>3</v>
      </c>
      <c r="J19" s="18">
        <v>3</v>
      </c>
      <c r="K19" s="7">
        <v>3</v>
      </c>
      <c r="L19" s="18">
        <v>3</v>
      </c>
      <c r="M19" s="18">
        <v>3</v>
      </c>
      <c r="N19" s="18">
        <v>3</v>
      </c>
      <c r="O19" s="7">
        <v>3</v>
      </c>
      <c r="P19" s="18">
        <v>2</v>
      </c>
      <c r="Q19" s="18">
        <v>2</v>
      </c>
      <c r="R19" s="18">
        <v>2</v>
      </c>
      <c r="S19" s="7">
        <v>2</v>
      </c>
      <c r="T19" s="18">
        <v>4</v>
      </c>
      <c r="U19" s="18">
        <v>4</v>
      </c>
      <c r="V19" s="18">
        <v>4</v>
      </c>
      <c r="W19" s="7">
        <v>4</v>
      </c>
    </row>
    <row r="20" spans="1:23" ht="12.75">
      <c r="A20" s="5" t="s">
        <v>42</v>
      </c>
      <c r="C20" s="6">
        <f aca="true" t="shared" si="15" ref="C20:W20">C18*C19</f>
        <v>12</v>
      </c>
      <c r="D20" s="6">
        <f t="shared" si="15"/>
        <v>14</v>
      </c>
      <c r="E20" s="6">
        <f t="shared" si="15"/>
        <v>16</v>
      </c>
      <c r="F20" s="6">
        <f t="shared" si="15"/>
        <v>18</v>
      </c>
      <c r="G20" s="7">
        <f t="shared" si="15"/>
        <v>20</v>
      </c>
      <c r="H20" s="6">
        <f t="shared" si="15"/>
        <v>21</v>
      </c>
      <c r="I20" s="18">
        <f t="shared" si="15"/>
        <v>24</v>
      </c>
      <c r="J20" s="18">
        <f t="shared" si="15"/>
        <v>27</v>
      </c>
      <c r="K20" s="7">
        <f t="shared" si="15"/>
        <v>30</v>
      </c>
      <c r="L20" s="6">
        <f t="shared" si="15"/>
        <v>21</v>
      </c>
      <c r="M20" s="18">
        <f t="shared" si="15"/>
        <v>24</v>
      </c>
      <c r="N20" s="18">
        <f t="shared" si="15"/>
        <v>27</v>
      </c>
      <c r="O20" s="7">
        <f t="shared" si="15"/>
        <v>30</v>
      </c>
      <c r="P20" s="6">
        <f t="shared" si="15"/>
        <v>10</v>
      </c>
      <c r="Q20" s="18">
        <f t="shared" si="15"/>
        <v>12</v>
      </c>
      <c r="R20" s="18">
        <f t="shared" si="15"/>
        <v>14</v>
      </c>
      <c r="S20" s="7">
        <f t="shared" si="15"/>
        <v>16</v>
      </c>
      <c r="T20" s="6">
        <f t="shared" si="15"/>
        <v>40</v>
      </c>
      <c r="U20" s="18">
        <f t="shared" si="15"/>
        <v>44</v>
      </c>
      <c r="V20" s="18">
        <f t="shared" si="15"/>
        <v>48</v>
      </c>
      <c r="W20" s="7">
        <f t="shared" si="15"/>
        <v>52</v>
      </c>
    </row>
    <row r="21" spans="3:23" ht="12.75">
      <c r="C21" s="6"/>
      <c r="D21" s="6"/>
      <c r="E21" s="6"/>
      <c r="F21" s="6"/>
      <c r="G21" s="7"/>
      <c r="H21" s="18"/>
      <c r="I21" s="18"/>
      <c r="J21" s="18"/>
      <c r="K21" s="7"/>
      <c r="L21" s="18"/>
      <c r="M21" s="18"/>
      <c r="N21" s="18"/>
      <c r="O21" s="7"/>
      <c r="P21" s="18"/>
      <c r="Q21" s="18"/>
      <c r="R21" s="18"/>
      <c r="S21" s="7"/>
      <c r="T21" s="18"/>
      <c r="U21" s="18"/>
      <c r="V21" s="18"/>
      <c r="W21" s="7"/>
    </row>
    <row r="22" spans="1:23" ht="12.75">
      <c r="A22" s="5" t="s">
        <v>19</v>
      </c>
      <c r="B22" s="1" t="s">
        <v>14</v>
      </c>
      <c r="C22" s="8">
        <f>2.54*0.052</f>
        <v>0.13208</v>
      </c>
      <c r="D22" s="8">
        <f aca="true" t="shared" si="16" ref="D22:G23">2.54*0.052</f>
        <v>0.13208</v>
      </c>
      <c r="E22" s="8">
        <f t="shared" si="16"/>
        <v>0.13208</v>
      </c>
      <c r="F22" s="8">
        <f t="shared" si="16"/>
        <v>0.13208</v>
      </c>
      <c r="G22" s="9">
        <f t="shared" si="16"/>
        <v>0.13208</v>
      </c>
      <c r="H22" s="15">
        <f>2.54*0.031</f>
        <v>0.07874</v>
      </c>
      <c r="I22" s="15">
        <f aca="true" t="shared" si="17" ref="I22:W23">2.54*0.031</f>
        <v>0.07874</v>
      </c>
      <c r="J22" s="15">
        <f t="shared" si="17"/>
        <v>0.07874</v>
      </c>
      <c r="K22" s="9">
        <f t="shared" si="17"/>
        <v>0.07874</v>
      </c>
      <c r="L22" s="15">
        <f>2.54*0.031</f>
        <v>0.07874</v>
      </c>
      <c r="M22" s="15">
        <f t="shared" si="17"/>
        <v>0.07874</v>
      </c>
      <c r="N22" s="15">
        <f t="shared" si="17"/>
        <v>0.07874</v>
      </c>
      <c r="O22" s="9">
        <f t="shared" si="17"/>
        <v>0.07874</v>
      </c>
      <c r="P22" s="15">
        <f>2.54*0.031</f>
        <v>0.07874</v>
      </c>
      <c r="Q22" s="15">
        <f t="shared" si="17"/>
        <v>0.07874</v>
      </c>
      <c r="R22" s="15">
        <f t="shared" si="17"/>
        <v>0.07874</v>
      </c>
      <c r="S22" s="9">
        <f t="shared" si="17"/>
        <v>0.07874</v>
      </c>
      <c r="T22" s="15">
        <f>2.54*0.031</f>
        <v>0.07874</v>
      </c>
      <c r="U22" s="15">
        <f t="shared" si="17"/>
        <v>0.07874</v>
      </c>
      <c r="V22" s="15">
        <f t="shared" si="17"/>
        <v>0.07874</v>
      </c>
      <c r="W22" s="9">
        <f t="shared" si="17"/>
        <v>0.07874</v>
      </c>
    </row>
    <row r="23" spans="1:23" ht="12.75">
      <c r="A23" s="5" t="s">
        <v>20</v>
      </c>
      <c r="B23" s="1" t="s">
        <v>14</v>
      </c>
      <c r="C23" s="8">
        <f>2.54*0.052</f>
        <v>0.13208</v>
      </c>
      <c r="D23" s="8">
        <f t="shared" si="16"/>
        <v>0.13208</v>
      </c>
      <c r="E23" s="8">
        <f t="shared" si="16"/>
        <v>0.13208</v>
      </c>
      <c r="F23" s="8">
        <f t="shared" si="16"/>
        <v>0.13208</v>
      </c>
      <c r="G23" s="9">
        <f t="shared" si="16"/>
        <v>0.13208</v>
      </c>
      <c r="H23" s="15">
        <f>2.54*0.031</f>
        <v>0.07874</v>
      </c>
      <c r="I23" s="15">
        <f t="shared" si="17"/>
        <v>0.07874</v>
      </c>
      <c r="J23" s="15">
        <f t="shared" si="17"/>
        <v>0.07874</v>
      </c>
      <c r="K23" s="9">
        <f t="shared" si="17"/>
        <v>0.07874</v>
      </c>
      <c r="L23" s="15">
        <f>2.54*0.031</f>
        <v>0.07874</v>
      </c>
      <c r="M23" s="15">
        <f t="shared" si="17"/>
        <v>0.07874</v>
      </c>
      <c r="N23" s="15">
        <f t="shared" si="17"/>
        <v>0.07874</v>
      </c>
      <c r="O23" s="9">
        <f t="shared" si="17"/>
        <v>0.07874</v>
      </c>
      <c r="P23" s="15">
        <f>2.54*0.031</f>
        <v>0.07874</v>
      </c>
      <c r="Q23" s="15">
        <f t="shared" si="17"/>
        <v>0.07874</v>
      </c>
      <c r="R23" s="15">
        <f t="shared" si="17"/>
        <v>0.07874</v>
      </c>
      <c r="S23" s="9">
        <f t="shared" si="17"/>
        <v>0.07874</v>
      </c>
      <c r="T23" s="15">
        <f>2.54*0.031</f>
        <v>0.07874</v>
      </c>
      <c r="U23" s="15">
        <f t="shared" si="17"/>
        <v>0.07874</v>
      </c>
      <c r="V23" s="15">
        <f t="shared" si="17"/>
        <v>0.07874</v>
      </c>
      <c r="W23" s="9">
        <f t="shared" si="17"/>
        <v>0.07874</v>
      </c>
    </row>
    <row r="24" spans="1:23" ht="12.75">
      <c r="A24" s="5" t="s">
        <v>46</v>
      </c>
      <c r="B24" s="1" t="s">
        <v>14</v>
      </c>
      <c r="C24" s="8">
        <f>2.54*0.03</f>
        <v>0.0762</v>
      </c>
      <c r="D24" s="8">
        <f>2.54*0.03</f>
        <v>0.0762</v>
      </c>
      <c r="E24" s="8">
        <f>2.54*0.03</f>
        <v>0.0762</v>
      </c>
      <c r="F24" s="8">
        <f>2.54*0.03</f>
        <v>0.0762</v>
      </c>
      <c r="G24" s="9">
        <f>2.54*0.03</f>
        <v>0.0762</v>
      </c>
      <c r="H24" s="8">
        <f>2.54*0.037</f>
        <v>0.09398</v>
      </c>
      <c r="I24" s="15">
        <f aca="true" t="shared" si="18" ref="I24:W24">2.54*0.037</f>
        <v>0.09398</v>
      </c>
      <c r="J24" s="15">
        <f t="shared" si="18"/>
        <v>0.09398</v>
      </c>
      <c r="K24" s="9">
        <f t="shared" si="18"/>
        <v>0.09398</v>
      </c>
      <c r="L24" s="8">
        <f>2.54*0.037</f>
        <v>0.09398</v>
      </c>
      <c r="M24" s="15">
        <f t="shared" si="18"/>
        <v>0.09398</v>
      </c>
      <c r="N24" s="15">
        <f t="shared" si="18"/>
        <v>0.09398</v>
      </c>
      <c r="O24" s="9">
        <f t="shared" si="18"/>
        <v>0.09398</v>
      </c>
      <c r="P24" s="8">
        <f>2.54*0.037</f>
        <v>0.09398</v>
      </c>
      <c r="Q24" s="15">
        <f t="shared" si="18"/>
        <v>0.09398</v>
      </c>
      <c r="R24" s="15">
        <f t="shared" si="18"/>
        <v>0.09398</v>
      </c>
      <c r="S24" s="9">
        <f t="shared" si="18"/>
        <v>0.09398</v>
      </c>
      <c r="T24" s="8">
        <f>2.54*0.037</f>
        <v>0.09398</v>
      </c>
      <c r="U24" s="15">
        <f t="shared" si="18"/>
        <v>0.09398</v>
      </c>
      <c r="V24" s="15">
        <f t="shared" si="18"/>
        <v>0.09398</v>
      </c>
      <c r="W24" s="9">
        <f t="shared" si="18"/>
        <v>0.09398</v>
      </c>
    </row>
    <row r="25" spans="1:23" ht="12.75">
      <c r="A25" s="5" t="s">
        <v>47</v>
      </c>
      <c r="B25" s="1" t="s">
        <v>14</v>
      </c>
      <c r="C25" s="6">
        <f aca="true" t="shared" si="19" ref="C25:H25">2.54*0.04</f>
        <v>0.10160000000000001</v>
      </c>
      <c r="D25" s="6">
        <f t="shared" si="19"/>
        <v>0.10160000000000001</v>
      </c>
      <c r="E25" s="6">
        <f t="shared" si="19"/>
        <v>0.10160000000000001</v>
      </c>
      <c r="F25" s="6">
        <f t="shared" si="19"/>
        <v>0.10160000000000001</v>
      </c>
      <c r="G25" s="7">
        <f t="shared" si="19"/>
        <v>0.10160000000000001</v>
      </c>
      <c r="H25" s="6">
        <f t="shared" si="19"/>
        <v>0.10160000000000001</v>
      </c>
      <c r="I25" s="18">
        <f aca="true" t="shared" si="20" ref="I25:W25">2.54*0.04</f>
        <v>0.10160000000000001</v>
      </c>
      <c r="J25" s="18">
        <f t="shared" si="20"/>
        <v>0.10160000000000001</v>
      </c>
      <c r="K25" s="7">
        <f t="shared" si="20"/>
        <v>0.10160000000000001</v>
      </c>
      <c r="L25" s="6">
        <f>2.54*0.04</f>
        <v>0.10160000000000001</v>
      </c>
      <c r="M25" s="18">
        <f t="shared" si="20"/>
        <v>0.10160000000000001</v>
      </c>
      <c r="N25" s="18">
        <f t="shared" si="20"/>
        <v>0.10160000000000001</v>
      </c>
      <c r="O25" s="7">
        <f t="shared" si="20"/>
        <v>0.10160000000000001</v>
      </c>
      <c r="P25" s="6">
        <f>2.54*0.04</f>
        <v>0.10160000000000001</v>
      </c>
      <c r="Q25" s="18">
        <f t="shared" si="20"/>
        <v>0.10160000000000001</v>
      </c>
      <c r="R25" s="18">
        <f t="shared" si="20"/>
        <v>0.10160000000000001</v>
      </c>
      <c r="S25" s="7">
        <f t="shared" si="20"/>
        <v>0.10160000000000001</v>
      </c>
      <c r="T25" s="6">
        <f>2.54*0.04</f>
        <v>0.10160000000000001</v>
      </c>
      <c r="U25" s="18">
        <f t="shared" si="20"/>
        <v>0.10160000000000001</v>
      </c>
      <c r="V25" s="18">
        <f t="shared" si="20"/>
        <v>0.10160000000000001</v>
      </c>
      <c r="W25" s="7">
        <f t="shared" si="20"/>
        <v>0.10160000000000001</v>
      </c>
    </row>
    <row r="26" spans="3:23" ht="12.75">
      <c r="C26" s="6"/>
      <c r="D26" s="6"/>
      <c r="E26" s="6"/>
      <c r="F26" s="6"/>
      <c r="G26" s="7"/>
      <c r="H26" s="6"/>
      <c r="I26" s="18"/>
      <c r="J26" s="18"/>
      <c r="K26" s="7"/>
      <c r="L26" s="6"/>
      <c r="M26" s="18"/>
      <c r="N26" s="18"/>
      <c r="O26" s="7"/>
      <c r="P26" s="6"/>
      <c r="Q26" s="18"/>
      <c r="R26" s="18"/>
      <c r="S26" s="7"/>
      <c r="T26" s="6"/>
      <c r="U26" s="18"/>
      <c r="V26" s="18"/>
      <c r="W26" s="7"/>
    </row>
    <row r="27" spans="1:23" ht="12.75">
      <c r="A27" s="5" t="s">
        <v>74</v>
      </c>
      <c r="B27" s="1" t="s">
        <v>14</v>
      </c>
      <c r="C27" s="6">
        <f aca="true" t="shared" si="21" ref="C27:W27">2*C24+2*C18*C22</f>
        <v>1.7373600000000002</v>
      </c>
      <c r="D27" s="6">
        <f t="shared" si="21"/>
        <v>2.00152</v>
      </c>
      <c r="E27" s="6">
        <f t="shared" si="21"/>
        <v>2.26568</v>
      </c>
      <c r="F27" s="6">
        <f t="shared" si="21"/>
        <v>2.52984</v>
      </c>
      <c r="G27" s="7">
        <f t="shared" si="21"/>
        <v>2.794</v>
      </c>
      <c r="H27" s="6">
        <f t="shared" si="21"/>
        <v>1.29032</v>
      </c>
      <c r="I27" s="18">
        <f t="shared" si="21"/>
        <v>1.4478</v>
      </c>
      <c r="J27" s="18">
        <f t="shared" si="21"/>
        <v>1.60528</v>
      </c>
      <c r="K27" s="7">
        <f t="shared" si="21"/>
        <v>1.76276</v>
      </c>
      <c r="L27" s="6">
        <f t="shared" si="21"/>
        <v>1.29032</v>
      </c>
      <c r="M27" s="18">
        <f t="shared" si="21"/>
        <v>1.4478</v>
      </c>
      <c r="N27" s="18">
        <f t="shared" si="21"/>
        <v>1.60528</v>
      </c>
      <c r="O27" s="7">
        <f t="shared" si="21"/>
        <v>1.76276</v>
      </c>
      <c r="P27" s="6">
        <f t="shared" si="21"/>
        <v>0.9753600000000001</v>
      </c>
      <c r="Q27" s="18">
        <f t="shared" si="21"/>
        <v>1.13284</v>
      </c>
      <c r="R27" s="18">
        <f t="shared" si="21"/>
        <v>1.29032</v>
      </c>
      <c r="S27" s="7">
        <f t="shared" si="21"/>
        <v>1.4478</v>
      </c>
      <c r="T27" s="6">
        <f t="shared" si="21"/>
        <v>1.76276</v>
      </c>
      <c r="U27" s="18">
        <f t="shared" si="21"/>
        <v>1.92024</v>
      </c>
      <c r="V27" s="18">
        <f t="shared" si="21"/>
        <v>2.0777200000000002</v>
      </c>
      <c r="W27" s="7">
        <f t="shared" si="21"/>
        <v>2.2352</v>
      </c>
    </row>
    <row r="28" spans="1:23" ht="12.75">
      <c r="A28" s="5" t="s">
        <v>75</v>
      </c>
      <c r="B28" s="1" t="s">
        <v>14</v>
      </c>
      <c r="C28" s="6">
        <f aca="true" t="shared" si="22" ref="C28:W28">2*C24+2*C19*C23</f>
        <v>0.68072</v>
      </c>
      <c r="D28" s="6">
        <f t="shared" si="22"/>
        <v>0.68072</v>
      </c>
      <c r="E28" s="6">
        <f t="shared" si="22"/>
        <v>0.68072</v>
      </c>
      <c r="F28" s="6">
        <f t="shared" si="22"/>
        <v>0.68072</v>
      </c>
      <c r="G28" s="7">
        <f t="shared" si="22"/>
        <v>0.68072</v>
      </c>
      <c r="H28" s="6">
        <f t="shared" si="22"/>
        <v>0.6604</v>
      </c>
      <c r="I28" s="18">
        <f t="shared" si="22"/>
        <v>0.6604</v>
      </c>
      <c r="J28" s="18">
        <f t="shared" si="22"/>
        <v>0.6604</v>
      </c>
      <c r="K28" s="7">
        <f t="shared" si="22"/>
        <v>0.6604</v>
      </c>
      <c r="L28" s="6">
        <f t="shared" si="22"/>
        <v>0.6604</v>
      </c>
      <c r="M28" s="18">
        <f t="shared" si="22"/>
        <v>0.6604</v>
      </c>
      <c r="N28" s="18">
        <f t="shared" si="22"/>
        <v>0.6604</v>
      </c>
      <c r="O28" s="7">
        <f t="shared" si="22"/>
        <v>0.6604</v>
      </c>
      <c r="P28" s="6">
        <f t="shared" si="22"/>
        <v>0.50292</v>
      </c>
      <c r="Q28" s="18">
        <f t="shared" si="22"/>
        <v>0.50292</v>
      </c>
      <c r="R28" s="18">
        <f t="shared" si="22"/>
        <v>0.50292</v>
      </c>
      <c r="S28" s="7">
        <f t="shared" si="22"/>
        <v>0.50292</v>
      </c>
      <c r="T28" s="6">
        <f t="shared" si="22"/>
        <v>0.81788</v>
      </c>
      <c r="U28" s="18">
        <f t="shared" si="22"/>
        <v>0.81788</v>
      </c>
      <c r="V28" s="18">
        <f t="shared" si="22"/>
        <v>0.81788</v>
      </c>
      <c r="W28" s="7">
        <f t="shared" si="22"/>
        <v>0.81788</v>
      </c>
    </row>
    <row r="29" spans="3:23" ht="12.75">
      <c r="C29" s="6"/>
      <c r="D29" s="6"/>
      <c r="E29" s="6"/>
      <c r="F29" s="6"/>
      <c r="G29" s="7"/>
      <c r="H29" s="6"/>
      <c r="I29" s="18"/>
      <c r="J29" s="18"/>
      <c r="K29" s="7"/>
      <c r="L29" s="6"/>
      <c r="M29" s="18"/>
      <c r="N29" s="18"/>
      <c r="O29" s="7"/>
      <c r="P29" s="6"/>
      <c r="Q29" s="18"/>
      <c r="R29" s="18"/>
      <c r="S29" s="7"/>
      <c r="T29" s="6"/>
      <c r="U29" s="18"/>
      <c r="V29" s="18"/>
      <c r="W29" s="7"/>
    </row>
    <row r="30" spans="1:23" ht="12.75">
      <c r="A30" s="5" t="s">
        <v>44</v>
      </c>
      <c r="B30" s="1" t="s">
        <v>14</v>
      </c>
      <c r="C30" s="6">
        <f aca="true" t="shared" si="23" ref="C30:W30">C4-C18*C15-C27-2*C25</f>
        <v>0.023780000000001494</v>
      </c>
      <c r="D30" s="6">
        <f t="shared" si="23"/>
        <v>-0.0003800000000000192</v>
      </c>
      <c r="E30" s="6">
        <f t="shared" si="23"/>
        <v>0.03546000000000074</v>
      </c>
      <c r="F30" s="6">
        <f t="shared" si="23"/>
        <v>0.041300000000000364</v>
      </c>
      <c r="G30" s="7">
        <f t="shared" si="23"/>
        <v>-0.032860000000000084</v>
      </c>
      <c r="H30" s="20">
        <f t="shared" si="23"/>
        <v>0.7108200000000002</v>
      </c>
      <c r="I30" s="21">
        <f t="shared" si="23"/>
        <v>0.8533400000000009</v>
      </c>
      <c r="J30" s="21">
        <f t="shared" si="23"/>
        <v>0.9658600000000004</v>
      </c>
      <c r="K30" s="22">
        <f t="shared" si="23"/>
        <v>0.9983799999999998</v>
      </c>
      <c r="L30" s="6">
        <f t="shared" si="23"/>
        <v>2.0261570199409107E-15</v>
      </c>
      <c r="M30" s="18">
        <f t="shared" si="23"/>
        <v>1.582067810090848E-15</v>
      </c>
      <c r="N30" s="18">
        <f t="shared" si="23"/>
        <v>1.1379786002407855E-15</v>
      </c>
      <c r="O30" s="7">
        <f t="shared" si="23"/>
        <v>2.4702462297909733E-15</v>
      </c>
      <c r="P30" s="6">
        <f t="shared" si="23"/>
        <v>2.581268532253489E-15</v>
      </c>
      <c r="Q30" s="18">
        <f t="shared" si="23"/>
        <v>2.248201624865942E-15</v>
      </c>
      <c r="R30" s="18">
        <f t="shared" si="23"/>
        <v>2.0261570199409107E-15</v>
      </c>
      <c r="S30" s="7">
        <f t="shared" si="23"/>
        <v>1.582067810090848E-15</v>
      </c>
      <c r="T30" s="6">
        <f t="shared" si="23"/>
        <v>2.4702462297909733E-15</v>
      </c>
      <c r="U30" s="18">
        <f t="shared" si="23"/>
        <v>4.718447854656915E-16</v>
      </c>
      <c r="V30" s="18">
        <f t="shared" si="23"/>
        <v>1.582067810090848E-15</v>
      </c>
      <c r="W30" s="7">
        <f t="shared" si="23"/>
        <v>1.582067810090848E-15</v>
      </c>
    </row>
    <row r="31" spans="1:23" ht="12.75">
      <c r="A31" s="5" t="s">
        <v>45</v>
      </c>
      <c r="B31" s="1" t="s">
        <v>14</v>
      </c>
      <c r="C31" s="6">
        <f aca="true" t="shared" si="24" ref="C31:W31">C5-C19*C14-C28-2*C25</f>
        <v>-0.0076200000000008206</v>
      </c>
      <c r="D31" s="6">
        <f t="shared" si="24"/>
        <v>-0.0076200000000008206</v>
      </c>
      <c r="E31" s="6">
        <f t="shared" si="24"/>
        <v>-0.0076200000000008206</v>
      </c>
      <c r="F31" s="6">
        <f t="shared" si="24"/>
        <v>-0.0076200000000008206</v>
      </c>
      <c r="G31" s="7">
        <f t="shared" si="24"/>
        <v>-0.0076200000000008206</v>
      </c>
      <c r="H31" s="6">
        <f t="shared" si="24"/>
        <v>-9.71445146547012E-16</v>
      </c>
      <c r="I31" s="18">
        <f t="shared" si="24"/>
        <v>-9.71445146547012E-16</v>
      </c>
      <c r="J31" s="18">
        <f t="shared" si="24"/>
        <v>-9.71445146547012E-16</v>
      </c>
      <c r="K31" s="7">
        <f t="shared" si="24"/>
        <v>-9.71445146547012E-16</v>
      </c>
      <c r="L31" s="6">
        <f t="shared" si="24"/>
        <v>0</v>
      </c>
      <c r="M31" s="18">
        <f t="shared" si="24"/>
        <v>0</v>
      </c>
      <c r="N31" s="18">
        <f t="shared" si="24"/>
        <v>0</v>
      </c>
      <c r="O31" s="7">
        <f t="shared" si="24"/>
        <v>0</v>
      </c>
      <c r="P31" s="6">
        <f t="shared" si="24"/>
        <v>0</v>
      </c>
      <c r="Q31" s="18">
        <f t="shared" si="24"/>
        <v>0</v>
      </c>
      <c r="R31" s="18">
        <f t="shared" si="24"/>
        <v>0</v>
      </c>
      <c r="S31" s="7">
        <f t="shared" si="24"/>
        <v>0</v>
      </c>
      <c r="T31" s="6">
        <f t="shared" si="24"/>
        <v>-5.273559366969494E-16</v>
      </c>
      <c r="U31" s="18">
        <f t="shared" si="24"/>
        <v>-5.273559366969494E-16</v>
      </c>
      <c r="V31" s="18">
        <f t="shared" si="24"/>
        <v>-5.273559366969494E-16</v>
      </c>
      <c r="W31" s="7">
        <f t="shared" si="24"/>
        <v>-5.273559366969494E-16</v>
      </c>
    </row>
    <row r="32" spans="3:23" ht="12.75">
      <c r="C32" s="6"/>
      <c r="D32" s="6"/>
      <c r="E32" s="6"/>
      <c r="F32" s="6"/>
      <c r="G32" s="7"/>
      <c r="H32" s="18"/>
      <c r="I32" s="18"/>
      <c r="J32" s="18"/>
      <c r="K32" s="7"/>
      <c r="L32" s="18"/>
      <c r="M32" s="18"/>
      <c r="N32" s="18"/>
      <c r="O32" s="7"/>
      <c r="P32" s="18"/>
      <c r="Q32" s="18"/>
      <c r="R32" s="18"/>
      <c r="S32" s="7"/>
      <c r="T32" s="18"/>
      <c r="U32" s="18"/>
      <c r="V32" s="18"/>
      <c r="W32" s="7"/>
    </row>
    <row r="33" spans="3:23" ht="12.75">
      <c r="C33" s="6"/>
      <c r="D33" s="6"/>
      <c r="E33" s="6"/>
      <c r="F33" s="6"/>
      <c r="G33" s="7"/>
      <c r="H33" s="18"/>
      <c r="I33" s="18"/>
      <c r="J33" s="18"/>
      <c r="K33" s="7"/>
      <c r="L33" s="18"/>
      <c r="M33" s="18"/>
      <c r="N33" s="18"/>
      <c r="O33" s="7"/>
      <c r="P33" s="18"/>
      <c r="Q33" s="18"/>
      <c r="R33" s="18"/>
      <c r="S33" s="7"/>
      <c r="T33" s="18"/>
      <c r="U33" s="18"/>
      <c r="V33" s="18"/>
      <c r="W33" s="7"/>
    </row>
    <row r="34" spans="1:23" ht="12.75">
      <c r="A34"/>
      <c r="C34" s="6"/>
      <c r="D34" s="6"/>
      <c r="E34" s="6"/>
      <c r="F34" s="6"/>
      <c r="G34" s="7"/>
      <c r="H34" s="18"/>
      <c r="I34" s="18"/>
      <c r="J34" s="18"/>
      <c r="K34" s="7"/>
      <c r="L34" s="18"/>
      <c r="M34" s="18"/>
      <c r="N34" s="18"/>
      <c r="O34" s="7"/>
      <c r="P34" s="18"/>
      <c r="Q34" s="18"/>
      <c r="R34" s="18"/>
      <c r="S34" s="7"/>
      <c r="T34" s="18"/>
      <c r="U34" s="18"/>
      <c r="V34" s="18"/>
      <c r="W34" s="7"/>
    </row>
    <row r="35" spans="1:23" ht="12.75">
      <c r="A35"/>
      <c r="C35" s="6"/>
      <c r="D35" s="6"/>
      <c r="E35" s="6"/>
      <c r="F35" s="6"/>
      <c r="G35" s="7"/>
      <c r="H35" s="18"/>
      <c r="I35" s="18"/>
      <c r="J35" s="18"/>
      <c r="K35" s="7"/>
      <c r="L35" s="18"/>
      <c r="M35" s="18"/>
      <c r="N35" s="18"/>
      <c r="O35" s="7"/>
      <c r="P35" s="18"/>
      <c r="Q35" s="18"/>
      <c r="R35" s="18"/>
      <c r="S35" s="7"/>
      <c r="T35" s="18"/>
      <c r="U35" s="18"/>
      <c r="V35" s="18"/>
      <c r="W35" s="7"/>
    </row>
    <row r="36" spans="1:23" ht="12.75">
      <c r="A36"/>
      <c r="C36" s="6"/>
      <c r="D36" s="6"/>
      <c r="E36" s="6"/>
      <c r="F36" s="6"/>
      <c r="G36" s="7"/>
      <c r="H36" s="18"/>
      <c r="I36" s="18"/>
      <c r="J36" s="18"/>
      <c r="K36" s="7"/>
      <c r="L36" s="18"/>
      <c r="M36" s="18"/>
      <c r="N36" s="18"/>
      <c r="O36" s="7"/>
      <c r="P36" s="18"/>
      <c r="Q36" s="18"/>
      <c r="R36" s="18"/>
      <c r="S36" s="7"/>
      <c r="T36" s="18"/>
      <c r="U36" s="18"/>
      <c r="V36" s="18"/>
      <c r="W36" s="7"/>
    </row>
    <row r="37" spans="1:23" ht="12.75">
      <c r="A37"/>
      <c r="C37" s="6"/>
      <c r="D37" s="6"/>
      <c r="E37" s="6"/>
      <c r="F37" s="6"/>
      <c r="G37" s="7"/>
      <c r="H37" s="18"/>
      <c r="I37" s="18"/>
      <c r="J37" s="18"/>
      <c r="K37" s="7"/>
      <c r="L37" s="18"/>
      <c r="M37" s="18"/>
      <c r="N37" s="18"/>
      <c r="O37" s="7"/>
      <c r="P37" s="18"/>
      <c r="Q37" s="18"/>
      <c r="R37" s="18"/>
      <c r="S37" s="7"/>
      <c r="T37" s="18"/>
      <c r="U37" s="18"/>
      <c r="V37" s="18"/>
      <c r="W37" s="7"/>
    </row>
    <row r="38" spans="1:23" ht="12.75">
      <c r="A38"/>
      <c r="C38" s="6"/>
      <c r="D38" s="6"/>
      <c r="E38" s="6"/>
      <c r="F38" s="6"/>
      <c r="G38" s="7"/>
      <c r="H38" s="18"/>
      <c r="I38" s="18"/>
      <c r="J38" s="18"/>
      <c r="K38" s="7"/>
      <c r="L38" s="18"/>
      <c r="M38" s="18"/>
      <c r="N38" s="18"/>
      <c r="O38" s="7"/>
      <c r="P38" s="18"/>
      <c r="Q38" s="18"/>
      <c r="R38" s="18"/>
      <c r="S38" s="7"/>
      <c r="T38" s="18"/>
      <c r="U38" s="18"/>
      <c r="V38" s="18"/>
      <c r="W38" s="7"/>
    </row>
    <row r="39" spans="1:23" ht="12.75">
      <c r="A39"/>
      <c r="C39" s="6"/>
      <c r="D39" s="6"/>
      <c r="E39" s="6"/>
      <c r="F39" s="6"/>
      <c r="G39" s="7"/>
      <c r="H39" s="18"/>
      <c r="I39" s="18"/>
      <c r="J39" s="18"/>
      <c r="K39" s="7"/>
      <c r="L39" s="18"/>
      <c r="M39" s="18"/>
      <c r="N39" s="18"/>
      <c r="O39" s="7"/>
      <c r="P39" s="18"/>
      <c r="Q39" s="18"/>
      <c r="R39" s="18"/>
      <c r="S39" s="7"/>
      <c r="T39" s="18"/>
      <c r="U39" s="18"/>
      <c r="V39" s="18"/>
      <c r="W39" s="7"/>
    </row>
    <row r="40" spans="1:23" ht="12.75">
      <c r="A40"/>
      <c r="C40" s="6"/>
      <c r="D40" s="6"/>
      <c r="E40" s="6"/>
      <c r="F40" s="6"/>
      <c r="G40" s="7"/>
      <c r="H40" s="18"/>
      <c r="I40" s="18"/>
      <c r="J40" s="18"/>
      <c r="K40" s="7"/>
      <c r="L40" s="18"/>
      <c r="M40" s="18"/>
      <c r="N40" s="18"/>
      <c r="O40" s="7"/>
      <c r="P40" s="18"/>
      <c r="Q40" s="18"/>
      <c r="R40" s="18"/>
      <c r="S40" s="7"/>
      <c r="T40" s="18"/>
      <c r="U40" s="18"/>
      <c r="V40" s="18"/>
      <c r="W40" s="7"/>
    </row>
    <row r="41" spans="1:23" ht="12.75">
      <c r="A41"/>
      <c r="C41" s="6"/>
      <c r="D41" s="6"/>
      <c r="E41" s="6"/>
      <c r="F41" s="6"/>
      <c r="G41" s="7"/>
      <c r="H41" s="18"/>
      <c r="I41" s="18"/>
      <c r="J41" s="18"/>
      <c r="K41" s="7"/>
      <c r="L41" s="18"/>
      <c r="M41" s="18"/>
      <c r="N41" s="18"/>
      <c r="O41" s="7"/>
      <c r="P41" s="18"/>
      <c r="Q41" s="18"/>
      <c r="R41" s="18"/>
      <c r="S41" s="7"/>
      <c r="T41" s="18"/>
      <c r="U41" s="18"/>
      <c r="V41" s="18"/>
      <c r="W41" s="7"/>
    </row>
    <row r="42" spans="1:23" ht="12.75">
      <c r="A42"/>
      <c r="C42" s="6"/>
      <c r="D42" s="6"/>
      <c r="E42" s="6"/>
      <c r="F42" s="6"/>
      <c r="G42" s="7"/>
      <c r="H42" s="18"/>
      <c r="I42" s="18"/>
      <c r="J42" s="18"/>
      <c r="K42" s="7"/>
      <c r="L42" s="18"/>
      <c r="M42" s="18"/>
      <c r="N42" s="18"/>
      <c r="O42" s="7"/>
      <c r="P42" s="18"/>
      <c r="Q42" s="18"/>
      <c r="R42" s="18"/>
      <c r="S42" s="7"/>
      <c r="T42" s="18"/>
      <c r="U42" s="18"/>
      <c r="V42" s="18"/>
      <c r="W4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C1">
      <selection activeCell="E29" sqref="E29"/>
    </sheetView>
  </sheetViews>
  <sheetFormatPr defaultColWidth="9.140625" defaultRowHeight="12.75"/>
  <cols>
    <col min="1" max="1" width="20.421875" style="4" bestFit="1" customWidth="1"/>
    <col min="2" max="2" width="4.57421875" style="1" customWidth="1"/>
    <col min="3" max="3" width="17.57421875" style="0" customWidth="1"/>
    <col min="4" max="4" width="19.140625" style="4" customWidth="1"/>
    <col min="5" max="5" width="19.140625" style="1" customWidth="1"/>
    <col min="6" max="6" width="19.140625" style="4" customWidth="1"/>
    <col min="7" max="8" width="9.8515625" style="0" customWidth="1"/>
    <col min="9" max="9" width="9.8515625" style="1" customWidth="1"/>
    <col min="10" max="10" width="19.140625" style="4" customWidth="1"/>
    <col min="11" max="12" width="8.57421875" style="4" customWidth="1"/>
    <col min="13" max="13" width="8.57421875" style="1" customWidth="1"/>
    <col min="14" max="14" width="19.140625" style="4" customWidth="1"/>
    <col min="15" max="16" width="8.57421875" style="4" customWidth="1"/>
    <col min="17" max="17" width="8.57421875" style="1" customWidth="1"/>
    <col min="18" max="18" width="19.140625" style="4" customWidth="1"/>
    <col min="19" max="20" width="8.57421875" style="4" customWidth="1"/>
    <col min="21" max="21" width="8.57421875" style="1" customWidth="1"/>
  </cols>
  <sheetData>
    <row r="1" spans="2:21" s="3" customFormat="1" ht="29.25" customHeight="1" thickBot="1">
      <c r="B1" s="2"/>
      <c r="C1" s="17" t="s">
        <v>58</v>
      </c>
      <c r="D1" s="17" t="s">
        <v>59</v>
      </c>
      <c r="E1" s="24" t="s">
        <v>60</v>
      </c>
      <c r="F1" s="23" t="s">
        <v>68</v>
      </c>
      <c r="I1" s="2"/>
      <c r="J1" s="23" t="s">
        <v>66</v>
      </c>
      <c r="M1" s="2"/>
      <c r="N1" s="23" t="s">
        <v>65</v>
      </c>
      <c r="Q1" s="2"/>
      <c r="R1" s="23" t="s">
        <v>67</v>
      </c>
      <c r="U1" s="2"/>
    </row>
    <row r="2" spans="3:21" ht="12.75">
      <c r="C2" s="6"/>
      <c r="D2" s="18"/>
      <c r="E2" s="7"/>
      <c r="F2" s="6"/>
      <c r="G2" s="6"/>
      <c r="H2" s="6"/>
      <c r="I2" s="7"/>
      <c r="J2" s="18"/>
      <c r="K2" s="18"/>
      <c r="L2" s="18"/>
      <c r="M2" s="7"/>
      <c r="N2" s="18"/>
      <c r="O2" s="18"/>
      <c r="P2" s="18"/>
      <c r="Q2" s="7"/>
      <c r="R2" s="18"/>
      <c r="S2" s="18"/>
      <c r="T2" s="18"/>
      <c r="U2" s="7"/>
    </row>
    <row r="3" spans="1:21" ht="12.75">
      <c r="A3" s="4" t="s">
        <v>0</v>
      </c>
      <c r="C3" s="6" t="s">
        <v>39</v>
      </c>
      <c r="D3" s="18" t="s">
        <v>39</v>
      </c>
      <c r="E3" s="7" t="s">
        <v>39</v>
      </c>
      <c r="F3" s="6" t="s">
        <v>39</v>
      </c>
      <c r="G3" s="6" t="s">
        <v>39</v>
      </c>
      <c r="H3" s="6" t="s">
        <v>39</v>
      </c>
      <c r="I3" s="7" t="s">
        <v>39</v>
      </c>
      <c r="J3" s="18" t="s">
        <v>39</v>
      </c>
      <c r="K3" s="18" t="s">
        <v>39</v>
      </c>
      <c r="L3" s="18" t="s">
        <v>39</v>
      </c>
      <c r="M3" s="7" t="s">
        <v>39</v>
      </c>
      <c r="N3" s="18" t="s">
        <v>39</v>
      </c>
      <c r="O3" s="18" t="s">
        <v>39</v>
      </c>
      <c r="P3" s="18" t="s">
        <v>39</v>
      </c>
      <c r="Q3" s="7" t="s">
        <v>39</v>
      </c>
      <c r="R3" s="18" t="s">
        <v>39</v>
      </c>
      <c r="S3" s="18" t="s">
        <v>39</v>
      </c>
      <c r="T3" s="18" t="s">
        <v>39</v>
      </c>
      <c r="U3" s="7" t="s">
        <v>39</v>
      </c>
    </row>
    <row r="4" spans="1:21" ht="12.75">
      <c r="A4" s="4" t="s">
        <v>1</v>
      </c>
      <c r="B4" s="1" t="s">
        <v>15</v>
      </c>
      <c r="C4" s="15">
        <f>2.54*(4.671)</f>
        <v>11.86434</v>
      </c>
      <c r="D4" s="15">
        <f>2.54*(4.671)</f>
        <v>11.86434</v>
      </c>
      <c r="E4" s="9">
        <f>2.54*(4.671)</f>
        <v>11.86434</v>
      </c>
      <c r="F4" s="15">
        <f aca="true" t="shared" si="0" ref="F4:U4">2.54*(4.671)</f>
        <v>11.86434</v>
      </c>
      <c r="G4" s="15">
        <f t="shared" si="0"/>
        <v>11.86434</v>
      </c>
      <c r="H4" s="15">
        <f t="shared" si="0"/>
        <v>11.86434</v>
      </c>
      <c r="I4" s="9">
        <f t="shared" si="0"/>
        <v>11.86434</v>
      </c>
      <c r="J4" s="15">
        <f t="shared" si="0"/>
        <v>11.86434</v>
      </c>
      <c r="K4" s="15">
        <f t="shared" si="0"/>
        <v>11.86434</v>
      </c>
      <c r="L4" s="15">
        <f t="shared" si="0"/>
        <v>11.86434</v>
      </c>
      <c r="M4" s="9">
        <f t="shared" si="0"/>
        <v>11.86434</v>
      </c>
      <c r="N4" s="15">
        <f t="shared" si="0"/>
        <v>11.86434</v>
      </c>
      <c r="O4" s="15">
        <f t="shared" si="0"/>
        <v>11.86434</v>
      </c>
      <c r="P4" s="15">
        <f t="shared" si="0"/>
        <v>11.86434</v>
      </c>
      <c r="Q4" s="9">
        <f t="shared" si="0"/>
        <v>11.86434</v>
      </c>
      <c r="R4" s="15">
        <f t="shared" si="0"/>
        <v>11.86434</v>
      </c>
      <c r="S4" s="15">
        <f t="shared" si="0"/>
        <v>11.86434</v>
      </c>
      <c r="T4" s="15">
        <f t="shared" si="0"/>
        <v>11.86434</v>
      </c>
      <c r="U4" s="9">
        <f t="shared" si="0"/>
        <v>11.86434</v>
      </c>
    </row>
    <row r="5" spans="1:21" ht="12.75">
      <c r="A5" s="4" t="s">
        <v>2</v>
      </c>
      <c r="B5" s="1" t="s">
        <v>14</v>
      </c>
      <c r="C5" s="15">
        <f>2.54*(4.1-0.75)/2</f>
        <v>4.254499999999999</v>
      </c>
      <c r="D5" s="15">
        <f>2.54*(4.1-0.75)/2</f>
        <v>4.254499999999999</v>
      </c>
      <c r="E5" s="9">
        <f>2.54*(4.1-0.75)/2</f>
        <v>4.254499999999999</v>
      </c>
      <c r="F5" s="15">
        <f aca="true" t="shared" si="1" ref="F5:U5">2.54*(4.1-0.75)/2</f>
        <v>4.254499999999999</v>
      </c>
      <c r="G5" s="15">
        <f t="shared" si="1"/>
        <v>4.254499999999999</v>
      </c>
      <c r="H5" s="15">
        <f t="shared" si="1"/>
        <v>4.254499999999999</v>
      </c>
      <c r="I5" s="9">
        <f t="shared" si="1"/>
        <v>4.254499999999999</v>
      </c>
      <c r="J5" s="15">
        <f t="shared" si="1"/>
        <v>4.254499999999999</v>
      </c>
      <c r="K5" s="15">
        <f t="shared" si="1"/>
        <v>4.254499999999999</v>
      </c>
      <c r="L5" s="15">
        <f t="shared" si="1"/>
        <v>4.254499999999999</v>
      </c>
      <c r="M5" s="9">
        <f t="shared" si="1"/>
        <v>4.254499999999999</v>
      </c>
      <c r="N5" s="15">
        <f t="shared" si="1"/>
        <v>4.254499999999999</v>
      </c>
      <c r="O5" s="15">
        <f t="shared" si="1"/>
        <v>4.254499999999999</v>
      </c>
      <c r="P5" s="15">
        <f t="shared" si="1"/>
        <v>4.254499999999999</v>
      </c>
      <c r="Q5" s="9">
        <f t="shared" si="1"/>
        <v>4.254499999999999</v>
      </c>
      <c r="R5" s="15">
        <f t="shared" si="1"/>
        <v>4.254499999999999</v>
      </c>
      <c r="S5" s="15">
        <f t="shared" si="1"/>
        <v>4.254499999999999</v>
      </c>
      <c r="T5" s="15">
        <f t="shared" si="1"/>
        <v>4.254499999999999</v>
      </c>
      <c r="U5" s="9">
        <f t="shared" si="1"/>
        <v>4.254499999999999</v>
      </c>
    </row>
    <row r="6" spans="1:21" ht="12.75">
      <c r="A6" s="4" t="s">
        <v>3</v>
      </c>
      <c r="B6" s="1" t="s">
        <v>13</v>
      </c>
      <c r="C6" s="8">
        <f>C4*C5</f>
        <v>50.47683452999999</v>
      </c>
      <c r="D6" s="15">
        <f>D4*D5</f>
        <v>50.47683452999999</v>
      </c>
      <c r="E6" s="9">
        <f>E4*E5</f>
        <v>50.47683452999999</v>
      </c>
      <c r="F6" s="8">
        <f aca="true" t="shared" si="2" ref="F6:U6">F4*F5</f>
        <v>50.47683452999999</v>
      </c>
      <c r="G6" s="8">
        <f t="shared" si="2"/>
        <v>50.47683452999999</v>
      </c>
      <c r="H6" s="8">
        <f t="shared" si="2"/>
        <v>50.47683452999999</v>
      </c>
      <c r="I6" s="9">
        <f t="shared" si="2"/>
        <v>50.47683452999999</v>
      </c>
      <c r="J6" s="8">
        <f>J4*J5</f>
        <v>50.47683452999999</v>
      </c>
      <c r="K6" s="8">
        <f>K4*K5</f>
        <v>50.47683452999999</v>
      </c>
      <c r="L6" s="8">
        <f>L4*L5</f>
        <v>50.47683452999999</v>
      </c>
      <c r="M6" s="9">
        <f>M4*M5</f>
        <v>50.47683452999999</v>
      </c>
      <c r="N6" s="8">
        <f>N4*N5</f>
        <v>50.47683452999999</v>
      </c>
      <c r="O6" s="8">
        <f t="shared" si="2"/>
        <v>50.47683452999999</v>
      </c>
      <c r="P6" s="8">
        <f t="shared" si="2"/>
        <v>50.47683452999999</v>
      </c>
      <c r="Q6" s="9">
        <f t="shared" si="2"/>
        <v>50.47683452999999</v>
      </c>
      <c r="R6" s="8">
        <f t="shared" si="2"/>
        <v>50.47683452999999</v>
      </c>
      <c r="S6" s="8">
        <f t="shared" si="2"/>
        <v>50.47683452999999</v>
      </c>
      <c r="T6" s="8">
        <f t="shared" si="2"/>
        <v>50.47683452999999</v>
      </c>
      <c r="U6" s="9">
        <f t="shared" si="2"/>
        <v>50.47683452999999</v>
      </c>
    </row>
    <row r="7" spans="1:21" ht="12.75">
      <c r="A7" s="5" t="s">
        <v>61</v>
      </c>
      <c r="B7" s="1" t="s">
        <v>13</v>
      </c>
      <c r="C7" s="8">
        <f>C24*C17*C18</f>
        <v>24.446209172</v>
      </c>
      <c r="D7" s="8">
        <f>D24*D17*D18</f>
        <v>27.561235200000002</v>
      </c>
      <c r="E7" s="9">
        <f>E24*E17*E18</f>
        <v>27.117003830399998</v>
      </c>
      <c r="F7" s="8">
        <f aca="true" t="shared" si="3" ref="F7:U7">F24*F17*F18</f>
        <v>29.71357381915548</v>
      </c>
      <c r="G7" s="8">
        <f t="shared" si="3"/>
        <v>27.898062809146577</v>
      </c>
      <c r="H7" s="8">
        <f t="shared" si="3"/>
        <v>26.08255179913768</v>
      </c>
      <c r="I7" s="9">
        <f t="shared" si="3"/>
        <v>24.267040789128774</v>
      </c>
      <c r="J7" s="8">
        <f>J24*J17*J18</f>
        <v>32.56616957025451</v>
      </c>
      <c r="K7" s="8">
        <f>K24*K17*K18</f>
        <v>30.93716299462541</v>
      </c>
      <c r="L7" s="8">
        <f>L24*L17*L18</f>
        <v>29.308156418996315</v>
      </c>
      <c r="M7" s="9">
        <f>M24*M17*M18</f>
        <v>27.67914984336722</v>
      </c>
      <c r="N7" s="8">
        <f>N24*N17*N18</f>
        <v>32.12685104455209</v>
      </c>
      <c r="O7" s="8">
        <f t="shared" si="3"/>
        <v>31.158628899202395</v>
      </c>
      <c r="P7" s="8">
        <f t="shared" si="3"/>
        <v>30.190406753852695</v>
      </c>
      <c r="Q7" s="9">
        <f t="shared" si="3"/>
        <v>29.222184608502996</v>
      </c>
      <c r="R7" s="8">
        <f t="shared" si="3"/>
        <v>31.28983663927688</v>
      </c>
      <c r="S7" s="8">
        <f t="shared" si="3"/>
        <v>30.563865009736492</v>
      </c>
      <c r="T7" s="8">
        <f t="shared" si="3"/>
        <v>29.8378933801961</v>
      </c>
      <c r="U7" s="9">
        <f t="shared" si="3"/>
        <v>29.111921750655718</v>
      </c>
    </row>
    <row r="8" spans="1:21" ht="12.75">
      <c r="A8" s="5" t="s">
        <v>63</v>
      </c>
      <c r="B8" s="1" t="s">
        <v>13</v>
      </c>
      <c r="C8" s="8">
        <f>C24*C17*(C18+C19)</f>
        <v>32.79425925006</v>
      </c>
      <c r="D8" s="8">
        <f aca="true" t="shared" si="4" ref="D8:U8">D24*D17*(D18+D19)</f>
        <v>31.84951731466286</v>
      </c>
      <c r="E8" s="9">
        <f t="shared" si="4"/>
        <v>29.486557904922922</v>
      </c>
      <c r="F8" s="8">
        <f t="shared" si="4"/>
        <v>34.3392668052</v>
      </c>
      <c r="G8" s="8">
        <f t="shared" si="4"/>
        <v>33.44889439239999</v>
      </c>
      <c r="H8" s="8">
        <f t="shared" si="4"/>
        <v>32.558521979599995</v>
      </c>
      <c r="I8" s="9">
        <f t="shared" si="4"/>
        <v>31.668149566799993</v>
      </c>
      <c r="J8" s="8">
        <f>J24*J17*(J18+J19)</f>
        <v>37.91720803639999</v>
      </c>
      <c r="K8" s="8">
        <f>K24*K17*(K18+K19)</f>
        <v>37.358409153999986</v>
      </c>
      <c r="L8" s="8">
        <f>L24*L17*(L18+L19)</f>
        <v>36.79961027159999</v>
      </c>
      <c r="M8" s="9">
        <f>M24*M17*(M18+M19)</f>
        <v>36.24081138919999</v>
      </c>
      <c r="N8" s="8">
        <f>N24*N17*(N18+N19)</f>
        <v>35.166413537999986</v>
      </c>
      <c r="O8" s="8">
        <f t="shared" si="4"/>
        <v>34.63241460599999</v>
      </c>
      <c r="P8" s="8">
        <f t="shared" si="4"/>
        <v>34.098415673999995</v>
      </c>
      <c r="Q8" s="9">
        <f t="shared" si="4"/>
        <v>33.56441674199999</v>
      </c>
      <c r="R8" s="8">
        <f t="shared" si="4"/>
        <v>33.02401782279999</v>
      </c>
      <c r="S8" s="8">
        <f t="shared" si="4"/>
        <v>32.51481884119999</v>
      </c>
      <c r="T8" s="8">
        <f t="shared" si="4"/>
        <v>32.00561985959999</v>
      </c>
      <c r="U8" s="9">
        <f t="shared" si="4"/>
        <v>31.496420877999995</v>
      </c>
    </row>
    <row r="9" spans="1:21" ht="12.75">
      <c r="A9" s="5" t="s">
        <v>48</v>
      </c>
      <c r="B9" s="1" t="s">
        <v>13</v>
      </c>
      <c r="C9" s="8">
        <f>C29*2*(C4+C5)</f>
        <v>3.275348288</v>
      </c>
      <c r="D9" s="8">
        <f>D29*2*(D4+D5)</f>
        <v>3.275348288</v>
      </c>
      <c r="E9" s="9">
        <f>E29*2*(E4+E5)</f>
        <v>3.275348288</v>
      </c>
      <c r="F9" s="8">
        <f aca="true" t="shared" si="5" ref="F9:U9">F29*2*(F4+F5)</f>
        <v>3.275348288</v>
      </c>
      <c r="G9" s="8">
        <f t="shared" si="5"/>
        <v>3.275348288</v>
      </c>
      <c r="H9" s="8">
        <f t="shared" si="5"/>
        <v>3.275348288</v>
      </c>
      <c r="I9" s="9">
        <f t="shared" si="5"/>
        <v>3.275348288</v>
      </c>
      <c r="J9" s="8">
        <f>J29*2*(J4+J5)</f>
        <v>3.275348288</v>
      </c>
      <c r="K9" s="8">
        <f>K29*2*(K4+K5)</f>
        <v>3.275348288</v>
      </c>
      <c r="L9" s="8">
        <f>L29*2*(L4+L5)</f>
        <v>3.275348288</v>
      </c>
      <c r="M9" s="9">
        <f>M29*2*(M4+M5)</f>
        <v>3.275348288</v>
      </c>
      <c r="N9" s="8">
        <f>N29*2*(N4+N5)</f>
        <v>3.275348288</v>
      </c>
      <c r="O9" s="8">
        <f t="shared" si="5"/>
        <v>3.275348288</v>
      </c>
      <c r="P9" s="8">
        <f t="shared" si="5"/>
        <v>3.275348288</v>
      </c>
      <c r="Q9" s="9">
        <f t="shared" si="5"/>
        <v>3.275348288</v>
      </c>
      <c r="R9" s="8">
        <f t="shared" si="5"/>
        <v>3.275348288</v>
      </c>
      <c r="S9" s="8">
        <f t="shared" si="5"/>
        <v>3.275348288</v>
      </c>
      <c r="T9" s="8">
        <f t="shared" si="5"/>
        <v>3.275348288</v>
      </c>
      <c r="U9" s="9">
        <f t="shared" si="5"/>
        <v>3.275348288</v>
      </c>
    </row>
    <row r="10" spans="1:21" ht="12.75">
      <c r="A10" s="5" t="s">
        <v>49</v>
      </c>
      <c r="B10" s="1" t="s">
        <v>13</v>
      </c>
      <c r="C10" s="8">
        <f>C6-C8-C9</f>
        <v>14.40722699193999</v>
      </c>
      <c r="D10" s="8">
        <f aca="true" t="shared" si="6" ref="D10:U10">D6-D8-D9</f>
        <v>15.35196892733713</v>
      </c>
      <c r="E10" s="9">
        <f t="shared" si="6"/>
        <v>17.71492833707707</v>
      </c>
      <c r="F10" s="8">
        <f t="shared" si="6"/>
        <v>12.862219436799993</v>
      </c>
      <c r="G10" s="8">
        <f t="shared" si="6"/>
        <v>13.752591849599998</v>
      </c>
      <c r="H10" s="8">
        <f t="shared" si="6"/>
        <v>14.642964262399996</v>
      </c>
      <c r="I10" s="9">
        <f t="shared" si="6"/>
        <v>15.533336675199998</v>
      </c>
      <c r="J10" s="8">
        <f>J6-J8-J9</f>
        <v>9.2842782056</v>
      </c>
      <c r="K10" s="8">
        <f>K6-K8-K9</f>
        <v>9.843077088000005</v>
      </c>
      <c r="L10" s="8">
        <f>L6-L8-L9</f>
        <v>10.401875970400003</v>
      </c>
      <c r="M10" s="9">
        <f>M6-M8-M9</f>
        <v>10.9606748528</v>
      </c>
      <c r="N10" s="8">
        <f>N6-N8-N9</f>
        <v>12.035072704000005</v>
      </c>
      <c r="O10" s="8">
        <f t="shared" si="6"/>
        <v>12.569071636</v>
      </c>
      <c r="P10" s="8">
        <f t="shared" si="6"/>
        <v>13.103070567999996</v>
      </c>
      <c r="Q10" s="9">
        <f t="shared" si="6"/>
        <v>13.637069499999999</v>
      </c>
      <c r="R10" s="8">
        <f t="shared" si="6"/>
        <v>14.1774684192</v>
      </c>
      <c r="S10" s="8">
        <f t="shared" si="6"/>
        <v>14.686667400800001</v>
      </c>
      <c r="T10" s="8">
        <f t="shared" si="6"/>
        <v>15.195866382400002</v>
      </c>
      <c r="U10" s="9">
        <f t="shared" si="6"/>
        <v>15.705065363999996</v>
      </c>
    </row>
    <row r="11" spans="1:21" ht="12.75">
      <c r="A11" s="4" t="s">
        <v>4</v>
      </c>
      <c r="B11" s="1" t="s">
        <v>13</v>
      </c>
      <c r="C11" s="8">
        <f>C24*C17*C18*0.78</f>
        <v>19.06804315416</v>
      </c>
      <c r="D11" s="15">
        <f>D24*D17*D18*0.78</f>
        <v>21.497763456</v>
      </c>
      <c r="E11" s="9">
        <f>E24*E17*E18*0.78</f>
        <v>21.151262987712</v>
      </c>
      <c r="F11" s="8">
        <f aca="true" t="shared" si="7" ref="F11:U11">F24*F17*F18*0.78</f>
        <v>23.176587578941277</v>
      </c>
      <c r="G11" s="8">
        <f t="shared" si="7"/>
        <v>21.76048899113433</v>
      </c>
      <c r="H11" s="8">
        <f t="shared" si="7"/>
        <v>20.34439040332739</v>
      </c>
      <c r="I11" s="9">
        <f t="shared" si="7"/>
        <v>18.928291815520446</v>
      </c>
      <c r="J11" s="8">
        <f>J24*J17*J18*0.78</f>
        <v>25.40161226479852</v>
      </c>
      <c r="K11" s="8">
        <f>K24*K17*K18*0.78</f>
        <v>24.13098713580782</v>
      </c>
      <c r="L11" s="8">
        <f>L24*L17*L18*0.78</f>
        <v>22.860362006817127</v>
      </c>
      <c r="M11" s="9">
        <f>M24*M17*M18*0.78</f>
        <v>21.589736877826432</v>
      </c>
      <c r="N11" s="8">
        <f>N24*N17*N18*0.78</f>
        <v>25.05894381475063</v>
      </c>
      <c r="O11" s="8">
        <f t="shared" si="7"/>
        <v>24.303730541377867</v>
      </c>
      <c r="P11" s="8">
        <f t="shared" si="7"/>
        <v>23.548517268005103</v>
      </c>
      <c r="Q11" s="9">
        <f t="shared" si="7"/>
        <v>22.79330399463234</v>
      </c>
      <c r="R11" s="8">
        <f t="shared" si="7"/>
        <v>24.406072578635968</v>
      </c>
      <c r="S11" s="8">
        <f t="shared" si="7"/>
        <v>23.839814707594464</v>
      </c>
      <c r="T11" s="8">
        <f t="shared" si="7"/>
        <v>23.27355683655296</v>
      </c>
      <c r="U11" s="9">
        <f t="shared" si="7"/>
        <v>22.70729896551146</v>
      </c>
    </row>
    <row r="12" spans="1:21" ht="12.75">
      <c r="A12" s="28" t="s">
        <v>6</v>
      </c>
      <c r="C12" s="10">
        <f>C11/C6</f>
        <v>0.3777582990634497</v>
      </c>
      <c r="D12" s="19">
        <f>D11/D6</f>
        <v>0.425893653121675</v>
      </c>
      <c r="E12" s="11">
        <f>E11/E6</f>
        <v>0.4190291087913036</v>
      </c>
      <c r="F12" s="10">
        <f aca="true" t="shared" si="8" ref="F12:U12">F11/F6</f>
        <v>0.4591529519381152</v>
      </c>
      <c r="G12" s="10">
        <f t="shared" si="8"/>
        <v>0.43109852655679864</v>
      </c>
      <c r="H12" s="10">
        <f t="shared" si="8"/>
        <v>0.40304410117548223</v>
      </c>
      <c r="I12" s="11">
        <f t="shared" si="8"/>
        <v>0.3749896757941657</v>
      </c>
      <c r="J12" s="10">
        <f>J11/J6</f>
        <v>0.5032330672340701</v>
      </c>
      <c r="K12" s="10">
        <f>K11/K6</f>
        <v>0.47806062643381503</v>
      </c>
      <c r="L12" s="10">
        <f>L11/L6</f>
        <v>0.45288818563356</v>
      </c>
      <c r="M12" s="11">
        <f>M11/M6</f>
        <v>0.42771574483330493</v>
      </c>
      <c r="N12" s="10">
        <f>N11/N6</f>
        <v>0.4964444392775324</v>
      </c>
      <c r="O12" s="10">
        <f t="shared" si="8"/>
        <v>0.4814828577836708</v>
      </c>
      <c r="P12" s="10">
        <f t="shared" si="8"/>
        <v>0.4665212762898091</v>
      </c>
      <c r="Q12" s="11">
        <f t="shared" si="8"/>
        <v>0.4515596947959475</v>
      </c>
      <c r="R12" s="10">
        <f t="shared" si="8"/>
        <v>0.48351036284041665</v>
      </c>
      <c r="S12" s="10">
        <f t="shared" si="8"/>
        <v>0.47229218966624587</v>
      </c>
      <c r="T12" s="10">
        <f t="shared" si="8"/>
        <v>0.4610740164920751</v>
      </c>
      <c r="U12" s="11">
        <f t="shared" si="8"/>
        <v>0.44985584331790435</v>
      </c>
    </row>
    <row r="13" spans="1:21" ht="12.75">
      <c r="A13" s="5" t="s">
        <v>62</v>
      </c>
      <c r="B13" s="1" t="s">
        <v>13</v>
      </c>
      <c r="C13" s="25">
        <f>C6-C9-C10-C11</f>
        <v>13.726216095899993</v>
      </c>
      <c r="D13" s="25">
        <f aca="true" t="shared" si="9" ref="D13:U13">D6-D9-D10-D11</f>
        <v>10.351753858662857</v>
      </c>
      <c r="E13" s="26">
        <f t="shared" si="9"/>
        <v>8.33529491721092</v>
      </c>
      <c r="F13" s="25">
        <f t="shared" si="9"/>
        <v>11.16267922625872</v>
      </c>
      <c r="G13" s="25">
        <f t="shared" si="9"/>
        <v>11.688405401265662</v>
      </c>
      <c r="H13" s="25">
        <f t="shared" si="9"/>
        <v>12.214131576272596</v>
      </c>
      <c r="I13" s="26">
        <f t="shared" si="9"/>
        <v>12.739857751279544</v>
      </c>
      <c r="J13" s="25">
        <f>J6-J9-J10-J11</f>
        <v>12.515595771601465</v>
      </c>
      <c r="K13" s="25">
        <f>K6-K9-K10-K11</f>
        <v>13.227422018192165</v>
      </c>
      <c r="L13" s="25">
        <f>L6-L9-L10-L11</f>
        <v>13.939248264782861</v>
      </c>
      <c r="M13" s="26">
        <f>M6-M9-M10-M11</f>
        <v>14.651074511373558</v>
      </c>
      <c r="N13" s="25">
        <f>N6-N9-N10-N11</f>
        <v>10.107469723249356</v>
      </c>
      <c r="O13" s="25">
        <f t="shared" si="9"/>
        <v>10.328684064622117</v>
      </c>
      <c r="P13" s="25">
        <f t="shared" si="9"/>
        <v>10.549898405994892</v>
      </c>
      <c r="Q13" s="26">
        <f t="shared" si="9"/>
        <v>10.771112747367653</v>
      </c>
      <c r="R13" s="25">
        <f t="shared" si="9"/>
        <v>8.617945244164023</v>
      </c>
      <c r="S13" s="25">
        <f t="shared" si="9"/>
        <v>8.675004133605519</v>
      </c>
      <c r="T13" s="25">
        <f t="shared" si="9"/>
        <v>8.73206302304703</v>
      </c>
      <c r="U13" s="26">
        <f t="shared" si="9"/>
        <v>8.789121912488532</v>
      </c>
    </row>
    <row r="14" spans="3:21" ht="12.75">
      <c r="C14" s="6"/>
      <c r="D14" s="18"/>
      <c r="E14" s="7"/>
      <c r="F14" s="6"/>
      <c r="G14" s="6"/>
      <c r="H14" s="6"/>
      <c r="I14" s="7"/>
      <c r="J14" s="18"/>
      <c r="K14" s="18"/>
      <c r="L14" s="18"/>
      <c r="M14" s="7"/>
      <c r="N14" s="18"/>
      <c r="O14" s="18"/>
      <c r="P14" s="18"/>
      <c r="Q14" s="7"/>
      <c r="R14" s="18"/>
      <c r="S14" s="18"/>
      <c r="T14" s="18"/>
      <c r="U14" s="7"/>
    </row>
    <row r="15" spans="1:21" ht="12.75">
      <c r="A15" s="5" t="s">
        <v>56</v>
      </c>
      <c r="B15" s="1" t="s">
        <v>14</v>
      </c>
      <c r="C15" s="8">
        <f>2.54*2.45</f>
        <v>6.223000000000001</v>
      </c>
      <c r="D15" s="8">
        <f>2.54*2.45</f>
        <v>6.223000000000001</v>
      </c>
      <c r="E15" s="9">
        <f>2.54*2.45</f>
        <v>6.223000000000001</v>
      </c>
      <c r="F15" s="8">
        <f>2.54*2.45+F17/2+F29+F28</f>
        <v>7.243445000000001</v>
      </c>
      <c r="G15" s="8">
        <f aca="true" t="shared" si="10" ref="G15:U15">2.54*2.45+G17/2+G29+G28</f>
        <v>7.243445000000001</v>
      </c>
      <c r="H15" s="8">
        <f t="shared" si="10"/>
        <v>7.243445000000001</v>
      </c>
      <c r="I15" s="9">
        <f t="shared" si="10"/>
        <v>7.243445000000001</v>
      </c>
      <c r="J15" s="8">
        <f>2.54*2.45+J17/2+J29+J28</f>
        <v>7.305675000000001</v>
      </c>
      <c r="K15" s="8">
        <f>2.54*2.45+K17/2+K29+K28</f>
        <v>7.305675000000001</v>
      </c>
      <c r="L15" s="8">
        <f>2.54*2.45+L17/2+L29+L28</f>
        <v>7.305675000000001</v>
      </c>
      <c r="M15" s="9">
        <f>2.54*2.45+M17/2+M29+M28</f>
        <v>7.305675000000001</v>
      </c>
      <c r="N15" s="8">
        <f>2.54*2.45+N17/2+N29+N28</f>
        <v>6.983730000000001</v>
      </c>
      <c r="O15" s="8">
        <f t="shared" si="10"/>
        <v>6.983730000000001</v>
      </c>
      <c r="P15" s="8">
        <f t="shared" si="10"/>
        <v>6.983730000000001</v>
      </c>
      <c r="Q15" s="9">
        <f t="shared" si="10"/>
        <v>6.983730000000001</v>
      </c>
      <c r="R15" s="8">
        <f t="shared" si="10"/>
        <v>6.822757500000002</v>
      </c>
      <c r="S15" s="8">
        <f t="shared" si="10"/>
        <v>6.822757500000002</v>
      </c>
      <c r="T15" s="8">
        <f t="shared" si="10"/>
        <v>6.822757500000002</v>
      </c>
      <c r="U15" s="9">
        <f t="shared" si="10"/>
        <v>6.822757500000002</v>
      </c>
    </row>
    <row r="16" spans="3:21" ht="12.75">
      <c r="C16" s="6"/>
      <c r="D16" s="18"/>
      <c r="E16" s="7"/>
      <c r="F16" s="6"/>
      <c r="G16" s="6"/>
      <c r="H16" s="6"/>
      <c r="I16" s="7"/>
      <c r="J16" s="18"/>
      <c r="K16" s="18"/>
      <c r="L16" s="18"/>
      <c r="M16" s="7"/>
      <c r="N16" s="18"/>
      <c r="O16" s="18"/>
      <c r="P16" s="18"/>
      <c r="Q16" s="7"/>
      <c r="R16" s="18"/>
      <c r="S16" s="18"/>
      <c r="T16" s="18"/>
      <c r="U16" s="7"/>
    </row>
    <row r="17" spans="1:21" ht="12.75">
      <c r="A17" s="4" t="s">
        <v>10</v>
      </c>
      <c r="B17" s="1" t="s">
        <v>14</v>
      </c>
      <c r="C17" s="8">
        <f>2.54*0.665</f>
        <v>1.6891</v>
      </c>
      <c r="D17" s="15">
        <f>0.445*2.54</f>
        <v>1.1303</v>
      </c>
      <c r="E17" s="9">
        <f>0.319*2.54</f>
        <v>0.81026</v>
      </c>
      <c r="F17" s="15">
        <f>(F5-2*F29-2*F28)/F23-2*F26</f>
        <v>1.6852899999999997</v>
      </c>
      <c r="G17" s="15">
        <f aca="true" t="shared" si="11" ref="G17:U17">(G5-2*G29-2*G28)/G23-2*G26</f>
        <v>1.6852899999999997</v>
      </c>
      <c r="H17" s="15">
        <f t="shared" si="11"/>
        <v>1.6852899999999997</v>
      </c>
      <c r="I17" s="9">
        <f t="shared" si="11"/>
        <v>1.6852899999999997</v>
      </c>
      <c r="J17" s="15">
        <f>(J5-2*J29-2*J28)/J23-2*J26</f>
        <v>1.7741899999999997</v>
      </c>
      <c r="K17" s="15">
        <f>(K5-2*K29-2*K28)/K23-2*K26</f>
        <v>1.7741899999999997</v>
      </c>
      <c r="L17" s="15">
        <f>(L5-2*L29-2*L28)/L23-2*L26</f>
        <v>1.7741899999999997</v>
      </c>
      <c r="M17" s="9">
        <f>(M5-2*M29-2*M28)/M23-2*M26</f>
        <v>1.7741899999999997</v>
      </c>
      <c r="N17" s="15">
        <f>(N5-2*N29-2*N28)/N23-2*N26</f>
        <v>1.1302999999999999</v>
      </c>
      <c r="O17" s="15">
        <f t="shared" si="11"/>
        <v>1.1302999999999999</v>
      </c>
      <c r="P17" s="15">
        <f t="shared" si="11"/>
        <v>1.1302999999999999</v>
      </c>
      <c r="Q17" s="9">
        <f t="shared" si="11"/>
        <v>1.1302999999999999</v>
      </c>
      <c r="R17" s="15">
        <f t="shared" si="11"/>
        <v>0.8083549999999999</v>
      </c>
      <c r="S17" s="15">
        <f t="shared" si="11"/>
        <v>0.8083549999999999</v>
      </c>
      <c r="T17" s="15">
        <f t="shared" si="11"/>
        <v>0.8083549999999999</v>
      </c>
      <c r="U17" s="9">
        <f t="shared" si="11"/>
        <v>0.8083549999999999</v>
      </c>
    </row>
    <row r="18" spans="1:21" ht="12.75">
      <c r="A18" s="4" t="s">
        <v>57</v>
      </c>
      <c r="B18" s="1" t="s">
        <v>14</v>
      </c>
      <c r="C18" s="8">
        <f>2.54*0.407</f>
        <v>1.03378</v>
      </c>
      <c r="D18" s="15">
        <f>2.54*0.4</f>
        <v>1.016</v>
      </c>
      <c r="E18" s="9">
        <f>2.54*0.366</f>
        <v>0.92964</v>
      </c>
      <c r="F18" s="15">
        <f>(F4-2*F29-2*F28)/F22-2*F26-F19</f>
        <v>1.7631134000175332</v>
      </c>
      <c r="G18" s="15">
        <f aca="true" t="shared" si="12" ref="G18:U18">(G4-2*G29-2*G28)/G22-2*G26-G19</f>
        <v>1.3794887333508665</v>
      </c>
      <c r="H18" s="15">
        <f t="shared" si="12"/>
        <v>1.1054711143032476</v>
      </c>
      <c r="I18" s="9">
        <f t="shared" si="12"/>
        <v>0.8999579000175333</v>
      </c>
      <c r="J18" s="15">
        <f>(J4-2*J29-2*J28)/J22-2*J26-J19</f>
        <v>1.8355514105171662</v>
      </c>
      <c r="K18" s="15">
        <f>(K4-2*K29-2*K28)/K22-2*K26-K19</f>
        <v>1.453112077183833</v>
      </c>
      <c r="L18" s="15">
        <f>(L4-2*L29-2*L28)/L22-2*L26-L19</f>
        <v>1.1799411248028806</v>
      </c>
      <c r="M18" s="9">
        <f>(M4-2*M29-2*M28)/M22-2*M26-M19</f>
        <v>0.9750629105171664</v>
      </c>
      <c r="N18" s="15">
        <f>(N4-2*N29-2*N28)/N22-2*N26-N19</f>
        <v>1.353490267840906</v>
      </c>
      <c r="O18" s="15">
        <f t="shared" si="12"/>
        <v>1.1486120535551918</v>
      </c>
      <c r="P18" s="15">
        <f t="shared" si="12"/>
        <v>0.9892623313329696</v>
      </c>
      <c r="Q18" s="9">
        <f t="shared" si="12"/>
        <v>0.8617825535551917</v>
      </c>
      <c r="R18" s="15">
        <f t="shared" si="12"/>
        <v>1.209626209991158</v>
      </c>
      <c r="S18" s="15">
        <f t="shared" si="12"/>
        <v>1.050276487768936</v>
      </c>
      <c r="T18" s="15">
        <f t="shared" si="12"/>
        <v>0.922796709991158</v>
      </c>
      <c r="U18" s="9">
        <f t="shared" si="12"/>
        <v>0.8184950736275218</v>
      </c>
    </row>
    <row r="19" spans="1:21" ht="12.75">
      <c r="A19" s="5" t="s">
        <v>64</v>
      </c>
      <c r="B19" s="1" t="s">
        <v>14</v>
      </c>
      <c r="C19" s="8">
        <f>0.77*C17/C15*C17</f>
        <v>0.3530219</v>
      </c>
      <c r="D19" s="15">
        <f>0.77*D17/D15*D17</f>
        <v>0.15808052857142857</v>
      </c>
      <c r="E19" s="9">
        <f>0.77*E17/E15*E17</f>
        <v>0.08123435257142857</v>
      </c>
      <c r="F19" s="8">
        <f>0.7*F17/F15*F17</f>
        <v>0.27447459998246676</v>
      </c>
      <c r="G19" s="8">
        <f aca="true" t="shared" si="13" ref="G19:U19">0.7*G17/G15*G17</f>
        <v>0.27447459998246676</v>
      </c>
      <c r="H19" s="8">
        <f t="shared" si="13"/>
        <v>0.27447459998246676</v>
      </c>
      <c r="I19" s="9">
        <f t="shared" si="13"/>
        <v>0.27447459998246676</v>
      </c>
      <c r="J19" s="8">
        <f>0.7*J17/J15*J17</f>
        <v>0.3016045894828334</v>
      </c>
      <c r="K19" s="8">
        <f>0.7*K17/K15*K17</f>
        <v>0.3016045894828334</v>
      </c>
      <c r="L19" s="8">
        <f>0.7*L17/L15*L17</f>
        <v>0.3016045894828334</v>
      </c>
      <c r="M19" s="9">
        <f>0.7*M17/M15*M17</f>
        <v>0.3016045894828334</v>
      </c>
      <c r="N19" s="8">
        <f>0.7*N17/N15*N17</f>
        <v>0.1280554464448081</v>
      </c>
      <c r="O19" s="8">
        <f t="shared" si="13"/>
        <v>0.1280554464448081</v>
      </c>
      <c r="P19" s="8">
        <f t="shared" si="13"/>
        <v>0.1280554464448081</v>
      </c>
      <c r="Q19" s="9">
        <f t="shared" si="13"/>
        <v>0.1280554464448081</v>
      </c>
      <c r="R19" s="8">
        <f t="shared" si="13"/>
        <v>0.0670412900088417</v>
      </c>
      <c r="S19" s="8">
        <f t="shared" si="13"/>
        <v>0.0670412900088417</v>
      </c>
      <c r="T19" s="8">
        <f t="shared" si="13"/>
        <v>0.0670412900088417</v>
      </c>
      <c r="U19" s="9">
        <f t="shared" si="13"/>
        <v>0.0670412900088417</v>
      </c>
    </row>
    <row r="20" spans="1:21" ht="12.75">
      <c r="A20" s="27" t="s">
        <v>69</v>
      </c>
      <c r="C20" s="8">
        <f aca="true" t="shared" si="14" ref="C20:U20">MAX(C17/C18,C18/C17)</f>
        <v>1.6339066339066342</v>
      </c>
      <c r="D20" s="8">
        <f t="shared" si="14"/>
        <v>1.1125</v>
      </c>
      <c r="E20" s="9">
        <f t="shared" si="14"/>
        <v>1.1473354231974922</v>
      </c>
      <c r="F20" s="8">
        <f t="shared" si="14"/>
        <v>1.04617804651872</v>
      </c>
      <c r="G20" s="8">
        <f t="shared" si="14"/>
        <v>1.2216772484298022</v>
      </c>
      <c r="H20" s="8">
        <f t="shared" si="14"/>
        <v>1.524499354342875</v>
      </c>
      <c r="I20" s="9">
        <f t="shared" si="14"/>
        <v>1.8726320419734817</v>
      </c>
      <c r="J20" s="8">
        <f t="shared" si="14"/>
        <v>1.0345855914626767</v>
      </c>
      <c r="K20" s="8">
        <f t="shared" si="14"/>
        <v>1.2209588151234856</v>
      </c>
      <c r="L20" s="8">
        <f t="shared" si="14"/>
        <v>1.5036258697198925</v>
      </c>
      <c r="M20" s="9">
        <f t="shared" si="14"/>
        <v>1.819564646407258</v>
      </c>
      <c r="N20" s="8">
        <f t="shared" si="14"/>
        <v>1.1974610880659171</v>
      </c>
      <c r="O20" s="8">
        <f t="shared" si="14"/>
        <v>1.0162010559631884</v>
      </c>
      <c r="P20" s="8">
        <f t="shared" si="14"/>
        <v>1.1425685222209874</v>
      </c>
      <c r="Q20" s="9">
        <f t="shared" si="14"/>
        <v>1.3115837578018585</v>
      </c>
      <c r="R20" s="8">
        <f t="shared" si="14"/>
        <v>1.4964046860490232</v>
      </c>
      <c r="S20" s="8">
        <f t="shared" si="14"/>
        <v>1.2992762929269146</v>
      </c>
      <c r="T20" s="8">
        <f t="shared" si="14"/>
        <v>1.1415735784292274</v>
      </c>
      <c r="U20" s="9">
        <f t="shared" si="14"/>
        <v>1.012544084749302</v>
      </c>
    </row>
    <row r="21" spans="1:21" ht="12.75">
      <c r="A21" s="5"/>
      <c r="C21" s="8"/>
      <c r="D21" s="8"/>
      <c r="E21" s="9"/>
      <c r="F21" s="8"/>
      <c r="G21" s="8"/>
      <c r="H21" s="8"/>
      <c r="I21" s="9"/>
      <c r="J21" s="8"/>
      <c r="K21" s="8"/>
      <c r="L21" s="8"/>
      <c r="M21" s="9"/>
      <c r="N21" s="8"/>
      <c r="O21" s="8"/>
      <c r="P21" s="8"/>
      <c r="Q21" s="9"/>
      <c r="R21" s="8"/>
      <c r="S21" s="8"/>
      <c r="T21" s="8"/>
      <c r="U21" s="9"/>
    </row>
    <row r="22" spans="1:21" ht="12.75">
      <c r="A22" s="5" t="s">
        <v>40</v>
      </c>
      <c r="C22" s="6">
        <v>7</v>
      </c>
      <c r="D22" s="18">
        <v>8</v>
      </c>
      <c r="E22" s="7">
        <v>9</v>
      </c>
      <c r="F22" s="6">
        <v>5</v>
      </c>
      <c r="G22" s="6">
        <v>6</v>
      </c>
      <c r="H22" s="6">
        <v>7</v>
      </c>
      <c r="I22" s="7">
        <v>8</v>
      </c>
      <c r="J22" s="18">
        <v>5</v>
      </c>
      <c r="K22" s="18">
        <v>6</v>
      </c>
      <c r="L22" s="18">
        <v>7</v>
      </c>
      <c r="M22" s="7">
        <v>8</v>
      </c>
      <c r="N22" s="18">
        <v>7</v>
      </c>
      <c r="O22" s="18">
        <v>8</v>
      </c>
      <c r="P22" s="18">
        <v>9</v>
      </c>
      <c r="Q22" s="7">
        <v>10</v>
      </c>
      <c r="R22" s="18">
        <v>8</v>
      </c>
      <c r="S22" s="18">
        <v>9</v>
      </c>
      <c r="T22" s="18">
        <v>10</v>
      </c>
      <c r="U22" s="7">
        <v>11</v>
      </c>
    </row>
    <row r="23" spans="1:21" ht="12.75">
      <c r="A23" s="5" t="s">
        <v>41</v>
      </c>
      <c r="C23" s="6">
        <v>2</v>
      </c>
      <c r="D23" s="18">
        <v>3</v>
      </c>
      <c r="E23" s="7">
        <v>4</v>
      </c>
      <c r="F23" s="6">
        <v>2</v>
      </c>
      <c r="G23" s="6">
        <v>2</v>
      </c>
      <c r="H23" s="6">
        <v>2</v>
      </c>
      <c r="I23" s="7">
        <v>2</v>
      </c>
      <c r="J23" s="18">
        <v>2</v>
      </c>
      <c r="K23" s="18">
        <v>2</v>
      </c>
      <c r="L23" s="18">
        <v>2</v>
      </c>
      <c r="M23" s="7">
        <v>2</v>
      </c>
      <c r="N23" s="18">
        <v>3</v>
      </c>
      <c r="O23" s="18">
        <v>3</v>
      </c>
      <c r="P23" s="18">
        <v>3</v>
      </c>
      <c r="Q23" s="7">
        <v>3</v>
      </c>
      <c r="R23" s="18">
        <v>4</v>
      </c>
      <c r="S23" s="18">
        <v>4</v>
      </c>
      <c r="T23" s="18">
        <v>4</v>
      </c>
      <c r="U23" s="7">
        <v>4</v>
      </c>
    </row>
    <row r="24" spans="1:21" ht="12.75">
      <c r="A24" s="5" t="s">
        <v>42</v>
      </c>
      <c r="C24" s="6">
        <f>C22*C23</f>
        <v>14</v>
      </c>
      <c r="D24" s="6">
        <f aca="true" t="shared" si="15" ref="D24:U24">D22*D23</f>
        <v>24</v>
      </c>
      <c r="E24" s="7">
        <f t="shared" si="15"/>
        <v>36</v>
      </c>
      <c r="F24" s="6">
        <f t="shared" si="15"/>
        <v>10</v>
      </c>
      <c r="G24" s="6">
        <f t="shared" si="15"/>
        <v>12</v>
      </c>
      <c r="H24" s="6">
        <f t="shared" si="15"/>
        <v>14</v>
      </c>
      <c r="I24" s="7">
        <f t="shared" si="15"/>
        <v>16</v>
      </c>
      <c r="J24" s="6">
        <f>J22*J23</f>
        <v>10</v>
      </c>
      <c r="K24" s="18">
        <f>K22*K23</f>
        <v>12</v>
      </c>
      <c r="L24" s="18">
        <f>L22*L23</f>
        <v>14</v>
      </c>
      <c r="M24" s="7">
        <f>M22*M23</f>
        <v>16</v>
      </c>
      <c r="N24" s="6">
        <f>N22*N23</f>
        <v>21</v>
      </c>
      <c r="O24" s="18">
        <f t="shared" si="15"/>
        <v>24</v>
      </c>
      <c r="P24" s="18">
        <f t="shared" si="15"/>
        <v>27</v>
      </c>
      <c r="Q24" s="7">
        <f t="shared" si="15"/>
        <v>30</v>
      </c>
      <c r="R24" s="6">
        <f t="shared" si="15"/>
        <v>32</v>
      </c>
      <c r="S24" s="18">
        <f t="shared" si="15"/>
        <v>36</v>
      </c>
      <c r="T24" s="18">
        <f t="shared" si="15"/>
        <v>40</v>
      </c>
      <c r="U24" s="7">
        <f t="shared" si="15"/>
        <v>44</v>
      </c>
    </row>
    <row r="25" spans="3:21" ht="12.75">
      <c r="C25" s="6"/>
      <c r="D25" s="18"/>
      <c r="E25" s="7"/>
      <c r="F25" s="6"/>
      <c r="G25" s="6"/>
      <c r="H25" s="6"/>
      <c r="I25" s="7"/>
      <c r="J25" s="18"/>
      <c r="K25" s="18"/>
      <c r="L25" s="18"/>
      <c r="M25" s="7"/>
      <c r="N25" s="18"/>
      <c r="O25" s="18"/>
      <c r="P25" s="18"/>
      <c r="Q25" s="7"/>
      <c r="R25" s="18"/>
      <c r="S25" s="18"/>
      <c r="T25" s="18"/>
      <c r="U25" s="7"/>
    </row>
    <row r="26" spans="1:21" ht="12.75">
      <c r="A26" s="5" t="s">
        <v>19</v>
      </c>
      <c r="B26" s="1" t="s">
        <v>14</v>
      </c>
      <c r="C26" s="8">
        <f>2.54*0.052</f>
        <v>0.13208</v>
      </c>
      <c r="D26" s="15">
        <f>2.54*0.031</f>
        <v>0.07874</v>
      </c>
      <c r="E26" s="9">
        <f>2.54*0.031</f>
        <v>0.07874</v>
      </c>
      <c r="F26" s="8">
        <f aca="true" t="shared" si="16" ref="F26:I27">2.54*0.052</f>
        <v>0.13208</v>
      </c>
      <c r="G26" s="8">
        <f t="shared" si="16"/>
        <v>0.13208</v>
      </c>
      <c r="H26" s="8">
        <f t="shared" si="16"/>
        <v>0.13208</v>
      </c>
      <c r="I26" s="9">
        <f t="shared" si="16"/>
        <v>0.13208</v>
      </c>
      <c r="J26" s="15">
        <f>2.54*0.031</f>
        <v>0.07874</v>
      </c>
      <c r="K26" s="15">
        <f aca="true" t="shared" si="17" ref="K26:U27">2.54*0.031</f>
        <v>0.07874</v>
      </c>
      <c r="L26" s="15">
        <f t="shared" si="17"/>
        <v>0.07874</v>
      </c>
      <c r="M26" s="9">
        <f t="shared" si="17"/>
        <v>0.07874</v>
      </c>
      <c r="N26" s="15">
        <f>2.54*0.031</f>
        <v>0.07874</v>
      </c>
      <c r="O26" s="15">
        <f t="shared" si="17"/>
        <v>0.07874</v>
      </c>
      <c r="P26" s="15">
        <f t="shared" si="17"/>
        <v>0.07874</v>
      </c>
      <c r="Q26" s="9">
        <f t="shared" si="17"/>
        <v>0.07874</v>
      </c>
      <c r="R26" s="15">
        <f>2.54*0.031</f>
        <v>0.07874</v>
      </c>
      <c r="S26" s="15">
        <f t="shared" si="17"/>
        <v>0.07874</v>
      </c>
      <c r="T26" s="15">
        <f t="shared" si="17"/>
        <v>0.07874</v>
      </c>
      <c r="U26" s="9">
        <f t="shared" si="17"/>
        <v>0.07874</v>
      </c>
    </row>
    <row r="27" spans="1:21" ht="12.75">
      <c r="A27" s="5" t="s">
        <v>20</v>
      </c>
      <c r="B27" s="1" t="s">
        <v>14</v>
      </c>
      <c r="C27" s="8">
        <f>2.54*0.052</f>
        <v>0.13208</v>
      </c>
      <c r="D27" s="15">
        <f>2.54*0.031</f>
        <v>0.07874</v>
      </c>
      <c r="E27" s="9">
        <f>2.54*0.031</f>
        <v>0.07874</v>
      </c>
      <c r="F27" s="8">
        <f t="shared" si="16"/>
        <v>0.13208</v>
      </c>
      <c r="G27" s="8">
        <f t="shared" si="16"/>
        <v>0.13208</v>
      </c>
      <c r="H27" s="8">
        <f t="shared" si="16"/>
        <v>0.13208</v>
      </c>
      <c r="I27" s="9">
        <f t="shared" si="16"/>
        <v>0.13208</v>
      </c>
      <c r="J27" s="15">
        <f>2.54*0.031</f>
        <v>0.07874</v>
      </c>
      <c r="K27" s="15">
        <f t="shared" si="17"/>
        <v>0.07874</v>
      </c>
      <c r="L27" s="15">
        <f t="shared" si="17"/>
        <v>0.07874</v>
      </c>
      <c r="M27" s="9">
        <f t="shared" si="17"/>
        <v>0.07874</v>
      </c>
      <c r="N27" s="15">
        <f>2.54*0.031</f>
        <v>0.07874</v>
      </c>
      <c r="O27" s="15">
        <f t="shared" si="17"/>
        <v>0.07874</v>
      </c>
      <c r="P27" s="15">
        <f t="shared" si="17"/>
        <v>0.07874</v>
      </c>
      <c r="Q27" s="9">
        <f t="shared" si="17"/>
        <v>0.07874</v>
      </c>
      <c r="R27" s="15">
        <f>2.54*0.031</f>
        <v>0.07874</v>
      </c>
      <c r="S27" s="15">
        <f t="shared" si="17"/>
        <v>0.07874</v>
      </c>
      <c r="T27" s="15">
        <f t="shared" si="17"/>
        <v>0.07874</v>
      </c>
      <c r="U27" s="9">
        <f t="shared" si="17"/>
        <v>0.07874</v>
      </c>
    </row>
    <row r="28" spans="1:21" ht="12.75">
      <c r="A28" s="5" t="s">
        <v>46</v>
      </c>
      <c r="B28" s="1" t="s">
        <v>14</v>
      </c>
      <c r="C28" s="8">
        <f>2.54*0.03</f>
        <v>0.0762</v>
      </c>
      <c r="D28" s="8">
        <f>2.54*0.037</f>
        <v>0.09398</v>
      </c>
      <c r="E28" s="9">
        <f>2.54*0.037</f>
        <v>0.09398</v>
      </c>
      <c r="F28" s="8">
        <f>2.54*0.03</f>
        <v>0.0762</v>
      </c>
      <c r="G28" s="8">
        <f>2.54*0.03</f>
        <v>0.0762</v>
      </c>
      <c r="H28" s="8">
        <f>2.54*0.03</f>
        <v>0.0762</v>
      </c>
      <c r="I28" s="9">
        <f>2.54*0.03</f>
        <v>0.0762</v>
      </c>
      <c r="J28" s="8">
        <f>2.54*0.037</f>
        <v>0.09398</v>
      </c>
      <c r="K28" s="15">
        <f aca="true" t="shared" si="18" ref="K28:U28">2.54*0.037</f>
        <v>0.09398</v>
      </c>
      <c r="L28" s="15">
        <f t="shared" si="18"/>
        <v>0.09398</v>
      </c>
      <c r="M28" s="9">
        <f t="shared" si="18"/>
        <v>0.09398</v>
      </c>
      <c r="N28" s="8">
        <f>2.54*0.037</f>
        <v>0.09398</v>
      </c>
      <c r="O28" s="15">
        <f t="shared" si="18"/>
        <v>0.09398</v>
      </c>
      <c r="P28" s="15">
        <f t="shared" si="18"/>
        <v>0.09398</v>
      </c>
      <c r="Q28" s="9">
        <f t="shared" si="18"/>
        <v>0.09398</v>
      </c>
      <c r="R28" s="8">
        <f>2.54*0.037</f>
        <v>0.09398</v>
      </c>
      <c r="S28" s="15">
        <f t="shared" si="18"/>
        <v>0.09398</v>
      </c>
      <c r="T28" s="15">
        <f t="shared" si="18"/>
        <v>0.09398</v>
      </c>
      <c r="U28" s="9">
        <f t="shared" si="18"/>
        <v>0.09398</v>
      </c>
    </row>
    <row r="29" spans="1:21" ht="12.75">
      <c r="A29" s="5" t="s">
        <v>47</v>
      </c>
      <c r="B29" s="1" t="s">
        <v>14</v>
      </c>
      <c r="C29" s="6">
        <f aca="true" t="shared" si="19" ref="C29:J29">2.54*0.04</f>
        <v>0.10160000000000001</v>
      </c>
      <c r="D29" s="6">
        <f t="shared" si="19"/>
        <v>0.10160000000000001</v>
      </c>
      <c r="E29" s="7">
        <f t="shared" si="19"/>
        <v>0.10160000000000001</v>
      </c>
      <c r="F29" s="6">
        <f t="shared" si="19"/>
        <v>0.10160000000000001</v>
      </c>
      <c r="G29" s="6">
        <f t="shared" si="19"/>
        <v>0.10160000000000001</v>
      </c>
      <c r="H29" s="6">
        <f t="shared" si="19"/>
        <v>0.10160000000000001</v>
      </c>
      <c r="I29" s="7">
        <f t="shared" si="19"/>
        <v>0.10160000000000001</v>
      </c>
      <c r="J29" s="6">
        <f t="shared" si="19"/>
        <v>0.10160000000000001</v>
      </c>
      <c r="K29" s="18">
        <f aca="true" t="shared" si="20" ref="K29:U29">2.54*0.04</f>
        <v>0.10160000000000001</v>
      </c>
      <c r="L29" s="18">
        <f t="shared" si="20"/>
        <v>0.10160000000000001</v>
      </c>
      <c r="M29" s="7">
        <f t="shared" si="20"/>
        <v>0.10160000000000001</v>
      </c>
      <c r="N29" s="6">
        <f>2.54*0.04</f>
        <v>0.10160000000000001</v>
      </c>
      <c r="O29" s="18">
        <f t="shared" si="20"/>
        <v>0.10160000000000001</v>
      </c>
      <c r="P29" s="18">
        <f t="shared" si="20"/>
        <v>0.10160000000000001</v>
      </c>
      <c r="Q29" s="7">
        <f t="shared" si="20"/>
        <v>0.10160000000000001</v>
      </c>
      <c r="R29" s="6">
        <f>2.54*0.04</f>
        <v>0.10160000000000001</v>
      </c>
      <c r="S29" s="18">
        <f t="shared" si="20"/>
        <v>0.10160000000000001</v>
      </c>
      <c r="T29" s="18">
        <f t="shared" si="20"/>
        <v>0.10160000000000001</v>
      </c>
      <c r="U29" s="7">
        <f t="shared" si="20"/>
        <v>0.10160000000000001</v>
      </c>
    </row>
    <row r="30" spans="3:21" ht="12.75">
      <c r="C30" s="6"/>
      <c r="D30" s="6"/>
      <c r="E30" s="7"/>
      <c r="F30" s="6"/>
      <c r="G30" s="6"/>
      <c r="H30" s="6"/>
      <c r="I30" s="7"/>
      <c r="J30" s="6"/>
      <c r="K30" s="18"/>
      <c r="L30" s="18"/>
      <c r="M30" s="7"/>
      <c r="N30" s="6"/>
      <c r="O30" s="18"/>
      <c r="P30" s="18"/>
      <c r="Q30" s="7"/>
      <c r="R30" s="6"/>
      <c r="S30" s="18"/>
      <c r="T30" s="18"/>
      <c r="U30" s="7"/>
    </row>
    <row r="31" spans="1:21" ht="12.75">
      <c r="A31" s="5" t="s">
        <v>74</v>
      </c>
      <c r="B31" s="1" t="s">
        <v>14</v>
      </c>
      <c r="C31" s="6">
        <f aca="true" t="shared" si="21" ref="C31:U31">2*C28+2*C22*C26</f>
        <v>2.00152</v>
      </c>
      <c r="D31" s="6">
        <f t="shared" si="21"/>
        <v>1.4478</v>
      </c>
      <c r="E31" s="7">
        <f t="shared" si="21"/>
        <v>1.60528</v>
      </c>
      <c r="F31" s="6">
        <f t="shared" si="21"/>
        <v>1.4732</v>
      </c>
      <c r="G31" s="6">
        <f t="shared" si="21"/>
        <v>1.7373600000000002</v>
      </c>
      <c r="H31" s="6">
        <f t="shared" si="21"/>
        <v>2.00152</v>
      </c>
      <c r="I31" s="7">
        <f t="shared" si="21"/>
        <v>2.26568</v>
      </c>
      <c r="J31" s="6">
        <f t="shared" si="21"/>
        <v>0.9753600000000001</v>
      </c>
      <c r="K31" s="18">
        <f t="shared" si="21"/>
        <v>1.13284</v>
      </c>
      <c r="L31" s="18">
        <f t="shared" si="21"/>
        <v>1.29032</v>
      </c>
      <c r="M31" s="7">
        <f t="shared" si="21"/>
        <v>1.4478</v>
      </c>
      <c r="N31" s="6">
        <f t="shared" si="21"/>
        <v>1.29032</v>
      </c>
      <c r="O31" s="18">
        <f t="shared" si="21"/>
        <v>1.4478</v>
      </c>
      <c r="P31" s="18">
        <f t="shared" si="21"/>
        <v>1.60528</v>
      </c>
      <c r="Q31" s="7">
        <f t="shared" si="21"/>
        <v>1.76276</v>
      </c>
      <c r="R31" s="6">
        <f t="shared" si="21"/>
        <v>1.4478</v>
      </c>
      <c r="S31" s="18">
        <f t="shared" si="21"/>
        <v>1.60528</v>
      </c>
      <c r="T31" s="18">
        <f t="shared" si="21"/>
        <v>1.76276</v>
      </c>
      <c r="U31" s="7">
        <f t="shared" si="21"/>
        <v>1.92024</v>
      </c>
    </row>
    <row r="32" spans="1:21" ht="12.75">
      <c r="A32" s="5" t="s">
        <v>75</v>
      </c>
      <c r="B32" s="1" t="s">
        <v>14</v>
      </c>
      <c r="C32" s="6">
        <f aca="true" t="shared" si="22" ref="C32:U32">2*C28+2*C23*C27</f>
        <v>0.68072</v>
      </c>
      <c r="D32" s="6">
        <f t="shared" si="22"/>
        <v>0.6604</v>
      </c>
      <c r="E32" s="7">
        <f t="shared" si="22"/>
        <v>0.81788</v>
      </c>
      <c r="F32" s="6">
        <f t="shared" si="22"/>
        <v>0.68072</v>
      </c>
      <c r="G32" s="6">
        <f t="shared" si="22"/>
        <v>0.68072</v>
      </c>
      <c r="H32" s="6">
        <f t="shared" si="22"/>
        <v>0.68072</v>
      </c>
      <c r="I32" s="7">
        <f t="shared" si="22"/>
        <v>0.68072</v>
      </c>
      <c r="J32" s="6">
        <f t="shared" si="22"/>
        <v>0.50292</v>
      </c>
      <c r="K32" s="18">
        <f t="shared" si="22"/>
        <v>0.50292</v>
      </c>
      <c r="L32" s="18">
        <f t="shared" si="22"/>
        <v>0.50292</v>
      </c>
      <c r="M32" s="7">
        <f t="shared" si="22"/>
        <v>0.50292</v>
      </c>
      <c r="N32" s="6">
        <f t="shared" si="22"/>
        <v>0.6604</v>
      </c>
      <c r="O32" s="18">
        <f t="shared" si="22"/>
        <v>0.6604</v>
      </c>
      <c r="P32" s="18">
        <f t="shared" si="22"/>
        <v>0.6604</v>
      </c>
      <c r="Q32" s="7">
        <f t="shared" si="22"/>
        <v>0.6604</v>
      </c>
      <c r="R32" s="6">
        <f t="shared" si="22"/>
        <v>0.81788</v>
      </c>
      <c r="S32" s="18">
        <f t="shared" si="22"/>
        <v>0.81788</v>
      </c>
      <c r="T32" s="18">
        <f t="shared" si="22"/>
        <v>0.81788</v>
      </c>
      <c r="U32" s="7">
        <f t="shared" si="22"/>
        <v>0.81788</v>
      </c>
    </row>
    <row r="33" spans="3:21" ht="12.75">
      <c r="C33" s="6"/>
      <c r="D33" s="6"/>
      <c r="E33" s="7"/>
      <c r="F33" s="6"/>
      <c r="G33" s="6"/>
      <c r="H33" s="6"/>
      <c r="I33" s="7"/>
      <c r="J33" s="6"/>
      <c r="K33" s="18"/>
      <c r="L33" s="18"/>
      <c r="M33" s="7"/>
      <c r="N33" s="6"/>
      <c r="O33" s="18"/>
      <c r="P33" s="18"/>
      <c r="Q33" s="7"/>
      <c r="R33" s="6"/>
      <c r="S33" s="18"/>
      <c r="T33" s="18"/>
      <c r="U33" s="7"/>
    </row>
    <row r="34" spans="1:21" ht="12.75">
      <c r="A34" s="27" t="s">
        <v>44</v>
      </c>
      <c r="B34" s="1" t="s">
        <v>14</v>
      </c>
      <c r="C34" s="6">
        <f>C4-C22*(C18+C19)-C31-2*C29</f>
        <v>-0.0479933000000001</v>
      </c>
      <c r="D34" s="20">
        <f aca="true" t="shared" si="23" ref="D34:U34">D4-D22*(D18+D19)-D31-2*D29</f>
        <v>0.8206957714285712</v>
      </c>
      <c r="E34" s="22">
        <f t="shared" si="23"/>
        <v>0.9579908268571427</v>
      </c>
      <c r="F34" s="6">
        <f t="shared" si="23"/>
        <v>9.159339953157541E-16</v>
      </c>
      <c r="G34" s="6">
        <f t="shared" si="23"/>
        <v>1.1379786002407855E-15</v>
      </c>
      <c r="H34" s="6">
        <f t="shared" si="23"/>
        <v>0</v>
      </c>
      <c r="I34" s="7">
        <f t="shared" si="23"/>
        <v>2.498001805406602E-16</v>
      </c>
      <c r="J34" s="6">
        <f>J4-J22*(J18+J19)-J31-2*J29</f>
        <v>2.581268532253489E-15</v>
      </c>
      <c r="K34" s="6">
        <f>K4-K22*(K18+K19)-K31-2*K29</f>
        <v>2.248201624865942E-15</v>
      </c>
      <c r="L34" s="6">
        <f>L4-L22*(L18+L19)-L31-2*L29</f>
        <v>2.0261570199409107E-15</v>
      </c>
      <c r="M34" s="7">
        <f>M4-M22*(M18+M19)-M31-2*M29</f>
        <v>1.582067810090848E-15</v>
      </c>
      <c r="N34" s="6">
        <f>N4-N22*(N18+N19)-N31-2*N29</f>
        <v>2.0261570199409107E-15</v>
      </c>
      <c r="O34" s="6">
        <f t="shared" si="23"/>
        <v>1.582067810090848E-15</v>
      </c>
      <c r="P34" s="6">
        <f t="shared" si="23"/>
        <v>1.1379786002407855E-15</v>
      </c>
      <c r="Q34" s="7">
        <f t="shared" si="23"/>
        <v>2.4702462297909733E-15</v>
      </c>
      <c r="R34" s="6">
        <f t="shared" si="23"/>
        <v>1.582067810090848E-15</v>
      </c>
      <c r="S34" s="6">
        <f t="shared" si="23"/>
        <v>1.1379786002407855E-15</v>
      </c>
      <c r="T34" s="6">
        <f t="shared" si="23"/>
        <v>2.4702462297909733E-15</v>
      </c>
      <c r="U34" s="7">
        <f t="shared" si="23"/>
        <v>4.718447854656915E-16</v>
      </c>
    </row>
    <row r="35" spans="1:21" ht="12.75">
      <c r="A35" s="27" t="s">
        <v>45</v>
      </c>
      <c r="B35" s="1" t="s">
        <v>14</v>
      </c>
      <c r="C35" s="6">
        <f aca="true" t="shared" si="24" ref="C35:U35">C5-C23*C17-C32-2*C29</f>
        <v>-0.0076200000000008206</v>
      </c>
      <c r="D35" s="6">
        <f t="shared" si="24"/>
        <v>-9.71445146547012E-16</v>
      </c>
      <c r="E35" s="7">
        <f t="shared" si="24"/>
        <v>-0.0076200000000007095</v>
      </c>
      <c r="F35" s="6">
        <f t="shared" si="24"/>
        <v>0</v>
      </c>
      <c r="G35" s="6">
        <f t="shared" si="24"/>
        <v>0</v>
      </c>
      <c r="H35" s="6">
        <f t="shared" si="24"/>
        <v>0</v>
      </c>
      <c r="I35" s="7">
        <f t="shared" si="24"/>
        <v>0</v>
      </c>
      <c r="J35" s="6">
        <f t="shared" si="24"/>
        <v>0</v>
      </c>
      <c r="K35" s="18">
        <f t="shared" si="24"/>
        <v>0</v>
      </c>
      <c r="L35" s="18">
        <f t="shared" si="24"/>
        <v>0</v>
      </c>
      <c r="M35" s="7">
        <f t="shared" si="24"/>
        <v>0</v>
      </c>
      <c r="N35" s="6">
        <f t="shared" si="24"/>
        <v>0</v>
      </c>
      <c r="O35" s="18">
        <f t="shared" si="24"/>
        <v>0</v>
      </c>
      <c r="P35" s="18">
        <f t="shared" si="24"/>
        <v>0</v>
      </c>
      <c r="Q35" s="7">
        <f t="shared" si="24"/>
        <v>0</v>
      </c>
      <c r="R35" s="6">
        <f t="shared" si="24"/>
        <v>-5.273559366969494E-16</v>
      </c>
      <c r="S35" s="18">
        <f t="shared" si="24"/>
        <v>-5.273559366969494E-16</v>
      </c>
      <c r="T35" s="18">
        <f t="shared" si="24"/>
        <v>-5.273559366969494E-16</v>
      </c>
      <c r="U35" s="7">
        <f t="shared" si="24"/>
        <v>-5.273559366969494E-16</v>
      </c>
    </row>
    <row r="36" spans="3:21" ht="12.75">
      <c r="C36" s="6"/>
      <c r="D36" s="18"/>
      <c r="E36" s="7"/>
      <c r="F36" s="18"/>
      <c r="G36" s="6"/>
      <c r="H36" s="6"/>
      <c r="I36" s="7"/>
      <c r="J36" s="18"/>
      <c r="K36" s="18"/>
      <c r="L36" s="18"/>
      <c r="M36" s="7"/>
      <c r="N36" s="18"/>
      <c r="O36" s="18"/>
      <c r="P36" s="18"/>
      <c r="Q36" s="7"/>
      <c r="R36" s="18"/>
      <c r="S36" s="18"/>
      <c r="T36" s="18"/>
      <c r="U36" s="7"/>
    </row>
    <row r="37" spans="3:21" ht="12.75">
      <c r="C37" s="6"/>
      <c r="D37" s="18"/>
      <c r="E37" s="7"/>
      <c r="F37" s="18"/>
      <c r="G37" s="6"/>
      <c r="H37" s="6"/>
      <c r="I37" s="7"/>
      <c r="J37" s="18"/>
      <c r="K37" s="18"/>
      <c r="L37" s="18"/>
      <c r="M37" s="7"/>
      <c r="N37" s="18"/>
      <c r="O37" s="18"/>
      <c r="P37" s="18"/>
      <c r="Q37" s="7"/>
      <c r="R37" s="18"/>
      <c r="S37" s="18"/>
      <c r="T37" s="18"/>
      <c r="U37" s="7"/>
    </row>
    <row r="38" spans="1:21" ht="12.75">
      <c r="A38"/>
      <c r="C38" s="6"/>
      <c r="D38" s="18"/>
      <c r="E38" s="7"/>
      <c r="F38" s="18"/>
      <c r="G38" s="6"/>
      <c r="H38" s="6"/>
      <c r="I38" s="7"/>
      <c r="J38" s="18"/>
      <c r="K38" s="18"/>
      <c r="L38" s="18"/>
      <c r="M38" s="7"/>
      <c r="N38" s="18"/>
      <c r="O38" s="18"/>
      <c r="P38" s="18"/>
      <c r="Q38" s="7"/>
      <c r="R38" s="18"/>
      <c r="S38" s="18"/>
      <c r="T38" s="18"/>
      <c r="U38" s="7"/>
    </row>
    <row r="39" spans="1:21" ht="12.75">
      <c r="A39"/>
      <c r="C39" s="6"/>
      <c r="D39" s="18"/>
      <c r="E39" s="7"/>
      <c r="F39" s="18"/>
      <c r="G39" s="6"/>
      <c r="H39" s="6"/>
      <c r="I39" s="7"/>
      <c r="J39" s="18"/>
      <c r="K39" s="18"/>
      <c r="L39" s="18"/>
      <c r="M39" s="7"/>
      <c r="N39" s="18"/>
      <c r="O39" s="18"/>
      <c r="P39" s="18"/>
      <c r="Q39" s="7"/>
      <c r="R39" s="18"/>
      <c r="S39" s="18"/>
      <c r="T39" s="18"/>
      <c r="U39" s="7"/>
    </row>
    <row r="40" spans="1:21" ht="12.75">
      <c r="A40"/>
      <c r="C40" s="6"/>
      <c r="D40" s="18"/>
      <c r="E40" s="7"/>
      <c r="F40" s="18"/>
      <c r="G40" s="6"/>
      <c r="H40" s="6"/>
      <c r="I40" s="7"/>
      <c r="J40" s="18"/>
      <c r="K40" s="18"/>
      <c r="L40" s="18"/>
      <c r="M40" s="7"/>
      <c r="N40" s="18"/>
      <c r="O40" s="18"/>
      <c r="P40" s="18"/>
      <c r="Q40" s="7"/>
      <c r="R40" s="18"/>
      <c r="S40" s="18"/>
      <c r="T40" s="18"/>
      <c r="U40" s="7"/>
    </row>
    <row r="41" spans="1:21" ht="12.75">
      <c r="A41"/>
      <c r="C41" s="6"/>
      <c r="D41" s="18"/>
      <c r="E41" s="7"/>
      <c r="F41" s="18"/>
      <c r="G41" s="6"/>
      <c r="H41" s="6"/>
      <c r="I41" s="7"/>
      <c r="J41" s="18"/>
      <c r="K41" s="18"/>
      <c r="L41" s="18"/>
      <c r="M41" s="7"/>
      <c r="N41" s="18"/>
      <c r="O41" s="18"/>
      <c r="P41" s="18"/>
      <c r="Q41" s="7"/>
      <c r="R41" s="18"/>
      <c r="S41" s="18"/>
      <c r="T41" s="18"/>
      <c r="U41" s="7"/>
    </row>
    <row r="42" spans="1:21" ht="12.75">
      <c r="A42"/>
      <c r="C42" s="6"/>
      <c r="D42" s="18"/>
      <c r="E42" s="7"/>
      <c r="F42" s="18"/>
      <c r="G42" s="6"/>
      <c r="H42" s="6"/>
      <c r="I42" s="7"/>
      <c r="J42" s="18"/>
      <c r="K42" s="18"/>
      <c r="L42" s="18"/>
      <c r="M42" s="7"/>
      <c r="N42" s="18"/>
      <c r="O42" s="18"/>
      <c r="P42" s="18"/>
      <c r="Q42" s="7"/>
      <c r="R42" s="18"/>
      <c r="S42" s="18"/>
      <c r="T42" s="18"/>
      <c r="U42" s="7"/>
    </row>
    <row r="43" spans="1:21" ht="12.75">
      <c r="A43"/>
      <c r="C43" s="6"/>
      <c r="D43" s="18"/>
      <c r="E43" s="7"/>
      <c r="F43" s="18"/>
      <c r="G43" s="6"/>
      <c r="H43" s="6"/>
      <c r="I43" s="7"/>
      <c r="J43" s="18"/>
      <c r="K43" s="18"/>
      <c r="L43" s="18"/>
      <c r="M43" s="7"/>
      <c r="N43" s="18"/>
      <c r="O43" s="18"/>
      <c r="P43" s="18"/>
      <c r="Q43" s="7"/>
      <c r="R43" s="18"/>
      <c r="S43" s="18"/>
      <c r="T43" s="18"/>
      <c r="U43" s="7"/>
    </row>
    <row r="44" spans="1:21" ht="12.75">
      <c r="A44"/>
      <c r="C44" s="6"/>
      <c r="D44" s="18"/>
      <c r="E44" s="7"/>
      <c r="F44" s="18"/>
      <c r="G44" s="6"/>
      <c r="H44" s="6"/>
      <c r="I44" s="7"/>
      <c r="J44" s="18"/>
      <c r="K44" s="18"/>
      <c r="L44" s="18"/>
      <c r="M44" s="7"/>
      <c r="N44" s="18"/>
      <c r="O44" s="18"/>
      <c r="P44" s="18"/>
      <c r="Q44" s="7"/>
      <c r="R44" s="18"/>
      <c r="S44" s="18"/>
      <c r="T44" s="18"/>
      <c r="U44" s="7"/>
    </row>
    <row r="45" spans="1:21" ht="12.75">
      <c r="A45"/>
      <c r="C45" s="6"/>
      <c r="D45" s="18"/>
      <c r="E45" s="7"/>
      <c r="F45" s="18"/>
      <c r="G45" s="6"/>
      <c r="H45" s="6"/>
      <c r="I45" s="7"/>
      <c r="J45" s="18"/>
      <c r="K45" s="18"/>
      <c r="L45" s="18"/>
      <c r="M45" s="7"/>
      <c r="N45" s="18"/>
      <c r="O45" s="18"/>
      <c r="P45" s="18"/>
      <c r="Q45" s="7"/>
      <c r="R45" s="18"/>
      <c r="S45" s="18"/>
      <c r="T45" s="18"/>
      <c r="U45" s="7"/>
    </row>
    <row r="46" spans="1:21" ht="12.75">
      <c r="A46"/>
      <c r="C46" s="6"/>
      <c r="D46" s="18"/>
      <c r="E46" s="7"/>
      <c r="F46" s="18"/>
      <c r="G46" s="6"/>
      <c r="H46" s="6"/>
      <c r="I46" s="7"/>
      <c r="J46" s="18"/>
      <c r="K46" s="18"/>
      <c r="L46" s="18"/>
      <c r="M46" s="7"/>
      <c r="N46" s="18"/>
      <c r="O46" s="18"/>
      <c r="P46" s="18"/>
      <c r="Q46" s="7"/>
      <c r="R46" s="18"/>
      <c r="S46" s="18"/>
      <c r="T46" s="18"/>
      <c r="U46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C8" sqref="C8"/>
    </sheetView>
  </sheetViews>
  <sheetFormatPr defaultColWidth="9.140625" defaultRowHeight="12.75"/>
  <cols>
    <col min="1" max="1" width="20.421875" style="4" bestFit="1" customWidth="1"/>
    <col min="2" max="2" width="4.57421875" style="1" customWidth="1"/>
    <col min="3" max="3" width="17.57421875" style="0" customWidth="1"/>
  </cols>
  <sheetData>
    <row r="1" spans="1:3" ht="13.5" thickBot="1">
      <c r="A1" s="3"/>
      <c r="B1" s="2"/>
      <c r="C1" s="17" t="s">
        <v>70</v>
      </c>
    </row>
    <row r="2" ht="12.75">
      <c r="C2" s="6"/>
    </row>
    <row r="3" spans="1:3" ht="12.75">
      <c r="A3" s="4" t="s">
        <v>0</v>
      </c>
      <c r="C3" s="6"/>
    </row>
    <row r="4" spans="1:3" ht="12.75">
      <c r="A4" s="4" t="s">
        <v>1</v>
      </c>
      <c r="B4" s="1" t="s">
        <v>15</v>
      </c>
      <c r="C4" s="15">
        <v>17.8</v>
      </c>
    </row>
    <row r="5" spans="1:3" ht="12.75">
      <c r="A5" s="4" t="s">
        <v>2</v>
      </c>
      <c r="B5" s="1" t="s">
        <v>14</v>
      </c>
      <c r="C5" s="15">
        <v>12.4</v>
      </c>
    </row>
    <row r="6" spans="1:3" ht="12.75">
      <c r="A6" s="4" t="s">
        <v>3</v>
      </c>
      <c r="B6" s="1" t="s">
        <v>13</v>
      </c>
      <c r="C6" s="8">
        <f>C4*C5</f>
        <v>220.72000000000003</v>
      </c>
    </row>
    <row r="7" spans="1:3" ht="12.75">
      <c r="A7" s="5" t="s">
        <v>43</v>
      </c>
      <c r="B7" s="1" t="s">
        <v>13</v>
      </c>
      <c r="C7" s="8">
        <f>C20*C21*C22*C23*C16*C17</f>
        <v>184.0896</v>
      </c>
    </row>
    <row r="8" spans="1:5" ht="12.75">
      <c r="A8" s="5" t="s">
        <v>48</v>
      </c>
      <c r="B8" s="1" t="s">
        <v>13</v>
      </c>
      <c r="C8" s="8">
        <f>C20*C21*3*3.141592654*0.15^2</f>
        <v>3.39292006632</v>
      </c>
      <c r="E8" t="s">
        <v>73</v>
      </c>
    </row>
    <row r="9" spans="1:3" ht="12.75">
      <c r="A9" s="5" t="s">
        <v>49</v>
      </c>
      <c r="B9" s="1" t="s">
        <v>13</v>
      </c>
      <c r="C9" s="8">
        <f>C6-C7-C8</f>
        <v>33.237479933680035</v>
      </c>
    </row>
    <row r="10" spans="1:6" ht="12.75">
      <c r="A10" s="4" t="s">
        <v>4</v>
      </c>
      <c r="B10" s="1" t="s">
        <v>13</v>
      </c>
      <c r="C10" s="8">
        <v>146.4</v>
      </c>
      <c r="E10">
        <f>C10/C7</f>
        <v>0.795264914476429</v>
      </c>
      <c r="F10" t="s">
        <v>76</v>
      </c>
    </row>
    <row r="11" spans="1:3" ht="12.75">
      <c r="A11" s="4" t="s">
        <v>6</v>
      </c>
      <c r="C11" s="10">
        <f>C10/C6</f>
        <v>0.6632837984777092</v>
      </c>
    </row>
    <row r="12" spans="1:3" ht="12.75">
      <c r="A12" s="5" t="s">
        <v>62</v>
      </c>
      <c r="B12" s="1" t="s">
        <v>13</v>
      </c>
      <c r="C12" s="25">
        <f>C6-C8-C9-C10</f>
        <v>37.68960000000001</v>
      </c>
    </row>
    <row r="13" ht="12.75">
      <c r="C13" s="8"/>
    </row>
    <row r="14" spans="1:3" ht="12.75">
      <c r="A14" s="5" t="s">
        <v>56</v>
      </c>
      <c r="B14" s="1" t="s">
        <v>14</v>
      </c>
      <c r="C14" s="8">
        <v>8</v>
      </c>
    </row>
    <row r="15" spans="1:3" ht="12.75">
      <c r="A15" s="5"/>
      <c r="C15" s="8"/>
    </row>
    <row r="16" spans="1:3" ht="12.75">
      <c r="A16" s="4" t="s">
        <v>10</v>
      </c>
      <c r="B16" s="1" t="s">
        <v>14</v>
      </c>
      <c r="C16" s="8">
        <v>0.94</v>
      </c>
    </row>
    <row r="17" spans="1:3" ht="12.75">
      <c r="A17" s="4" t="s">
        <v>11</v>
      </c>
      <c r="B17" s="1" t="s">
        <v>14</v>
      </c>
      <c r="C17" s="8">
        <v>1.02</v>
      </c>
    </row>
    <row r="18" spans="1:3" ht="12.75">
      <c r="A18" s="5" t="s">
        <v>53</v>
      </c>
      <c r="C18" s="8">
        <f>MAX(C16/C17,C17/C16)</f>
        <v>1.0851063829787235</v>
      </c>
    </row>
    <row r="19" spans="1:3" ht="12.75">
      <c r="A19" s="5"/>
      <c r="C19" s="8"/>
    </row>
    <row r="20" spans="1:3" ht="12.75">
      <c r="A20" s="5" t="s">
        <v>40</v>
      </c>
      <c r="C20" s="6">
        <v>8</v>
      </c>
    </row>
    <row r="21" spans="1:3" ht="12.75">
      <c r="A21" s="5" t="s">
        <v>41</v>
      </c>
      <c r="C21" s="6">
        <v>2</v>
      </c>
    </row>
    <row r="22" spans="1:3" ht="12.75">
      <c r="A22" s="5" t="s">
        <v>71</v>
      </c>
      <c r="C22" s="6">
        <v>2</v>
      </c>
    </row>
    <row r="23" spans="1:3" ht="12.75">
      <c r="A23" s="5" t="s">
        <v>72</v>
      </c>
      <c r="C23" s="20">
        <v>6</v>
      </c>
    </row>
    <row r="24" spans="1:3" ht="12.75">
      <c r="A24" s="5" t="s">
        <v>42</v>
      </c>
      <c r="C24" s="6">
        <f>C20*C21</f>
        <v>16</v>
      </c>
    </row>
    <row r="25" ht="12.75">
      <c r="C25" s="6"/>
    </row>
    <row r="26" spans="1:3" ht="12.75">
      <c r="A26" s="5" t="s">
        <v>19</v>
      </c>
      <c r="B26" s="1" t="s">
        <v>14</v>
      </c>
      <c r="C26" s="8">
        <v>0.133</v>
      </c>
    </row>
    <row r="27" spans="1:3" ht="12.75">
      <c r="A27" s="5" t="s">
        <v>20</v>
      </c>
      <c r="B27" s="1" t="s">
        <v>14</v>
      </c>
      <c r="C27" s="8">
        <v>0.01</v>
      </c>
    </row>
    <row r="28" spans="1:3" ht="12.75">
      <c r="A28" s="5" t="s">
        <v>46</v>
      </c>
      <c r="B28" s="1" t="s">
        <v>14</v>
      </c>
      <c r="C28" s="8">
        <v>0.133</v>
      </c>
    </row>
    <row r="29" spans="1:3" ht="12.75">
      <c r="A29" s="5" t="s">
        <v>47</v>
      </c>
      <c r="B29" s="1" t="s">
        <v>14</v>
      </c>
      <c r="C29" s="6">
        <v>0</v>
      </c>
    </row>
    <row r="30" ht="12.75">
      <c r="C30" s="6"/>
    </row>
    <row r="31" spans="1:3" ht="12.75">
      <c r="A31" s="5" t="s">
        <v>74</v>
      </c>
      <c r="B31" s="1" t="s">
        <v>14</v>
      </c>
      <c r="C31" s="6">
        <f>2*C28+(C20-1)*C26+C20*C22*C27</f>
        <v>1.357</v>
      </c>
    </row>
    <row r="32" spans="1:3" ht="12.75">
      <c r="A32" s="5" t="s">
        <v>75</v>
      </c>
      <c r="B32" s="1" t="s">
        <v>14</v>
      </c>
      <c r="C32" s="6">
        <f>2*C28+(C21-1)*C26+C21*C23*C27</f>
        <v>0.519</v>
      </c>
    </row>
    <row r="33" ht="12.75">
      <c r="C33" s="6"/>
    </row>
    <row r="34" spans="1:3" ht="12.75">
      <c r="A34" s="5" t="s">
        <v>44</v>
      </c>
      <c r="B34" s="1" t="s">
        <v>14</v>
      </c>
      <c r="C34" s="6">
        <f>C4-C20*C17*C22-C31-2*C29</f>
        <v>0.12300000000000044</v>
      </c>
    </row>
    <row r="35" spans="1:3" ht="12.75">
      <c r="A35" s="5" t="s">
        <v>45</v>
      </c>
      <c r="B35" s="1" t="s">
        <v>14</v>
      </c>
      <c r="C35" s="6">
        <f>C5-C21*C16*C23-C32-2*C29</f>
        <v>0.601000000000001</v>
      </c>
    </row>
    <row r="36" ht="12.75">
      <c r="C36" s="6"/>
    </row>
    <row r="37" ht="12.75">
      <c r="C37" s="6"/>
    </row>
    <row r="38" spans="1:3" ht="12.75">
      <c r="A38"/>
      <c r="C38" s="6"/>
    </row>
    <row r="39" spans="1:3" ht="12.75">
      <c r="A39"/>
      <c r="C39" s="6"/>
    </row>
    <row r="40" spans="1:3" ht="12.75">
      <c r="A40"/>
      <c r="C40" s="6"/>
    </row>
    <row r="41" spans="1:3" ht="12.75">
      <c r="A41"/>
      <c r="C41" s="6"/>
    </row>
    <row r="42" spans="1:3" ht="12.75">
      <c r="A42"/>
      <c r="C42" s="6"/>
    </row>
    <row r="43" spans="1:3" ht="12.75">
      <c r="A43"/>
      <c r="C43" s="6"/>
    </row>
    <row r="44" spans="1:3" ht="12.75">
      <c r="A44"/>
      <c r="C44" s="6"/>
    </row>
    <row r="45" spans="1:3" ht="12.75">
      <c r="A45"/>
      <c r="C45" s="6"/>
    </row>
    <row r="46" spans="1:3" ht="12.75">
      <c r="A46"/>
      <c r="C46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2" sqref="A2:A36"/>
    </sheetView>
  </sheetViews>
  <sheetFormatPr defaultColWidth="9.140625" defaultRowHeight="12.75"/>
  <cols>
    <col min="1" max="1" width="20.421875" style="4" bestFit="1" customWidth="1"/>
    <col min="2" max="2" width="4.57421875" style="1" customWidth="1"/>
    <col min="3" max="3" width="19.140625" style="4" customWidth="1"/>
    <col min="4" max="5" width="8.57421875" style="4" customWidth="1"/>
    <col min="6" max="6" width="8.57421875" style="1" customWidth="1"/>
    <col min="7" max="7" width="19.140625" style="4" customWidth="1"/>
    <col min="8" max="9" width="8.57421875" style="4" customWidth="1"/>
    <col min="10" max="10" width="8.421875" style="1" customWidth="1"/>
    <col min="11" max="11" width="19.140625" style="4" customWidth="1"/>
    <col min="12" max="13" width="8.57421875" style="4" customWidth="1"/>
    <col min="14" max="14" width="8.57421875" style="1" customWidth="1"/>
  </cols>
  <sheetData>
    <row r="1" spans="2:14" s="3" customFormat="1" ht="29.25" customHeight="1" thickBot="1">
      <c r="B1" s="2"/>
      <c r="C1" s="23" t="s">
        <v>88</v>
      </c>
      <c r="F1" s="2"/>
      <c r="G1" s="23" t="s">
        <v>89</v>
      </c>
      <c r="J1" s="2"/>
      <c r="K1" s="23" t="s">
        <v>90</v>
      </c>
      <c r="N1" s="2"/>
    </row>
    <row r="2" spans="3:14" ht="12.75">
      <c r="C2" s="18"/>
      <c r="D2" s="18"/>
      <c r="E2" s="18"/>
      <c r="F2" s="7"/>
      <c r="G2" s="18"/>
      <c r="H2" s="18"/>
      <c r="I2" s="18"/>
      <c r="J2" s="7"/>
      <c r="K2" s="18"/>
      <c r="L2" s="18"/>
      <c r="M2" s="18"/>
      <c r="N2" s="7"/>
    </row>
    <row r="3" spans="1:14" ht="12.75">
      <c r="A3" s="4" t="s">
        <v>0</v>
      </c>
      <c r="C3" s="18" t="s">
        <v>39</v>
      </c>
      <c r="D3" s="18" t="s">
        <v>39</v>
      </c>
      <c r="E3" s="18" t="s">
        <v>39</v>
      </c>
      <c r="F3" s="7" t="s">
        <v>39</v>
      </c>
      <c r="G3" s="18" t="s">
        <v>39</v>
      </c>
      <c r="H3" s="18" t="s">
        <v>39</v>
      </c>
      <c r="I3" s="18" t="s">
        <v>39</v>
      </c>
      <c r="J3" s="7" t="s">
        <v>39</v>
      </c>
      <c r="K3" s="18" t="s">
        <v>39</v>
      </c>
      <c r="L3" s="18" t="s">
        <v>39</v>
      </c>
      <c r="M3" s="18" t="s">
        <v>39</v>
      </c>
      <c r="N3" s="7" t="s">
        <v>39</v>
      </c>
    </row>
    <row r="4" spans="1:14" ht="12.75">
      <c r="A4" s="4" t="s">
        <v>1</v>
      </c>
      <c r="B4" s="1" t="s">
        <v>15</v>
      </c>
      <c r="C4" s="15">
        <f aca="true" t="shared" si="0" ref="C4:N4">2.54*(4.671)</f>
        <v>11.86434</v>
      </c>
      <c r="D4" s="15">
        <f t="shared" si="0"/>
        <v>11.86434</v>
      </c>
      <c r="E4" s="15">
        <f t="shared" si="0"/>
        <v>11.86434</v>
      </c>
      <c r="F4" s="9">
        <f t="shared" si="0"/>
        <v>11.86434</v>
      </c>
      <c r="G4" s="15">
        <f t="shared" si="0"/>
        <v>11.86434</v>
      </c>
      <c r="H4" s="15">
        <f t="shared" si="0"/>
        <v>11.86434</v>
      </c>
      <c r="I4" s="15">
        <f t="shared" si="0"/>
        <v>11.86434</v>
      </c>
      <c r="J4" s="9">
        <f t="shared" si="0"/>
        <v>11.86434</v>
      </c>
      <c r="K4" s="15">
        <f t="shared" si="0"/>
        <v>11.86434</v>
      </c>
      <c r="L4" s="15">
        <f t="shared" si="0"/>
        <v>11.86434</v>
      </c>
      <c r="M4" s="15">
        <f t="shared" si="0"/>
        <v>11.86434</v>
      </c>
      <c r="N4" s="9">
        <f t="shared" si="0"/>
        <v>11.86434</v>
      </c>
    </row>
    <row r="5" spans="1:14" ht="12.75">
      <c r="A5" s="4" t="s">
        <v>2</v>
      </c>
      <c r="B5" s="1" t="s">
        <v>14</v>
      </c>
      <c r="C5" s="15">
        <f aca="true" t="shared" si="1" ref="C5:N5">2.54*(4.1-0.75)/2</f>
        <v>4.254499999999999</v>
      </c>
      <c r="D5" s="15">
        <f t="shared" si="1"/>
        <v>4.254499999999999</v>
      </c>
      <c r="E5" s="15">
        <f t="shared" si="1"/>
        <v>4.254499999999999</v>
      </c>
      <c r="F5" s="9">
        <f t="shared" si="1"/>
        <v>4.254499999999999</v>
      </c>
      <c r="G5" s="15">
        <f t="shared" si="1"/>
        <v>4.254499999999999</v>
      </c>
      <c r="H5" s="15">
        <f t="shared" si="1"/>
        <v>4.254499999999999</v>
      </c>
      <c r="I5" s="15">
        <f t="shared" si="1"/>
        <v>4.254499999999999</v>
      </c>
      <c r="J5" s="9">
        <f t="shared" si="1"/>
        <v>4.254499999999999</v>
      </c>
      <c r="K5" s="15">
        <f t="shared" si="1"/>
        <v>4.254499999999999</v>
      </c>
      <c r="L5" s="15">
        <f t="shared" si="1"/>
        <v>4.254499999999999</v>
      </c>
      <c r="M5" s="15">
        <f t="shared" si="1"/>
        <v>4.254499999999999</v>
      </c>
      <c r="N5" s="9">
        <f t="shared" si="1"/>
        <v>4.254499999999999</v>
      </c>
    </row>
    <row r="6" spans="1:14" ht="12.75">
      <c r="A6" s="4" t="s">
        <v>3</v>
      </c>
      <c r="B6" s="1" t="s">
        <v>13</v>
      </c>
      <c r="C6" s="8">
        <f>C4*C5</f>
        <v>50.47683452999999</v>
      </c>
      <c r="D6" s="8">
        <f>D4*D5</f>
        <v>50.47683452999999</v>
      </c>
      <c r="E6" s="8">
        <f>E4*E5</f>
        <v>50.47683452999999</v>
      </c>
      <c r="F6" s="9">
        <f>F4*F5</f>
        <v>50.47683452999999</v>
      </c>
      <c r="G6" s="8">
        <f>G4*G5</f>
        <v>50.47683452999999</v>
      </c>
      <c r="H6" s="8">
        <f aca="true" t="shared" si="2" ref="H6:N6">H4*H5</f>
        <v>50.47683452999999</v>
      </c>
      <c r="I6" s="8">
        <f t="shared" si="2"/>
        <v>50.47683452999999</v>
      </c>
      <c r="J6" s="9">
        <f t="shared" si="2"/>
        <v>50.47683452999999</v>
      </c>
      <c r="K6" s="8">
        <f t="shared" si="2"/>
        <v>50.47683452999999</v>
      </c>
      <c r="L6" s="8">
        <f t="shared" si="2"/>
        <v>50.47683452999999</v>
      </c>
      <c r="M6" s="8">
        <f t="shared" si="2"/>
        <v>50.47683452999999</v>
      </c>
      <c r="N6" s="9">
        <f t="shared" si="2"/>
        <v>50.47683452999999</v>
      </c>
    </row>
    <row r="7" spans="1:14" ht="12.75">
      <c r="A7" s="5" t="s">
        <v>61</v>
      </c>
      <c r="B7" s="1" t="s">
        <v>13</v>
      </c>
      <c r="C7" s="8">
        <f>C24*C17*C18</f>
        <v>37.09246418909994</v>
      </c>
      <c r="D7" s="8">
        <f>D24*D17*D18</f>
        <v>35.06536844091993</v>
      </c>
      <c r="E7" s="8">
        <f>E24*E17*E18</f>
        <v>33.03827269273992</v>
      </c>
      <c r="F7" s="9">
        <f>F24*F17*F18</f>
        <v>31.011176944559917</v>
      </c>
      <c r="G7" s="8">
        <f>G24*G17*G18</f>
        <v>38.67202359501699</v>
      </c>
      <c r="H7" s="8">
        <f aca="true" t="shared" si="3" ref="H7:N7">H24*H17*H18</f>
        <v>37.48336180430513</v>
      </c>
      <c r="I7" s="8">
        <f t="shared" si="3"/>
        <v>36.294700013593264</v>
      </c>
      <c r="J7" s="9">
        <f t="shared" si="3"/>
        <v>35.106038222881416</v>
      </c>
      <c r="K7" s="8">
        <f t="shared" si="3"/>
        <v>39.719718920033635</v>
      </c>
      <c r="L7" s="8">
        <f t="shared" si="3"/>
        <v>38.84001261878783</v>
      </c>
      <c r="M7" s="8">
        <f t="shared" si="3"/>
        <v>37.96030631754204</v>
      </c>
      <c r="N7" s="9">
        <f t="shared" si="3"/>
        <v>37.080600016296245</v>
      </c>
    </row>
    <row r="8" spans="1:14" ht="12.75">
      <c r="A8" s="5" t="s">
        <v>63</v>
      </c>
      <c r="B8" s="1" t="s">
        <v>13</v>
      </c>
      <c r="C8" s="8">
        <f>C24*C17*(C18+C19)</f>
        <v>44.819242929999994</v>
      </c>
      <c r="D8" s="8">
        <f>D24*D17*(D18+D19)</f>
        <v>44.33750293</v>
      </c>
      <c r="E8" s="8">
        <f>E24*E17*(E18+E19)</f>
        <v>43.85576293</v>
      </c>
      <c r="F8" s="9">
        <f>F24*F17*(F18+F19)</f>
        <v>43.374022929999995</v>
      </c>
      <c r="G8" s="8">
        <f>G24*G17*(G18+G19)</f>
        <v>43.63727613</v>
      </c>
      <c r="H8" s="8">
        <f aca="true" t="shared" si="4" ref="H8:N8">H24*H17*(H18+H19)</f>
        <v>43.157936129999996</v>
      </c>
      <c r="I8" s="8">
        <f t="shared" si="4"/>
        <v>42.67859612999999</v>
      </c>
      <c r="J8" s="9">
        <f t="shared" si="4"/>
        <v>42.199256129999995</v>
      </c>
      <c r="K8" s="8">
        <f t="shared" si="4"/>
        <v>42.94184933</v>
      </c>
      <c r="L8" s="8">
        <f t="shared" si="4"/>
        <v>42.46490932999998</v>
      </c>
      <c r="M8" s="8">
        <f t="shared" si="4"/>
        <v>41.98796932999999</v>
      </c>
      <c r="N8" s="9">
        <f t="shared" si="4"/>
        <v>41.51102932999999</v>
      </c>
    </row>
    <row r="9" spans="1:14" ht="12.75">
      <c r="A9" s="5" t="s">
        <v>48</v>
      </c>
      <c r="B9" s="1" t="s">
        <v>13</v>
      </c>
      <c r="C9" s="8">
        <f>C29*2*(C4+C5)+C22*3.141592654*C30*C30/4</f>
        <v>0.353429173575</v>
      </c>
      <c r="D9" s="8">
        <f aca="true" t="shared" si="5" ref="D9:N9">D29*2*(D4+D5)+D22*3.141592654*D30*D30/4</f>
        <v>0.42411500829</v>
      </c>
      <c r="E9" s="8">
        <f t="shared" si="5"/>
        <v>0.494800843005</v>
      </c>
      <c r="F9" s="9">
        <f t="shared" si="5"/>
        <v>0.5654866777199999</v>
      </c>
      <c r="G9" s="8">
        <f t="shared" si="5"/>
        <v>0.494800843005</v>
      </c>
      <c r="H9" s="8">
        <f t="shared" si="5"/>
        <v>0.5654866777199999</v>
      </c>
      <c r="I9" s="8">
        <f t="shared" si="5"/>
        <v>0.636172512435</v>
      </c>
      <c r="J9" s="9">
        <f t="shared" si="5"/>
        <v>0.70685834715</v>
      </c>
      <c r="K9" s="8">
        <f t="shared" si="5"/>
        <v>0.5654866777199999</v>
      </c>
      <c r="L9" s="8">
        <f t="shared" si="5"/>
        <v>0.636172512435</v>
      </c>
      <c r="M9" s="8">
        <f t="shared" si="5"/>
        <v>0.70685834715</v>
      </c>
      <c r="N9" s="9">
        <f t="shared" si="5"/>
        <v>0.7775441818650001</v>
      </c>
    </row>
    <row r="10" spans="1:14" ht="12.75">
      <c r="A10" s="5" t="s">
        <v>49</v>
      </c>
      <c r="B10" s="1" t="s">
        <v>13</v>
      </c>
      <c r="C10" s="8">
        <f>C6-C8-C9</f>
        <v>5.3041624264249965</v>
      </c>
      <c r="D10" s="8">
        <f>D6-D8-D9</f>
        <v>5.715216591709991</v>
      </c>
      <c r="E10" s="8">
        <f>E6-E8-E9</f>
        <v>6.126270756994994</v>
      </c>
      <c r="F10" s="9">
        <f>F6-F8-F9</f>
        <v>6.537324922279995</v>
      </c>
      <c r="G10" s="8">
        <f>G6-G8-G9</f>
        <v>6.3447575569949946</v>
      </c>
      <c r="H10" s="8">
        <f aca="true" t="shared" si="6" ref="H10:N10">H6-H8-H9</f>
        <v>6.753411722279995</v>
      </c>
      <c r="I10" s="8">
        <f t="shared" si="6"/>
        <v>7.162065887565003</v>
      </c>
      <c r="J10" s="9">
        <f t="shared" si="6"/>
        <v>7.570720052849996</v>
      </c>
      <c r="K10" s="8">
        <f t="shared" si="6"/>
        <v>6.969498522279994</v>
      </c>
      <c r="L10" s="8">
        <f t="shared" si="6"/>
        <v>7.375752687565008</v>
      </c>
      <c r="M10" s="8">
        <f t="shared" si="6"/>
        <v>7.7820068528499995</v>
      </c>
      <c r="N10" s="9">
        <f t="shared" si="6"/>
        <v>8.188261018134998</v>
      </c>
    </row>
    <row r="11" spans="1:14" ht="12.75">
      <c r="A11" s="4" t="s">
        <v>4</v>
      </c>
      <c r="B11" s="1" t="s">
        <v>13</v>
      </c>
      <c r="C11" s="8">
        <f>C24*C17*C18*0.78-C22*3.141592654*C30*C30/4</f>
        <v>28.578692893922955</v>
      </c>
      <c r="D11" s="8">
        <f aca="true" t="shared" si="7" ref="D11:N11">D24*D17*D18*0.78-D22*3.141592654*D30*D30/4</f>
        <v>26.92687237562755</v>
      </c>
      <c r="E11" s="8">
        <f t="shared" si="7"/>
        <v>25.27505185733214</v>
      </c>
      <c r="F11" s="9">
        <f t="shared" si="7"/>
        <v>23.62323133903674</v>
      </c>
      <c r="G11" s="8">
        <f t="shared" si="7"/>
        <v>29.669377561108252</v>
      </c>
      <c r="H11" s="8">
        <f t="shared" si="7"/>
        <v>28.671535529638007</v>
      </c>
      <c r="I11" s="8">
        <f t="shared" si="7"/>
        <v>27.673693498167747</v>
      </c>
      <c r="J11" s="9">
        <f t="shared" si="7"/>
        <v>26.675851466697505</v>
      </c>
      <c r="K11" s="8">
        <f t="shared" si="7"/>
        <v>30.415894079906238</v>
      </c>
      <c r="L11" s="8">
        <f t="shared" si="7"/>
        <v>29.65903733021951</v>
      </c>
      <c r="M11" s="8">
        <f t="shared" si="7"/>
        <v>28.902180580532793</v>
      </c>
      <c r="N11" s="9">
        <f t="shared" si="7"/>
        <v>28.14532383084607</v>
      </c>
    </row>
    <row r="12" spans="1:14" ht="12.75">
      <c r="A12" s="28" t="s">
        <v>6</v>
      </c>
      <c r="C12" s="10">
        <f>C11/C6</f>
        <v>0.5661744275374029</v>
      </c>
      <c r="D12" s="10">
        <f>D11/D6</f>
        <v>0.5334500989681524</v>
      </c>
      <c r="E12" s="10">
        <f>E11/E6</f>
        <v>0.500725770398902</v>
      </c>
      <c r="F12" s="11">
        <f>F11/F6</f>
        <v>0.4680014418296516</v>
      </c>
      <c r="G12" s="10">
        <f>G11/G6</f>
        <v>0.587782055617509</v>
      </c>
      <c r="H12" s="10">
        <f aca="true" t="shared" si="8" ref="H12:N12">H11/H6</f>
        <v>0.5680137393044645</v>
      </c>
      <c r="I12" s="10">
        <f t="shared" si="8"/>
        <v>0.5482454229914198</v>
      </c>
      <c r="J12" s="11">
        <f t="shared" si="8"/>
        <v>0.5284771066783753</v>
      </c>
      <c r="K12" s="10">
        <f t="shared" si="8"/>
        <v>0.6025713451153341</v>
      </c>
      <c r="L12" s="10">
        <f t="shared" si="8"/>
        <v>0.5875772046005023</v>
      </c>
      <c r="M12" s="10">
        <f t="shared" si="8"/>
        <v>0.572583064085671</v>
      </c>
      <c r="N12" s="11">
        <f t="shared" si="8"/>
        <v>0.5575889235708393</v>
      </c>
    </row>
    <row r="13" spans="1:14" ht="12.75">
      <c r="A13" s="5" t="s">
        <v>62</v>
      </c>
      <c r="B13" s="1" t="s">
        <v>13</v>
      </c>
      <c r="C13" s="25">
        <f>C6-C9-C10-C11</f>
        <v>16.24055003607704</v>
      </c>
      <c r="D13" s="25">
        <f>D6-D9-D10-D11</f>
        <v>17.41063055437245</v>
      </c>
      <c r="E13" s="25">
        <f>E6-E9-E10-E11</f>
        <v>18.580711072667857</v>
      </c>
      <c r="F13" s="26">
        <f>F6-F9-F10-F11</f>
        <v>19.750791590963257</v>
      </c>
      <c r="G13" s="25">
        <f>G6-G9-G10-G11</f>
        <v>13.967898568891744</v>
      </c>
      <c r="H13" s="25">
        <f aca="true" t="shared" si="9" ref="H13:N13">H6-H9-H10-H11</f>
        <v>14.48640060036199</v>
      </c>
      <c r="I13" s="25">
        <f t="shared" si="9"/>
        <v>15.004902631832241</v>
      </c>
      <c r="J13" s="26">
        <f t="shared" si="9"/>
        <v>15.52340466330249</v>
      </c>
      <c r="K13" s="25">
        <f t="shared" si="9"/>
        <v>12.525955250093759</v>
      </c>
      <c r="L13" s="25">
        <f t="shared" si="9"/>
        <v>12.805871999780475</v>
      </c>
      <c r="M13" s="25">
        <f t="shared" si="9"/>
        <v>13.085788749467191</v>
      </c>
      <c r="N13" s="26">
        <f t="shared" si="9"/>
        <v>13.365705499153929</v>
      </c>
    </row>
    <row r="14" spans="3:14" ht="12.75">
      <c r="C14" s="18"/>
      <c r="D14" s="18"/>
      <c r="E14" s="18"/>
      <c r="F14" s="7"/>
      <c r="G14" s="18"/>
      <c r="H14" s="18"/>
      <c r="I14" s="18"/>
      <c r="J14" s="7"/>
      <c r="K14" s="18"/>
      <c r="L14" s="18"/>
      <c r="M14" s="18"/>
      <c r="N14" s="7"/>
    </row>
    <row r="15" spans="1:14" ht="12.75">
      <c r="A15" s="5" t="s">
        <v>56</v>
      </c>
      <c r="B15" s="1" t="s">
        <v>14</v>
      </c>
      <c r="C15" s="8">
        <f>2.54*2.45+C17/2+C29+C28</f>
        <v>7.326625</v>
      </c>
      <c r="D15" s="8">
        <f>2.54*2.45+D17/2+D29+D28</f>
        <v>7.326625</v>
      </c>
      <c r="E15" s="8">
        <f>2.54*2.45+E17/2+E29+E28</f>
        <v>7.326625</v>
      </c>
      <c r="F15" s="9">
        <f>2.54*2.45+F17/2+F29+F28</f>
        <v>7.326625</v>
      </c>
      <c r="G15" s="8">
        <f>2.54*2.45+G17/2+G29+G28</f>
        <v>6.9887500000000005</v>
      </c>
      <c r="H15" s="8">
        <f aca="true" t="shared" si="10" ref="H15:N15">2.54*2.45+H17/2+H29+H28</f>
        <v>6.9887500000000005</v>
      </c>
      <c r="I15" s="8">
        <f t="shared" si="10"/>
        <v>6.9887500000000005</v>
      </c>
      <c r="J15" s="9">
        <f t="shared" si="10"/>
        <v>6.9887500000000005</v>
      </c>
      <c r="K15" s="8">
        <f t="shared" si="10"/>
        <v>6.8198125</v>
      </c>
      <c r="L15" s="8">
        <f t="shared" si="10"/>
        <v>6.8198125</v>
      </c>
      <c r="M15" s="8">
        <f t="shared" si="10"/>
        <v>6.8198125</v>
      </c>
      <c r="N15" s="9">
        <f t="shared" si="10"/>
        <v>6.8198125</v>
      </c>
    </row>
    <row r="16" spans="3:14" ht="12.75">
      <c r="C16" s="18"/>
      <c r="D16" s="18"/>
      <c r="E16" s="18"/>
      <c r="F16" s="7"/>
      <c r="G16" s="18"/>
      <c r="H16" s="18"/>
      <c r="I16" s="18"/>
      <c r="J16" s="7"/>
      <c r="K16" s="18"/>
      <c r="L16" s="18"/>
      <c r="M16" s="18"/>
      <c r="N16" s="7"/>
    </row>
    <row r="17" spans="1:14" ht="12.75">
      <c r="A17" s="4" t="s">
        <v>10</v>
      </c>
      <c r="B17" s="1" t="s">
        <v>14</v>
      </c>
      <c r="C17" s="15">
        <f>(C5-2*C29-2*C28)/C23-2*C27</f>
        <v>2.0072499999999995</v>
      </c>
      <c r="D17" s="15">
        <f aca="true" t="shared" si="11" ref="D17:N17">(D5-2*D29-2*D28)/D23-2*D27</f>
        <v>2.0072499999999995</v>
      </c>
      <c r="E17" s="15">
        <f t="shared" si="11"/>
        <v>2.0072499999999995</v>
      </c>
      <c r="F17" s="9">
        <f t="shared" si="11"/>
        <v>2.0072499999999995</v>
      </c>
      <c r="G17" s="15">
        <f t="shared" si="11"/>
        <v>1.3314999999999997</v>
      </c>
      <c r="H17" s="15">
        <f t="shared" si="11"/>
        <v>1.3314999999999997</v>
      </c>
      <c r="I17" s="15">
        <f t="shared" si="11"/>
        <v>1.3314999999999997</v>
      </c>
      <c r="J17" s="9">
        <f t="shared" si="11"/>
        <v>1.3314999999999997</v>
      </c>
      <c r="K17" s="15">
        <f t="shared" si="11"/>
        <v>0.9936249999999998</v>
      </c>
      <c r="L17" s="15">
        <f t="shared" si="11"/>
        <v>0.9936249999999998</v>
      </c>
      <c r="M17" s="15">
        <f t="shared" si="11"/>
        <v>0.9936249999999998</v>
      </c>
      <c r="N17" s="9">
        <f t="shared" si="11"/>
        <v>0.9936249999999998</v>
      </c>
    </row>
    <row r="18" spans="1:14" ht="12.75">
      <c r="A18" s="4" t="s">
        <v>57</v>
      </c>
      <c r="B18" s="1" t="s">
        <v>14</v>
      </c>
      <c r="C18" s="15">
        <f>(C4-2*C29-2*C28-(C22-1)*C26)/C22-2*C27-C19</f>
        <v>1.8479244832033854</v>
      </c>
      <c r="D18" s="15">
        <f aca="true" t="shared" si="12" ref="D18:N18">(D4-2*D29-2*D28-(D22-1)*D26)/D22-2*D27-D19</f>
        <v>1.4557798165367186</v>
      </c>
      <c r="E18" s="15">
        <f t="shared" si="12"/>
        <v>1.1756764832033852</v>
      </c>
      <c r="F18" s="9">
        <f t="shared" si="12"/>
        <v>0.9655989832033853</v>
      </c>
      <c r="G18" s="15">
        <f t="shared" si="12"/>
        <v>1.3830453872294761</v>
      </c>
      <c r="H18" s="15">
        <f t="shared" si="12"/>
        <v>1.1729678872294762</v>
      </c>
      <c r="I18" s="15">
        <f t="shared" si="12"/>
        <v>1.0095742761183648</v>
      </c>
      <c r="J18" s="9">
        <f t="shared" si="12"/>
        <v>0.8788593872294761</v>
      </c>
      <c r="K18" s="15">
        <f t="shared" si="12"/>
        <v>1.2492048974724381</v>
      </c>
      <c r="L18" s="15">
        <f t="shared" si="12"/>
        <v>1.0858112863613267</v>
      </c>
      <c r="M18" s="15">
        <f t="shared" si="12"/>
        <v>0.955096397472438</v>
      </c>
      <c r="N18" s="9">
        <f t="shared" si="12"/>
        <v>0.8481478520178926</v>
      </c>
    </row>
    <row r="19" spans="1:14" ht="12.75">
      <c r="A19" s="5" t="s">
        <v>64</v>
      </c>
      <c r="B19" s="1" t="s">
        <v>14</v>
      </c>
      <c r="C19" s="8">
        <f>0.7*C17/C15*C17</f>
        <v>0.3849435167966149</v>
      </c>
      <c r="D19" s="8">
        <f>0.7*D17/D15*D17</f>
        <v>0.3849435167966149</v>
      </c>
      <c r="E19" s="8">
        <f>0.7*E17/E15*E17</f>
        <v>0.3849435167966149</v>
      </c>
      <c r="F19" s="9">
        <f>0.7*F17/F15*F17</f>
        <v>0.3849435167966149</v>
      </c>
      <c r="G19" s="8">
        <f>0.7*G17/G15*G17</f>
        <v>0.17757461277052394</v>
      </c>
      <c r="H19" s="8">
        <f aca="true" t="shared" si="13" ref="H19:N19">0.7*H17/H15*H17</f>
        <v>0.17757461277052394</v>
      </c>
      <c r="I19" s="8">
        <f t="shared" si="13"/>
        <v>0.17757461277052394</v>
      </c>
      <c r="J19" s="9">
        <f t="shared" si="13"/>
        <v>0.17757461277052394</v>
      </c>
      <c r="K19" s="8">
        <f t="shared" si="13"/>
        <v>0.10133760252756209</v>
      </c>
      <c r="L19" s="8">
        <f t="shared" si="13"/>
        <v>0.10133760252756209</v>
      </c>
      <c r="M19" s="8">
        <f t="shared" si="13"/>
        <v>0.10133760252756209</v>
      </c>
      <c r="N19" s="9">
        <f t="shared" si="13"/>
        <v>0.10133760252756209</v>
      </c>
    </row>
    <row r="20" spans="1:14" ht="12.75">
      <c r="A20" s="27" t="s">
        <v>69</v>
      </c>
      <c r="C20" s="8">
        <f aca="true" t="shared" si="14" ref="C20:N20">MAX(C17/C18,C18/C17)</f>
        <v>1.0862186297355738</v>
      </c>
      <c r="D20" s="8">
        <f t="shared" si="14"/>
        <v>1.378814280290835</v>
      </c>
      <c r="E20" s="8">
        <f t="shared" si="14"/>
        <v>1.7073149192631736</v>
      </c>
      <c r="F20" s="9">
        <f t="shared" si="14"/>
        <v>2.078761509608187</v>
      </c>
      <c r="G20" s="8">
        <f t="shared" si="14"/>
        <v>1.0387122697930729</v>
      </c>
      <c r="H20" s="8">
        <f t="shared" si="14"/>
        <v>1.1351546913572994</v>
      </c>
      <c r="I20" s="8">
        <f t="shared" si="14"/>
        <v>1.3188727481442797</v>
      </c>
      <c r="J20" s="9">
        <f t="shared" si="14"/>
        <v>1.5150318917312038</v>
      </c>
      <c r="K20" s="8">
        <f t="shared" si="14"/>
        <v>1.2572196728870937</v>
      </c>
      <c r="L20" s="8">
        <f t="shared" si="14"/>
        <v>1.0927777444824023</v>
      </c>
      <c r="M20" s="8">
        <f t="shared" si="14"/>
        <v>1.0403400145048434</v>
      </c>
      <c r="N20" s="9">
        <f t="shared" si="14"/>
        <v>1.1715233348006382</v>
      </c>
    </row>
    <row r="21" spans="1:14" ht="12.75">
      <c r="A21" s="5"/>
      <c r="C21" s="8"/>
      <c r="D21" s="8"/>
      <c r="E21" s="8"/>
      <c r="F21" s="9"/>
      <c r="G21" s="8"/>
      <c r="H21" s="8"/>
      <c r="I21" s="8"/>
      <c r="J21" s="9"/>
      <c r="K21" s="8"/>
      <c r="L21" s="8"/>
      <c r="M21" s="8"/>
      <c r="N21" s="9"/>
    </row>
    <row r="22" spans="1:14" ht="12.75">
      <c r="A22" s="5" t="s">
        <v>40</v>
      </c>
      <c r="C22" s="18">
        <v>5</v>
      </c>
      <c r="D22" s="18">
        <v>6</v>
      </c>
      <c r="E22" s="18">
        <v>7</v>
      </c>
      <c r="F22" s="7">
        <v>8</v>
      </c>
      <c r="G22" s="18">
        <v>7</v>
      </c>
      <c r="H22" s="18">
        <v>8</v>
      </c>
      <c r="I22" s="18">
        <v>9</v>
      </c>
      <c r="J22" s="7">
        <v>10</v>
      </c>
      <c r="K22" s="18">
        <v>8</v>
      </c>
      <c r="L22" s="18">
        <v>9</v>
      </c>
      <c r="M22" s="18">
        <v>10</v>
      </c>
      <c r="N22" s="7">
        <v>11</v>
      </c>
    </row>
    <row r="23" spans="1:14" ht="12.75">
      <c r="A23" s="5" t="s">
        <v>41</v>
      </c>
      <c r="C23" s="18">
        <v>2</v>
      </c>
      <c r="D23" s="18">
        <v>2</v>
      </c>
      <c r="E23" s="18">
        <v>2</v>
      </c>
      <c r="F23" s="7">
        <v>2</v>
      </c>
      <c r="G23" s="18">
        <v>3</v>
      </c>
      <c r="H23" s="18">
        <v>3</v>
      </c>
      <c r="I23" s="18">
        <v>3</v>
      </c>
      <c r="J23" s="7">
        <v>3</v>
      </c>
      <c r="K23" s="18">
        <v>4</v>
      </c>
      <c r="L23" s="18">
        <v>4</v>
      </c>
      <c r="M23" s="18">
        <v>4</v>
      </c>
      <c r="N23" s="7">
        <v>4</v>
      </c>
    </row>
    <row r="24" spans="1:14" ht="12.75">
      <c r="A24" s="5" t="s">
        <v>42</v>
      </c>
      <c r="C24" s="6">
        <f>C22*C23</f>
        <v>10</v>
      </c>
      <c r="D24" s="18">
        <f>D22*D23</f>
        <v>12</v>
      </c>
      <c r="E24" s="18">
        <f>E22*E23</f>
        <v>14</v>
      </c>
      <c r="F24" s="7">
        <f>F22*F23</f>
        <v>16</v>
      </c>
      <c r="G24" s="6">
        <f>G22*G23</f>
        <v>21</v>
      </c>
      <c r="H24" s="18">
        <f aca="true" t="shared" si="15" ref="H24:N24">H22*H23</f>
        <v>24</v>
      </c>
      <c r="I24" s="18">
        <f t="shared" si="15"/>
        <v>27</v>
      </c>
      <c r="J24" s="7">
        <f t="shared" si="15"/>
        <v>30</v>
      </c>
      <c r="K24" s="6">
        <f t="shared" si="15"/>
        <v>32</v>
      </c>
      <c r="L24" s="18">
        <f t="shared" si="15"/>
        <v>36</v>
      </c>
      <c r="M24" s="18">
        <f t="shared" si="15"/>
        <v>40</v>
      </c>
      <c r="N24" s="7">
        <f t="shared" si="15"/>
        <v>44</v>
      </c>
    </row>
    <row r="25" spans="3:14" ht="12.75">
      <c r="C25" s="18"/>
      <c r="D25" s="18"/>
      <c r="E25" s="18"/>
      <c r="F25" s="7"/>
      <c r="G25" s="18"/>
      <c r="H25" s="18"/>
      <c r="I25" s="18"/>
      <c r="J25" s="7"/>
      <c r="K25" s="18"/>
      <c r="L25" s="18"/>
      <c r="M25" s="18"/>
      <c r="N25" s="7"/>
    </row>
    <row r="26" spans="1:14" ht="12.75">
      <c r="A26" s="5" t="s">
        <v>19</v>
      </c>
      <c r="B26" s="1" t="s">
        <v>14</v>
      </c>
      <c r="C26" s="15">
        <v>0.1</v>
      </c>
      <c r="D26" s="15">
        <v>0.1</v>
      </c>
      <c r="E26" s="15">
        <v>0.1</v>
      </c>
      <c r="F26" s="9">
        <v>0.1</v>
      </c>
      <c r="G26" s="15">
        <v>0.1</v>
      </c>
      <c r="H26" s="15">
        <v>0.1</v>
      </c>
      <c r="I26" s="15">
        <v>0.1</v>
      </c>
      <c r="J26" s="9">
        <v>0.1</v>
      </c>
      <c r="K26" s="15">
        <v>0.1</v>
      </c>
      <c r="L26" s="15">
        <v>0.1</v>
      </c>
      <c r="M26" s="15">
        <v>0.1</v>
      </c>
      <c r="N26" s="9">
        <v>0.1</v>
      </c>
    </row>
    <row r="27" spans="1:14" ht="12.75">
      <c r="A27" s="5" t="s">
        <v>20</v>
      </c>
      <c r="B27" s="1" t="s">
        <v>14</v>
      </c>
      <c r="C27" s="15">
        <v>0.01</v>
      </c>
      <c r="D27" s="15">
        <v>0.01</v>
      </c>
      <c r="E27" s="15">
        <v>0.01</v>
      </c>
      <c r="F27" s="9">
        <v>0.01</v>
      </c>
      <c r="G27" s="15">
        <v>0.01</v>
      </c>
      <c r="H27" s="15">
        <v>0.01</v>
      </c>
      <c r="I27" s="15">
        <v>0.01</v>
      </c>
      <c r="J27" s="9">
        <v>0.01</v>
      </c>
      <c r="K27" s="15">
        <v>0.01</v>
      </c>
      <c r="L27" s="15">
        <v>0.01</v>
      </c>
      <c r="M27" s="15">
        <v>0.01</v>
      </c>
      <c r="N27" s="9">
        <v>0.01</v>
      </c>
    </row>
    <row r="28" spans="1:14" ht="12.75">
      <c r="A28" s="5" t="s">
        <v>46</v>
      </c>
      <c r="B28" s="1" t="s">
        <v>14</v>
      </c>
      <c r="C28" s="8">
        <v>0.1</v>
      </c>
      <c r="D28" s="8">
        <v>0.1</v>
      </c>
      <c r="E28" s="8">
        <v>0.1</v>
      </c>
      <c r="F28" s="9">
        <v>0.1</v>
      </c>
      <c r="G28" s="8">
        <v>0.1</v>
      </c>
      <c r="H28" s="8">
        <v>0.1</v>
      </c>
      <c r="I28" s="8">
        <v>0.1</v>
      </c>
      <c r="J28" s="9">
        <v>0.1</v>
      </c>
      <c r="K28" s="8">
        <v>0.1</v>
      </c>
      <c r="L28" s="8">
        <v>0.1</v>
      </c>
      <c r="M28" s="8">
        <v>0.1</v>
      </c>
      <c r="N28" s="9">
        <v>0.1</v>
      </c>
    </row>
    <row r="29" spans="1:14" ht="12.75">
      <c r="A29" s="5" t="s">
        <v>47</v>
      </c>
      <c r="B29" s="1" t="s">
        <v>14</v>
      </c>
      <c r="C29" s="6">
        <v>0</v>
      </c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7">
        <v>0</v>
      </c>
      <c r="K29" s="6">
        <v>0</v>
      </c>
      <c r="L29" s="6">
        <v>0</v>
      </c>
      <c r="M29" s="6">
        <v>0</v>
      </c>
      <c r="N29" s="7">
        <v>0</v>
      </c>
    </row>
    <row r="30" spans="1:14" ht="12.75">
      <c r="A30" s="5" t="s">
        <v>91</v>
      </c>
      <c r="B30" s="1" t="s">
        <v>14</v>
      </c>
      <c r="C30" s="6">
        <v>0.3</v>
      </c>
      <c r="D30" s="6">
        <v>0.3</v>
      </c>
      <c r="E30" s="6">
        <v>0.3</v>
      </c>
      <c r="F30" s="7">
        <v>0.3</v>
      </c>
      <c r="G30" s="6">
        <v>0.3</v>
      </c>
      <c r="H30" s="6">
        <v>0.3</v>
      </c>
      <c r="I30" s="6">
        <v>0.3</v>
      </c>
      <c r="J30" s="7">
        <v>0.3</v>
      </c>
      <c r="K30" s="6">
        <v>0.3</v>
      </c>
      <c r="L30" s="6">
        <v>0.3</v>
      </c>
      <c r="M30" s="6">
        <v>0.3</v>
      </c>
      <c r="N30" s="7">
        <v>0.3</v>
      </c>
    </row>
    <row r="31" spans="3:14" ht="12.75">
      <c r="C31" s="6"/>
      <c r="D31" s="6"/>
      <c r="E31" s="6"/>
      <c r="F31" s="7"/>
      <c r="G31" s="6"/>
      <c r="H31" s="6"/>
      <c r="I31" s="6"/>
      <c r="J31" s="7"/>
      <c r="K31" s="6"/>
      <c r="L31" s="6"/>
      <c r="M31" s="6"/>
      <c r="N31" s="7"/>
    </row>
    <row r="32" spans="1:14" ht="12.75">
      <c r="A32" s="5" t="s">
        <v>74</v>
      </c>
      <c r="B32" s="1" t="s">
        <v>14</v>
      </c>
      <c r="C32" s="6">
        <f>2*C28+(C22-1)*C26+2*C22*C27</f>
        <v>0.7000000000000001</v>
      </c>
      <c r="D32" s="6">
        <f aca="true" t="shared" si="16" ref="D32:N32">2*D28+(D22-1)*D26+2*D22*D27</f>
        <v>0.82</v>
      </c>
      <c r="E32" s="6">
        <f t="shared" si="16"/>
        <v>0.9400000000000001</v>
      </c>
      <c r="F32" s="7">
        <f t="shared" si="16"/>
        <v>1.06</v>
      </c>
      <c r="G32" s="6">
        <f t="shared" si="16"/>
        <v>0.9400000000000001</v>
      </c>
      <c r="H32" s="6">
        <f t="shared" si="16"/>
        <v>1.06</v>
      </c>
      <c r="I32" s="6">
        <f t="shared" si="16"/>
        <v>1.18</v>
      </c>
      <c r="J32" s="7">
        <f t="shared" si="16"/>
        <v>1.3</v>
      </c>
      <c r="K32" s="6">
        <f t="shared" si="16"/>
        <v>1.06</v>
      </c>
      <c r="L32" s="6">
        <f t="shared" si="16"/>
        <v>1.18</v>
      </c>
      <c r="M32" s="6">
        <f t="shared" si="16"/>
        <v>1.3</v>
      </c>
      <c r="N32" s="7">
        <f t="shared" si="16"/>
        <v>1.42</v>
      </c>
    </row>
    <row r="33" spans="1:14" ht="12.75">
      <c r="A33" s="5" t="s">
        <v>75</v>
      </c>
      <c r="B33" s="1" t="s">
        <v>14</v>
      </c>
      <c r="C33" s="6">
        <f>2*C28+2*C27*C23</f>
        <v>0.24000000000000002</v>
      </c>
      <c r="D33" s="6">
        <f aca="true" t="shared" si="17" ref="D33:N33">2*D28+2*D27*D23</f>
        <v>0.24000000000000002</v>
      </c>
      <c r="E33" s="6">
        <f t="shared" si="17"/>
        <v>0.24000000000000002</v>
      </c>
      <c r="F33" s="7">
        <f t="shared" si="17"/>
        <v>0.24000000000000002</v>
      </c>
      <c r="G33" s="6">
        <f t="shared" si="17"/>
        <v>0.26</v>
      </c>
      <c r="H33" s="6">
        <f t="shared" si="17"/>
        <v>0.26</v>
      </c>
      <c r="I33" s="6">
        <f t="shared" si="17"/>
        <v>0.26</v>
      </c>
      <c r="J33" s="7">
        <f t="shared" si="17"/>
        <v>0.26</v>
      </c>
      <c r="K33" s="6">
        <f t="shared" si="17"/>
        <v>0.28</v>
      </c>
      <c r="L33" s="6">
        <f t="shared" si="17"/>
        <v>0.28</v>
      </c>
      <c r="M33" s="6">
        <f t="shared" si="17"/>
        <v>0.28</v>
      </c>
      <c r="N33" s="7">
        <f t="shared" si="17"/>
        <v>0.28</v>
      </c>
    </row>
    <row r="34" spans="3:14" ht="12.75">
      <c r="C34" s="6"/>
      <c r="D34" s="18"/>
      <c r="E34" s="18"/>
      <c r="F34" s="7"/>
      <c r="G34" s="6"/>
      <c r="H34" s="18"/>
      <c r="I34" s="18"/>
      <c r="J34" s="7"/>
      <c r="K34" s="6"/>
      <c r="L34" s="18"/>
      <c r="M34" s="18"/>
      <c r="N34" s="7"/>
    </row>
    <row r="35" spans="1:14" ht="12.75">
      <c r="A35" s="27" t="s">
        <v>44</v>
      </c>
      <c r="B35" s="1" t="s">
        <v>14</v>
      </c>
      <c r="C35" s="6">
        <f>C4-C22*(C18+C19)-C32-2*C29</f>
        <v>-7.771561172376096E-16</v>
      </c>
      <c r="D35" s="6">
        <f>D4-D22*(D18+D19)-D32-2*D29</f>
        <v>-1.4432899320127035E-15</v>
      </c>
      <c r="E35" s="6">
        <f>E4-E22*(E18+E19)-E32-2*E29</f>
        <v>-5.551115123125783E-16</v>
      </c>
      <c r="F35" s="7">
        <f>F4-F22*(F18+F19)-F32-2*F29</f>
        <v>-1.3322676295501878E-15</v>
      </c>
      <c r="G35" s="6">
        <f>G4-G22*(G18+G19)-G32-2*G29</f>
        <v>-5.551115123125783E-16</v>
      </c>
      <c r="H35" s="6">
        <f aca="true" t="shared" si="18" ref="H35:N35">H4-H22*(H18+H19)-H32-2*H29</f>
        <v>-1.3322676295501878E-15</v>
      </c>
      <c r="I35" s="6">
        <f t="shared" si="18"/>
        <v>1.5543122344752192E-15</v>
      </c>
      <c r="J35" s="7">
        <f t="shared" si="18"/>
        <v>-1.1102230246251565E-15</v>
      </c>
      <c r="K35" s="6">
        <f t="shared" si="18"/>
        <v>-1.3322676295501878E-15</v>
      </c>
      <c r="L35" s="6">
        <f t="shared" si="18"/>
        <v>1.5543122344752192E-15</v>
      </c>
      <c r="M35" s="6">
        <f t="shared" si="18"/>
        <v>-1.1102230246251565E-15</v>
      </c>
      <c r="N35" s="7">
        <f t="shared" si="18"/>
        <v>0</v>
      </c>
    </row>
    <row r="36" spans="1:14" ht="12.75">
      <c r="A36" s="27" t="s">
        <v>45</v>
      </c>
      <c r="B36" s="1" t="s">
        <v>14</v>
      </c>
      <c r="C36" s="6">
        <f aca="true" t="shared" si="19" ref="C36:N36">C5-C23*C17-C33-2*C29</f>
        <v>1.942890293094024E-16</v>
      </c>
      <c r="D36" s="18">
        <f t="shared" si="19"/>
        <v>1.942890293094024E-16</v>
      </c>
      <c r="E36" s="18">
        <f t="shared" si="19"/>
        <v>1.942890293094024E-16</v>
      </c>
      <c r="F36" s="7">
        <f t="shared" si="19"/>
        <v>1.942890293094024E-16</v>
      </c>
      <c r="G36" s="6">
        <f t="shared" si="19"/>
        <v>2.220446049250313E-16</v>
      </c>
      <c r="H36" s="18">
        <f t="shared" si="19"/>
        <v>2.220446049250313E-16</v>
      </c>
      <c r="I36" s="18">
        <f t="shared" si="19"/>
        <v>2.220446049250313E-16</v>
      </c>
      <c r="J36" s="7">
        <f t="shared" si="19"/>
        <v>2.220446049250313E-16</v>
      </c>
      <c r="K36" s="6">
        <f t="shared" si="19"/>
        <v>2.220446049250313E-16</v>
      </c>
      <c r="L36" s="18">
        <f t="shared" si="19"/>
        <v>2.220446049250313E-16</v>
      </c>
      <c r="M36" s="18">
        <f t="shared" si="19"/>
        <v>2.220446049250313E-16</v>
      </c>
      <c r="N36" s="7">
        <f t="shared" si="19"/>
        <v>2.220446049250313E-16</v>
      </c>
    </row>
    <row r="37" spans="3:14" ht="12.75">
      <c r="C37" s="18"/>
      <c r="D37" s="18"/>
      <c r="E37" s="18"/>
      <c r="F37" s="7"/>
      <c r="G37" s="18"/>
      <c r="H37" s="18"/>
      <c r="I37" s="18"/>
      <c r="J37" s="7"/>
      <c r="K37" s="18"/>
      <c r="L37" s="18"/>
      <c r="M37" s="18"/>
      <c r="N37" s="7"/>
    </row>
    <row r="38" spans="3:14" ht="12.75">
      <c r="C38" s="18"/>
      <c r="D38" s="18"/>
      <c r="E38" s="18"/>
      <c r="F38" s="7"/>
      <c r="G38" s="18"/>
      <c r="H38" s="18"/>
      <c r="I38" s="18"/>
      <c r="J38" s="7"/>
      <c r="K38" s="18"/>
      <c r="L38" s="18"/>
      <c r="M38" s="18"/>
      <c r="N38" s="7"/>
    </row>
    <row r="39" spans="1:14" ht="12.75">
      <c r="A39"/>
      <c r="C39" s="18"/>
      <c r="D39" s="18"/>
      <c r="E39" s="18"/>
      <c r="F39" s="7"/>
      <c r="G39" s="18"/>
      <c r="H39" s="18"/>
      <c r="I39" s="18"/>
      <c r="J39" s="7"/>
      <c r="K39" s="18"/>
      <c r="L39" s="18"/>
      <c r="M39" s="18"/>
      <c r="N39" s="7"/>
    </row>
    <row r="40" spans="1:14" ht="12.75">
      <c r="A40"/>
      <c r="C40" s="18"/>
      <c r="D40" s="18"/>
      <c r="E40" s="18"/>
      <c r="F40" s="7"/>
      <c r="G40" s="18"/>
      <c r="H40" s="18"/>
      <c r="I40" s="18"/>
      <c r="J40" s="7"/>
      <c r="K40" s="18"/>
      <c r="L40" s="18"/>
      <c r="M40" s="18"/>
      <c r="N40" s="7"/>
    </row>
    <row r="41" spans="1:14" ht="12.75">
      <c r="A41"/>
      <c r="C41" s="18"/>
      <c r="D41" s="18"/>
      <c r="E41" s="18"/>
      <c r="F41" s="7"/>
      <c r="G41" s="18"/>
      <c r="H41" s="18"/>
      <c r="I41" s="18"/>
      <c r="J41" s="7"/>
      <c r="K41" s="18"/>
      <c r="L41" s="18"/>
      <c r="M41" s="18"/>
      <c r="N41" s="7"/>
    </row>
    <row r="42" spans="1:14" ht="12.75">
      <c r="A42"/>
      <c r="C42" s="18"/>
      <c r="D42" s="18"/>
      <c r="E42" s="18"/>
      <c r="F42" s="7"/>
      <c r="G42" s="18"/>
      <c r="H42" s="18"/>
      <c r="I42" s="18"/>
      <c r="J42" s="7"/>
      <c r="K42" s="18"/>
      <c r="L42" s="18"/>
      <c r="M42" s="18"/>
      <c r="N42" s="7"/>
    </row>
    <row r="43" spans="1:14" ht="12.75">
      <c r="A43"/>
      <c r="C43" s="18"/>
      <c r="D43" s="18"/>
      <c r="E43" s="18"/>
      <c r="F43" s="7"/>
      <c r="G43" s="18"/>
      <c r="H43" s="18"/>
      <c r="I43" s="18"/>
      <c r="J43" s="7"/>
      <c r="K43" s="18"/>
      <c r="L43" s="18"/>
      <c r="M43" s="18"/>
      <c r="N43" s="7"/>
    </row>
    <row r="44" spans="1:14" ht="12.75">
      <c r="A44"/>
      <c r="C44" s="18"/>
      <c r="D44" s="18"/>
      <c r="E44" s="18"/>
      <c r="F44" s="7"/>
      <c r="G44" s="18"/>
      <c r="H44" s="18"/>
      <c r="I44" s="18"/>
      <c r="J44" s="7"/>
      <c r="K44" s="18"/>
      <c r="L44" s="18"/>
      <c r="M44" s="18"/>
      <c r="N44" s="7"/>
    </row>
    <row r="45" spans="1:14" ht="12.75">
      <c r="A45"/>
      <c r="C45" s="18"/>
      <c r="D45" s="18"/>
      <c r="E45" s="18"/>
      <c r="F45" s="7"/>
      <c r="G45" s="18"/>
      <c r="H45" s="18"/>
      <c r="I45" s="18"/>
      <c r="J45" s="7"/>
      <c r="K45" s="18"/>
      <c r="L45" s="18"/>
      <c r="M45" s="18"/>
      <c r="N45" s="7"/>
    </row>
    <row r="46" spans="1:14" ht="12.75">
      <c r="A46"/>
      <c r="C46" s="18"/>
      <c r="D46" s="18"/>
      <c r="E46" s="18"/>
      <c r="F46" s="7"/>
      <c r="G46" s="18"/>
      <c r="H46" s="18"/>
      <c r="I46" s="18"/>
      <c r="J46" s="7"/>
      <c r="K46" s="18"/>
      <c r="L46" s="18"/>
      <c r="M46" s="18"/>
      <c r="N46" s="7"/>
    </row>
    <row r="47" spans="1:14" ht="12.75">
      <c r="A47"/>
      <c r="C47" s="18"/>
      <c r="D47" s="18"/>
      <c r="E47" s="18"/>
      <c r="F47" s="7"/>
      <c r="G47" s="18"/>
      <c r="H47" s="18"/>
      <c r="I47" s="18"/>
      <c r="J47" s="7"/>
      <c r="K47" s="18"/>
      <c r="L47" s="18"/>
      <c r="M47" s="18"/>
      <c r="N47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MZarnstorff</cp:lastModifiedBy>
  <dcterms:created xsi:type="dcterms:W3CDTF">1996-10-14T23:33:28Z</dcterms:created>
  <dcterms:modified xsi:type="dcterms:W3CDTF">2003-07-31T21:19:49Z</dcterms:modified>
  <cp:category/>
  <cp:version/>
  <cp:contentType/>
  <cp:contentStatus/>
</cp:coreProperties>
</file>