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5730" windowWidth="19320" windowHeight="12570" tabRatio="449" firstSheet="1" activeTab="8"/>
  </bookViews>
  <sheets>
    <sheet name="Chemical" sheetId="1" r:id="rId1"/>
    <sheet name="Mechanical " sheetId="2" r:id="rId2"/>
    <sheet name="E" sheetId="3" r:id="rId3"/>
    <sheet name="Sy" sheetId="4" r:id="rId4"/>
    <sheet name="Su" sheetId="5" r:id="rId5"/>
    <sheet name="Elongation" sheetId="6" r:id="rId6"/>
    <sheet name="Charpy" sheetId="7" r:id="rId7"/>
    <sheet name="Correlate" sheetId="8" r:id="rId8"/>
    <sheet name="Statistics" sheetId="9" r:id="rId9"/>
    <sheet name="Weld Repairs" sheetId="10" r:id="rId10"/>
  </sheets>
  <definedNames>
    <definedName name="_Toc101685160" localSheetId="1">'Mechanical '!#REF!</definedName>
    <definedName name="_Toc101685161" localSheetId="1">'Mechanical '!#REF!</definedName>
    <definedName name="_Toc101685170" localSheetId="1">'Mechanical '!#REF!</definedName>
    <definedName name="_xlnm.Print_Area" localSheetId="1">'Mechanical '!$A$1:$R$43</definedName>
  </definedNames>
  <calcPr fullCalcOnLoad="1"/>
</workbook>
</file>

<file path=xl/comments1.xml><?xml version="1.0" encoding="utf-8"?>
<comments xmlns="http://schemas.openxmlformats.org/spreadsheetml/2006/main">
  <authors>
    <author>Roy B Sheppard</author>
  </authors>
  <commentList>
    <comment ref="D40" authorId="0">
      <text>
        <r>
          <rPr>
            <b/>
            <sz val="8"/>
            <rFont val="Tahoma"/>
            <family val="0"/>
          </rPr>
          <t>Roy B Sheppard:</t>
        </r>
        <r>
          <rPr>
            <sz val="8"/>
            <rFont val="Tahoma"/>
            <family val="0"/>
          </rPr>
          <t xml:space="preserve">
Weld rod chemistries supplied by the manufacturer are typicals and a close match to the casting alloy itself.  Variances in some of the other elements exist such as Carbon min .04  tested .02, Chromium min 18% max 18.5%  tested 19.5 % &amp; 17.7%, Nickel min 13% max 13.5% tested 15.1 &amp; 16.2, Molybdenum min 2.1% max 2.5% tested 3% and 2.8% Phosphorus .015 max tested .03% and .02%,Sulfur .015 max tested .03, Nitrogen min .24% max .28%.</t>
        </r>
      </text>
    </comment>
    <comment ref="E40" authorId="0">
      <text>
        <r>
          <rPr>
            <b/>
            <sz val="8"/>
            <rFont val="Tahoma"/>
            <family val="0"/>
          </rPr>
          <t>Roy B Sheppard:</t>
        </r>
        <r>
          <rPr>
            <sz val="8"/>
            <rFont val="Tahoma"/>
            <family val="0"/>
          </rPr>
          <t xml:space="preserve">
Weld rod chemistries supplied by the manufacturer are typicals and a close match to the casting alloy itself.  Variances in some of the other elements exist such as Carbon min .04  tested .02, Chromium min 18% max 18.5%  tested 19.5 % &amp; 17.7%, Nickel min 13% max 13.5% tested 15.1 &amp; 16.2, Molybdenum min 2.1% max 2.5% tested 3% and 2.8% Phosphorus .015 max tested .03% and .02%,Sulfur .015 max tested .03, Nitrogen min .24% max .28%.</t>
        </r>
      </text>
    </comment>
  </commentList>
</comments>
</file>

<file path=xl/sharedStrings.xml><?xml version="1.0" encoding="utf-8"?>
<sst xmlns="http://schemas.openxmlformats.org/spreadsheetml/2006/main" count="323" uniqueCount="142">
  <si>
    <t>A-1 Re-Test Average</t>
  </si>
  <si>
    <t>Corrected to NCSXCSPEC-141-03-09 requirements</t>
  </si>
  <si>
    <r>
      <t>Weld Material Lincoln Lot # 3012668/82743</t>
    </r>
    <r>
      <rPr>
        <b/>
        <sz val="10"/>
        <rFont val="Arial"/>
        <family val="2"/>
      </rPr>
      <t xml:space="preserve"> *</t>
    </r>
  </si>
  <si>
    <t>Weld Material Metrode Lot # WO19711 **</t>
  </si>
  <si>
    <t>* Updated using Lincoln certification values. 
** Not used on C-1 and may not have been used for MCWF's at all.</t>
  </si>
  <si>
    <t>C-1 WC Results</t>
  </si>
  <si>
    <t>C-2 WC Results</t>
  </si>
  <si>
    <t>C-3 WC Results</t>
  </si>
  <si>
    <t>C-4 WC Results</t>
  </si>
  <si>
    <t>C-5 WC Results</t>
  </si>
  <si>
    <t>C-1 MTK Initial Results</t>
  </si>
  <si>
    <t>C-2 MTK Initial Results</t>
  </si>
  <si>
    <t>C-3 MTK Initial Results</t>
  </si>
  <si>
    <t>C-4 MTK Initial Results</t>
  </si>
  <si>
    <t>C-6 MTK Results</t>
  </si>
  <si>
    <t>C-5 MTK Results</t>
  </si>
  <si>
    <t>C-6 WC Results</t>
  </si>
  <si>
    <t>Updated to Rev. 9</t>
  </si>
  <si>
    <t>updated 9/14/05  12:40 PM</t>
  </si>
  <si>
    <t>Constituent</t>
  </si>
  <si>
    <t>Min. %</t>
  </si>
  <si>
    <t>C</t>
  </si>
  <si>
    <t>Mn</t>
  </si>
  <si>
    <t>Si</t>
  </si>
  <si>
    <t>--</t>
  </si>
  <si>
    <t>Cr</t>
  </si>
  <si>
    <t>Mo</t>
  </si>
  <si>
    <t>P</t>
  </si>
  <si>
    <t>S</t>
  </si>
  <si>
    <t>N</t>
  </si>
  <si>
    <t>77K (-320F)</t>
  </si>
  <si>
    <t>293K (RT)</t>
  </si>
  <si>
    <t>Property</t>
  </si>
  <si>
    <t>Required</t>
  </si>
  <si>
    <t>Elastic Modulus</t>
  </si>
  <si>
    <t>21 Msi             (144.8 Gpa)</t>
  </si>
  <si>
    <t>20 Msi             (137.9 Gpa)</t>
  </si>
  <si>
    <t>0.2% Yield Strength</t>
  </si>
  <si>
    <t>72 ksi              (496.4 Mpa)</t>
  </si>
  <si>
    <t>34 ksi               (234.4 Mpa)</t>
  </si>
  <si>
    <t>Tensile Strength</t>
  </si>
  <si>
    <t>95 ksi              (655 Mpa)</t>
  </si>
  <si>
    <t>78 ksi               (537.8 Mpa)</t>
  </si>
  <si>
    <t>Elongation</t>
  </si>
  <si>
    <t>Charpy V – notch Energy</t>
  </si>
  <si>
    <t>35 ft. lbs.         (47.4 J)</t>
  </si>
  <si>
    <t>50 ft-lbs           (67.8 J)</t>
  </si>
  <si>
    <t>Weld Material</t>
  </si>
  <si>
    <t xml:space="preserve"> Ni</t>
  </si>
  <si>
    <t>Max. %</t>
  </si>
  <si>
    <t>C-1</t>
  </si>
  <si>
    <t>A-1</t>
  </si>
  <si>
    <t>Casting Comparison</t>
  </si>
  <si>
    <t xml:space="preserve">C1 </t>
  </si>
  <si>
    <t>C2</t>
  </si>
  <si>
    <t>C3</t>
  </si>
  <si>
    <t>AVERAGES</t>
  </si>
  <si>
    <t>Major</t>
  </si>
  <si>
    <t>MetalTek</t>
  </si>
  <si>
    <t>MTM</t>
  </si>
  <si>
    <t>Total</t>
  </si>
  <si>
    <t>A-1 Average</t>
  </si>
  <si>
    <t>C6</t>
  </si>
  <si>
    <t>B-1</t>
  </si>
  <si>
    <t>B-2</t>
  </si>
  <si>
    <t>B-3</t>
  </si>
  <si>
    <t>B-4</t>
  </si>
  <si>
    <t>B-5</t>
  </si>
  <si>
    <t>B-6</t>
  </si>
  <si>
    <t>A-2</t>
  </si>
  <si>
    <t>A-3</t>
  </si>
  <si>
    <t>A-4</t>
  </si>
  <si>
    <t>A-5</t>
  </si>
  <si>
    <t>A-6</t>
  </si>
  <si>
    <t>C4</t>
  </si>
  <si>
    <t>C5</t>
  </si>
  <si>
    <t>Type A</t>
  </si>
  <si>
    <t>Type B</t>
  </si>
  <si>
    <t>Type C</t>
  </si>
  <si>
    <t>A-2 Average</t>
  </si>
  <si>
    <t>A-3 Average</t>
  </si>
  <si>
    <t>A-4 Average</t>
  </si>
  <si>
    <t>A-5 Average</t>
  </si>
  <si>
    <t>A-6 Average</t>
  </si>
  <si>
    <t>Weld Filler Metal</t>
  </si>
  <si>
    <t>Lincoln 3018926/78309  Doc #10</t>
  </si>
  <si>
    <t>24.5    Doc 10</t>
  </si>
  <si>
    <t>56.9    Doc #10</t>
  </si>
  <si>
    <t>93.9     Doc #10</t>
  </si>
  <si>
    <t>42%     Doc #10</t>
  </si>
  <si>
    <t>100     Doc #10</t>
  </si>
  <si>
    <t>27.1               Doc#9</t>
  </si>
  <si>
    <t>126.3             Doc#9</t>
  </si>
  <si>
    <t>187.7                Doc#9</t>
  </si>
  <si>
    <t>33%              Doc#9</t>
  </si>
  <si>
    <t>51                Doc#11</t>
  </si>
  <si>
    <t>26.4                     Doc#9</t>
  </si>
  <si>
    <t>109.5                  Doc#9</t>
  </si>
  <si>
    <t>166.9                   Doc#9</t>
  </si>
  <si>
    <t>34%                Doc#9</t>
  </si>
  <si>
    <t>48                    Doc#11</t>
  </si>
  <si>
    <t xml:space="preserve"> Metrode Lot # WO19711</t>
  </si>
  <si>
    <t xml:space="preserve"> Lincoln Lot # 3012668/82743</t>
  </si>
  <si>
    <t>25.5                     Doc#10</t>
  </si>
  <si>
    <t>23.1                      Doc#10</t>
  </si>
  <si>
    <t>56.5                Doc#10</t>
  </si>
  <si>
    <t>63.9                       Doc#10</t>
  </si>
  <si>
    <t>85                     Doc#10</t>
  </si>
  <si>
    <t>98.1                     Doc#10</t>
  </si>
  <si>
    <t>55%               Doc#10</t>
  </si>
  <si>
    <t>54%                       Doc#10</t>
  </si>
  <si>
    <t>102                 Doc#12</t>
  </si>
  <si>
    <t>111                 Doc#12</t>
  </si>
  <si>
    <t>Lincoln 3018926/78309</t>
  </si>
  <si>
    <t xml:space="preserve"> Lincoln Lot # 3017006/72262</t>
  </si>
  <si>
    <t xml:space="preserve"> Metrode Lot # WO21735</t>
  </si>
  <si>
    <t>Metrode Lot # WO21735</t>
  </si>
  <si>
    <t>Previously Reported Heat/Lot # 3012668/82743</t>
  </si>
  <si>
    <r>
      <t xml:space="preserve">Lincoln Lot # 3012668/82743 </t>
    </r>
    <r>
      <rPr>
        <sz val="10"/>
        <color indexed="17"/>
        <rFont val="Times"/>
        <family val="1"/>
      </rPr>
      <t xml:space="preserve"> </t>
    </r>
    <r>
      <rPr>
        <sz val="10"/>
        <color indexed="45"/>
        <rFont val="Times"/>
        <family val="1"/>
      </rPr>
      <t>see previous info -&gt;</t>
    </r>
  </si>
  <si>
    <t xml:space="preserve">Lincoln 3018513/78308  </t>
  </si>
  <si>
    <t>updated 2/15/07</t>
  </si>
  <si>
    <t>A1</t>
  </si>
  <si>
    <t>A2</t>
  </si>
  <si>
    <t>A3</t>
  </si>
  <si>
    <t>A4</t>
  </si>
  <si>
    <t>A5</t>
  </si>
  <si>
    <t>A6</t>
  </si>
  <si>
    <t>77K</t>
  </si>
  <si>
    <t>293K</t>
  </si>
  <si>
    <t>B1</t>
  </si>
  <si>
    <t>B2</t>
  </si>
  <si>
    <t>SD</t>
  </si>
  <si>
    <t>RT</t>
  </si>
  <si>
    <t>Elastic Modulus (Msi)</t>
  </si>
  <si>
    <t>0.2% Yield Strength (ksi)</t>
  </si>
  <si>
    <t>Tensile Strength (ksi)</t>
  </si>
  <si>
    <t>Elongation (%)</t>
  </si>
  <si>
    <t>Charpy V – Notch Energy (ft-lbs)</t>
  </si>
  <si>
    <t>Avg</t>
  </si>
  <si>
    <t>Min</t>
  </si>
  <si>
    <t>Max</t>
  </si>
  <si>
    <t>Range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</si>
</sst>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"/>
    <numFmt numFmtId="170" formatCode="0.0"/>
    <numFmt numFmtId="171" formatCode="0.0%"/>
    <numFmt numFmtId="172" formatCode="0.00000"/>
    <numFmt numFmtId="173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10"/>
      <name val="Arial"/>
      <family val="2"/>
    </font>
    <font>
      <b/>
      <sz val="12"/>
      <name val="Times"/>
      <family val="0"/>
    </font>
    <font>
      <sz val="12"/>
      <name val="Skia"/>
      <family val="0"/>
    </font>
    <font>
      <sz val="12"/>
      <name val="Times"/>
      <family val="0"/>
    </font>
    <font>
      <u val="single"/>
      <sz val="12"/>
      <name val="Times"/>
      <family val="0"/>
    </font>
    <font>
      <b/>
      <sz val="10"/>
      <name val="Times"/>
      <family val="0"/>
    </font>
    <font>
      <b/>
      <sz val="10"/>
      <color indexed="17"/>
      <name val="Times"/>
      <family val="0"/>
    </font>
    <font>
      <sz val="12"/>
      <color indexed="17"/>
      <name val="Times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2"/>
      <name val="Tahoma"/>
      <family val="2"/>
    </font>
    <font>
      <b/>
      <sz val="12"/>
      <name val="Skia"/>
      <family val="0"/>
    </font>
    <font>
      <sz val="10"/>
      <color indexed="17"/>
      <name val="Times"/>
      <family val="1"/>
    </font>
    <font>
      <sz val="10"/>
      <color indexed="45"/>
      <name val="Times"/>
      <family val="1"/>
    </font>
    <font>
      <sz val="12"/>
      <color indexed="10"/>
      <name val="Times"/>
      <family val="0"/>
    </font>
    <font>
      <sz val="11"/>
      <color indexed="10"/>
      <name val="Arial"/>
      <family val="0"/>
    </font>
    <font>
      <sz val="9"/>
      <name val="Arial"/>
      <family val="0"/>
    </font>
    <font>
      <sz val="9"/>
      <name val="Times"/>
      <family val="0"/>
    </font>
    <font>
      <sz val="12"/>
      <color indexed="17"/>
      <name val="Arial"/>
      <family val="0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12"/>
      <color indexed="45"/>
      <name val="Arial"/>
      <family val="0"/>
    </font>
    <font>
      <sz val="12"/>
      <color indexed="53"/>
      <name val="Times"/>
      <family val="0"/>
    </font>
    <font>
      <b/>
      <sz val="12"/>
      <name val="Arial"/>
      <family val="0"/>
    </font>
    <font>
      <vertAlign val="superscript"/>
      <sz val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58"/>
      </right>
      <top style="medium"/>
      <bottom style="thin">
        <color indexed="58"/>
      </bottom>
    </border>
    <border>
      <left>
        <color indexed="63"/>
      </left>
      <right style="thin">
        <color indexed="58"/>
      </right>
      <top style="medium"/>
      <bottom style="thin">
        <color indexed="58"/>
      </bottom>
    </border>
    <border>
      <left>
        <color indexed="63"/>
      </left>
      <right style="medium"/>
      <top style="medium"/>
      <bottom style="thin">
        <color indexed="58"/>
      </bottom>
    </border>
    <border>
      <left style="medium"/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medium"/>
      <right style="thin">
        <color indexed="58"/>
      </right>
      <top>
        <color indexed="63"/>
      </top>
      <bottom style="medium"/>
    </border>
    <border>
      <left>
        <color indexed="63"/>
      </left>
      <right style="thin">
        <color indexed="58"/>
      </right>
      <top>
        <color indexed="63"/>
      </top>
      <bottom style="medium"/>
    </border>
    <border>
      <left style="thick">
        <color indexed="17"/>
      </left>
      <right>
        <color indexed="63"/>
      </right>
      <top style="thick">
        <color indexed="17"/>
      </top>
      <bottom style="medium">
        <color indexed="17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7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5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medium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9" fontId="6" fillId="4" borderId="16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11" fillId="0" borderId="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5" xfId="0" applyFont="1" applyBorder="1" applyAlignment="1">
      <alignment horizontal="right"/>
    </xf>
    <xf numFmtId="0" fontId="14" fillId="0" borderId="0" xfId="0" applyFont="1" applyAlignment="1">
      <alignment/>
    </xf>
    <xf numFmtId="0" fontId="6" fillId="4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171" fontId="6" fillId="4" borderId="11" xfId="0" applyNumberFormat="1" applyFont="1" applyFill="1" applyBorder="1" applyAlignment="1">
      <alignment horizontal="center" vertical="top" wrapText="1"/>
    </xf>
    <xf numFmtId="171" fontId="6" fillId="4" borderId="9" xfId="0" applyNumberFormat="1" applyFont="1" applyFill="1" applyBorder="1" applyAlignment="1">
      <alignment horizontal="center" vertical="top" wrapText="1"/>
    </xf>
    <xf numFmtId="171" fontId="10" fillId="0" borderId="10" xfId="0" applyNumberFormat="1" applyFont="1" applyBorder="1" applyAlignment="1">
      <alignment horizontal="center" vertical="top" wrapText="1"/>
    </xf>
    <xf numFmtId="171" fontId="6" fillId="4" borderId="13" xfId="0" applyNumberFormat="1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170" fontId="10" fillId="0" borderId="10" xfId="0" applyNumberFormat="1" applyFont="1" applyBorder="1" applyAlignment="1">
      <alignment horizontal="center" vertical="top" wrapText="1"/>
    </xf>
    <xf numFmtId="170" fontId="10" fillId="0" borderId="20" xfId="0" applyNumberFormat="1" applyFont="1" applyBorder="1" applyAlignment="1">
      <alignment horizontal="center" vertical="top" wrapText="1"/>
    </xf>
    <xf numFmtId="170" fontId="10" fillId="0" borderId="2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70" fontId="10" fillId="0" borderId="0" xfId="0" applyNumberFormat="1" applyFont="1" applyBorder="1" applyAlignment="1">
      <alignment horizontal="center" vertical="top" wrapText="1"/>
    </xf>
    <xf numFmtId="169" fontId="16" fillId="0" borderId="5" xfId="0" applyNumberFormat="1" applyFont="1" applyBorder="1" applyAlignment="1">
      <alignment/>
    </xf>
    <xf numFmtId="169" fontId="16" fillId="0" borderId="5" xfId="0" applyNumberFormat="1" applyFont="1" applyBorder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6" fillId="4" borderId="22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70" fontId="17" fillId="0" borderId="0" xfId="0" applyNumberFormat="1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171" fontId="6" fillId="4" borderId="16" xfId="0" applyNumberFormat="1" applyFont="1" applyFill="1" applyBorder="1" applyAlignment="1">
      <alignment horizontal="center" vertical="top" wrapText="1"/>
    </xf>
    <xf numFmtId="171" fontId="10" fillId="0" borderId="16" xfId="0" applyNumberFormat="1" applyFont="1" applyBorder="1" applyAlignment="1">
      <alignment horizontal="center" vertical="top" wrapText="1"/>
    </xf>
    <xf numFmtId="0" fontId="9" fillId="5" borderId="16" xfId="0" applyFont="1" applyFill="1" applyBorder="1" applyAlignment="1">
      <alignment horizontal="center" vertical="top" wrapText="1"/>
    </xf>
    <xf numFmtId="0" fontId="10" fillId="5" borderId="16" xfId="0" applyFont="1" applyFill="1" applyBorder="1" applyAlignment="1">
      <alignment horizontal="center" vertical="top" wrapText="1"/>
    </xf>
    <xf numFmtId="9" fontId="10" fillId="5" borderId="16" xfId="0" applyNumberFormat="1" applyFont="1" applyFill="1" applyBorder="1" applyAlignment="1">
      <alignment horizontal="center" vertical="top" wrapText="1"/>
    </xf>
    <xf numFmtId="171" fontId="21" fillId="0" borderId="16" xfId="0" applyNumberFormat="1" applyFont="1" applyBorder="1" applyAlignment="1">
      <alignment horizontal="center" vertical="top" wrapText="1"/>
    </xf>
    <xf numFmtId="170" fontId="7" fillId="4" borderId="4" xfId="0" applyNumberFormat="1" applyFont="1" applyFill="1" applyBorder="1" applyAlignment="1">
      <alignment horizontal="center" vertical="top" wrapText="1"/>
    </xf>
    <xf numFmtId="170" fontId="6" fillId="4" borderId="5" xfId="0" applyNumberFormat="1" applyFont="1" applyFill="1" applyBorder="1" applyAlignment="1">
      <alignment horizontal="center" vertical="top" wrapText="1"/>
    </xf>
    <xf numFmtId="170" fontId="0" fillId="0" borderId="0" xfId="0" applyNumberFormat="1" applyAlignment="1">
      <alignment/>
    </xf>
    <xf numFmtId="169" fontId="7" fillId="4" borderId="4" xfId="0" applyNumberFormat="1" applyFont="1" applyFill="1" applyBorder="1" applyAlignment="1">
      <alignment horizontal="center" vertical="top" wrapText="1"/>
    </xf>
    <xf numFmtId="169" fontId="6" fillId="4" borderId="5" xfId="0" applyNumberFormat="1" applyFont="1" applyFill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16" fillId="6" borderId="5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170" fontId="22" fillId="6" borderId="5" xfId="0" applyNumberFormat="1" applyFont="1" applyFill="1" applyBorder="1" applyAlignment="1">
      <alignment horizontal="center"/>
    </xf>
    <xf numFmtId="170" fontId="16" fillId="6" borderId="5" xfId="0" applyNumberFormat="1" applyFont="1" applyFill="1" applyBorder="1" applyAlignment="1">
      <alignment horizontal="center"/>
    </xf>
    <xf numFmtId="169" fontId="22" fillId="6" borderId="5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70" fontId="16" fillId="0" borderId="5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NumberFormat="1" applyFont="1" applyBorder="1" applyAlignment="1">
      <alignment horizontal="center"/>
    </xf>
    <xf numFmtId="0" fontId="16" fillId="6" borderId="5" xfId="0" applyNumberFormat="1" applyFont="1" applyFill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16" fillId="6" borderId="7" xfId="0" applyNumberFormat="1" applyFont="1" applyFill="1" applyBorder="1" applyAlignment="1">
      <alignment horizontal="center"/>
    </xf>
    <xf numFmtId="0" fontId="6" fillId="4" borderId="5" xfId="0" applyFont="1" applyFill="1" applyBorder="1" applyAlignment="1" quotePrefix="1">
      <alignment horizontal="center" vertical="top" wrapText="1"/>
    </xf>
    <xf numFmtId="170" fontId="25" fillId="0" borderId="5" xfId="0" applyNumberFormat="1" applyFont="1" applyBorder="1" applyAlignment="1">
      <alignment horizontal="right"/>
    </xf>
    <xf numFmtId="170" fontId="11" fillId="0" borderId="18" xfId="0" applyNumberFormat="1" applyFont="1" applyBorder="1" applyAlignment="1">
      <alignment/>
    </xf>
    <xf numFmtId="0" fontId="6" fillId="4" borderId="7" xfId="0" applyFont="1" applyFill="1" applyBorder="1" applyAlignment="1" quotePrefix="1">
      <alignment horizontal="center" vertical="top" wrapText="1"/>
    </xf>
    <xf numFmtId="0" fontId="25" fillId="0" borderId="5" xfId="0" applyFont="1" applyBorder="1" applyAlignment="1">
      <alignment/>
    </xf>
    <xf numFmtId="0" fontId="25" fillId="0" borderId="7" xfId="0" applyFont="1" applyBorder="1" applyAlignment="1">
      <alignment/>
    </xf>
    <xf numFmtId="0" fontId="28" fillId="0" borderId="5" xfId="0" applyFont="1" applyBorder="1" applyAlignment="1">
      <alignment/>
    </xf>
    <xf numFmtId="170" fontId="28" fillId="0" borderId="5" xfId="0" applyNumberFormat="1" applyFont="1" applyBorder="1" applyAlignment="1">
      <alignment/>
    </xf>
    <xf numFmtId="0" fontId="28" fillId="0" borderId="5" xfId="0" applyFont="1" applyBorder="1" applyAlignment="1">
      <alignment horizontal="right" vertical="top" wrapText="1"/>
    </xf>
    <xf numFmtId="0" fontId="28" fillId="0" borderId="7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6" borderId="0" xfId="0" applyNumberFormat="1" applyFont="1" applyFill="1" applyBorder="1" applyAlignment="1">
      <alignment horizontal="center"/>
    </xf>
    <xf numFmtId="169" fontId="10" fillId="4" borderId="5" xfId="0" applyNumberFormat="1" applyFont="1" applyFill="1" applyBorder="1" applyAlignment="1">
      <alignment horizontal="center" vertical="top" wrapText="1"/>
    </xf>
    <xf numFmtId="170" fontId="10" fillId="4" borderId="5" xfId="0" applyNumberFormat="1" applyFont="1" applyFill="1" applyBorder="1" applyAlignment="1">
      <alignment horizontal="center" vertical="top" wrapText="1"/>
    </xf>
    <xf numFmtId="171" fontId="29" fillId="0" borderId="10" xfId="0" applyNumberFormat="1" applyFont="1" applyBorder="1" applyAlignment="1">
      <alignment horizontal="center" vertical="top" wrapText="1"/>
    </xf>
    <xf numFmtId="1" fontId="10" fillId="0" borderId="16" xfId="0" applyNumberFormat="1" applyFont="1" applyBorder="1" applyAlignment="1">
      <alignment horizontal="center" vertical="top" wrapText="1"/>
    </xf>
    <xf numFmtId="0" fontId="11" fillId="0" borderId="0" xfId="0" applyNumberFormat="1" applyFont="1" applyAlignment="1">
      <alignment/>
    </xf>
    <xf numFmtId="0" fontId="26" fillId="4" borderId="24" xfId="0" applyFont="1" applyFill="1" applyBorder="1" applyAlignment="1">
      <alignment wrapText="1"/>
    </xf>
    <xf numFmtId="0" fontId="27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19" fillId="4" borderId="24" xfId="0" applyFont="1" applyFill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4" fillId="2" borderId="2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171" fontId="6" fillId="4" borderId="0" xfId="0" applyNumberFormat="1" applyFont="1" applyFill="1" applyBorder="1" applyAlignment="1">
      <alignment horizontal="center" vertical="top" wrapText="1"/>
    </xf>
    <xf numFmtId="171" fontId="10" fillId="0" borderId="0" xfId="0" applyNumberFormat="1" applyFont="1" applyBorder="1" applyAlignment="1">
      <alignment horizontal="center" vertical="top" wrapText="1"/>
    </xf>
    <xf numFmtId="171" fontId="29" fillId="0" borderId="0" xfId="0" applyNumberFormat="1" applyFont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70" fontId="10" fillId="0" borderId="0" xfId="0" applyNumberFormat="1" applyFont="1" applyFill="1" applyBorder="1" applyAlignment="1">
      <alignment horizontal="center" vertical="top" wrapText="1"/>
    </xf>
    <xf numFmtId="171" fontId="10" fillId="0" borderId="0" xfId="0" applyNumberFormat="1" applyFont="1" applyFill="1" applyBorder="1" applyAlignment="1">
      <alignment horizontal="center" vertical="top" wrapText="1"/>
    </xf>
    <xf numFmtId="9" fontId="0" fillId="0" borderId="0" xfId="21" applyBorder="1" applyAlignment="1">
      <alignment/>
    </xf>
    <xf numFmtId="9" fontId="0" fillId="0" borderId="0" xfId="21" applyFill="1" applyBorder="1" applyAlignment="1">
      <alignment/>
    </xf>
    <xf numFmtId="0" fontId="0" fillId="0" borderId="0" xfId="0" applyFont="1" applyFill="1" applyBorder="1" applyAlignment="1">
      <alignment horizontal="right" vertical="top" wrapText="1"/>
    </xf>
    <xf numFmtId="9" fontId="0" fillId="0" borderId="0" xfId="2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8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right" vertical="top" wrapText="1"/>
    </xf>
    <xf numFmtId="0" fontId="0" fillId="0" borderId="32" xfId="0" applyFont="1" applyFill="1" applyBorder="1" applyAlignment="1">
      <alignment horizontal="right" vertical="top" wrapText="1"/>
    </xf>
    <xf numFmtId="9" fontId="0" fillId="0" borderId="29" xfId="21" applyBorder="1" applyAlignment="1">
      <alignment/>
    </xf>
    <xf numFmtId="0" fontId="0" fillId="0" borderId="31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0" borderId="33" xfId="21" applyFont="1" applyFill="1" applyBorder="1" applyAlignment="1">
      <alignment horizontal="right"/>
    </xf>
    <xf numFmtId="1" fontId="0" fillId="0" borderId="28" xfId="0" applyNumberFormat="1" applyBorder="1" applyAlignment="1">
      <alignment/>
    </xf>
    <xf numFmtId="1" fontId="0" fillId="0" borderId="31" xfId="0" applyNumberFormat="1" applyFont="1" applyFill="1" applyBorder="1" applyAlignment="1">
      <alignment horizontal="right"/>
    </xf>
    <xf numFmtId="1" fontId="0" fillId="0" borderId="32" xfId="0" applyNumberFormat="1" applyFont="1" applyFill="1" applyBorder="1" applyAlignment="1">
      <alignment horizontal="right"/>
    </xf>
    <xf numFmtId="1" fontId="0" fillId="0" borderId="29" xfId="0" applyNumberForma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33" xfId="0" applyNumberFormat="1" applyFont="1" applyFill="1" applyBorder="1" applyAlignment="1">
      <alignment horizontal="right"/>
    </xf>
    <xf numFmtId="1" fontId="0" fillId="0" borderId="30" xfId="0" applyNumberFormat="1" applyBorder="1" applyAlignment="1">
      <alignment/>
    </xf>
    <xf numFmtId="1" fontId="0" fillId="0" borderId="3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" fontId="0" fillId="0" borderId="28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31" xfId="0" applyNumberFormat="1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" fontId="0" fillId="0" borderId="34" xfId="0" applyNumberFormat="1" applyFill="1" applyBorder="1" applyAlignment="1">
      <alignment/>
    </xf>
    <xf numFmtId="9" fontId="0" fillId="0" borderId="31" xfId="21" applyFont="1" applyFill="1" applyBorder="1" applyAlignment="1">
      <alignment horizontal="right"/>
    </xf>
    <xf numFmtId="9" fontId="0" fillId="0" borderId="34" xfId="21" applyFont="1" applyFill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0" xfId="0" applyBorder="1" applyAlignment="1">
      <alignment horizontal="right"/>
    </xf>
    <xf numFmtId="9" fontId="0" fillId="0" borderId="29" xfId="2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Elastic Modulus (Msi)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77K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Statistics!$C$2:$Q$2</c:f>
              <c:strCache>
                <c:ptCount val="15"/>
                <c:pt idx="0">
                  <c:v>Required</c:v>
                </c:pt>
                <c:pt idx="1">
                  <c:v>C1 </c:v>
                </c:pt>
                <c:pt idx="2">
                  <c:v>C2</c:v>
                </c:pt>
                <c:pt idx="3">
                  <c:v>C3</c:v>
                </c:pt>
                <c:pt idx="4">
                  <c:v>C4</c:v>
                </c:pt>
                <c:pt idx="5">
                  <c:v>C5</c:v>
                </c:pt>
                <c:pt idx="6">
                  <c:v>C6</c:v>
                </c:pt>
                <c:pt idx="7">
                  <c:v>A1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B1</c:v>
                </c:pt>
                <c:pt idx="14">
                  <c:v>B2</c:v>
                </c:pt>
              </c:strCache>
            </c:strRef>
          </c:cat>
          <c:val>
            <c:numRef>
              <c:f>Statistics!$C$3:$Q$3</c:f>
              <c:numCache>
                <c:ptCount val="15"/>
                <c:pt idx="0">
                  <c:v>21</c:v>
                </c:pt>
                <c:pt idx="1">
                  <c:v>23.333333333333332</c:v>
                </c:pt>
                <c:pt idx="2">
                  <c:v>25.53333333333333</c:v>
                </c:pt>
                <c:pt idx="3">
                  <c:v>24.933333333333334</c:v>
                </c:pt>
                <c:pt idx="4">
                  <c:v>26.46666666666667</c:v>
                </c:pt>
                <c:pt idx="5">
                  <c:v>30.233333333333334</c:v>
                </c:pt>
                <c:pt idx="6">
                  <c:v>28.8</c:v>
                </c:pt>
                <c:pt idx="7">
                  <c:v>25.5</c:v>
                </c:pt>
                <c:pt idx="8">
                  <c:v>25.3</c:v>
                </c:pt>
                <c:pt idx="9">
                  <c:v>26.666666666666668</c:v>
                </c:pt>
                <c:pt idx="10">
                  <c:v>28.866666666666664</c:v>
                </c:pt>
                <c:pt idx="11">
                  <c:v>26.400000000000002</c:v>
                </c:pt>
                <c:pt idx="12">
                  <c:v>27.942857142857143</c:v>
                </c:pt>
                <c:pt idx="13">
                  <c:v>25.866666666666664</c:v>
                </c:pt>
                <c:pt idx="14">
                  <c:v>27.366666666666664</c:v>
                </c:pt>
              </c:numCache>
            </c:numRef>
          </c:val>
        </c:ser>
        <c:ser>
          <c:idx val="1"/>
          <c:order val="1"/>
          <c:tx>
            <c:v>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Statistics!$C$10:$N$10</c:f>
              <c:numCache>
                <c:ptCount val="12"/>
                <c:pt idx="0">
                  <c:v>20</c:v>
                </c:pt>
                <c:pt idx="1">
                  <c:v>23.133333333333336</c:v>
                </c:pt>
                <c:pt idx="2">
                  <c:v>22.666666666666668</c:v>
                </c:pt>
                <c:pt idx="3">
                  <c:v>21.599999999999998</c:v>
                </c:pt>
                <c:pt idx="4">
                  <c:v>23.066666666666663</c:v>
                </c:pt>
                <c:pt idx="5">
                  <c:v>27.333333333333332</c:v>
                </c:pt>
                <c:pt idx="6">
                  <c:v>24.099999999999998</c:v>
                </c:pt>
                <c:pt idx="7">
                  <c:v>21.666666666666668</c:v>
                </c:pt>
                <c:pt idx="8">
                  <c:v>22.166666666666668</c:v>
                </c:pt>
                <c:pt idx="9">
                  <c:v>21.933333333333337</c:v>
                </c:pt>
                <c:pt idx="10">
                  <c:v>22.933333333333334</c:v>
                </c:pt>
                <c:pt idx="11">
                  <c:v>23.133333333333336</c:v>
                </c:pt>
              </c:numCache>
            </c:numRef>
          </c:val>
        </c:ser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0.2% Yield Strength (ksi)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77K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Statistics!$C$2:$Q$2</c:f>
              <c:strCache>
                <c:ptCount val="15"/>
                <c:pt idx="0">
                  <c:v>Required</c:v>
                </c:pt>
                <c:pt idx="1">
                  <c:v>C1 </c:v>
                </c:pt>
                <c:pt idx="2">
                  <c:v>C2</c:v>
                </c:pt>
                <c:pt idx="3">
                  <c:v>C3</c:v>
                </c:pt>
                <c:pt idx="4">
                  <c:v>C4</c:v>
                </c:pt>
                <c:pt idx="5">
                  <c:v>C5</c:v>
                </c:pt>
                <c:pt idx="6">
                  <c:v>C6</c:v>
                </c:pt>
                <c:pt idx="7">
                  <c:v>A1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B1</c:v>
                </c:pt>
                <c:pt idx="14">
                  <c:v>B2</c:v>
                </c:pt>
              </c:strCache>
            </c:strRef>
          </c:cat>
          <c:val>
            <c:numRef>
              <c:f>Statistics!$C$4:$Q$4</c:f>
              <c:numCache>
                <c:ptCount val="15"/>
                <c:pt idx="0">
                  <c:v>72</c:v>
                </c:pt>
                <c:pt idx="1">
                  <c:v>98.39999999999999</c:v>
                </c:pt>
                <c:pt idx="2">
                  <c:v>93.2</c:v>
                </c:pt>
                <c:pt idx="3">
                  <c:v>97.10000000000001</c:v>
                </c:pt>
                <c:pt idx="4">
                  <c:v>97.83333333333333</c:v>
                </c:pt>
                <c:pt idx="5">
                  <c:v>102.51666666666667</c:v>
                </c:pt>
                <c:pt idx="6">
                  <c:v>99.46666666666665</c:v>
                </c:pt>
                <c:pt idx="7">
                  <c:v>97.3</c:v>
                </c:pt>
                <c:pt idx="8">
                  <c:v>99.93333333333334</c:v>
                </c:pt>
                <c:pt idx="9">
                  <c:v>98.86666666666667</c:v>
                </c:pt>
                <c:pt idx="10">
                  <c:v>100.03333333333335</c:v>
                </c:pt>
                <c:pt idx="11">
                  <c:v>100.96666666666665</c:v>
                </c:pt>
                <c:pt idx="12">
                  <c:v>103.22857142857143</c:v>
                </c:pt>
                <c:pt idx="13">
                  <c:v>98.66666666666667</c:v>
                </c:pt>
                <c:pt idx="14">
                  <c:v>103.89999999999999</c:v>
                </c:pt>
              </c:numCache>
            </c:numRef>
          </c:val>
        </c:ser>
        <c:ser>
          <c:idx val="1"/>
          <c:order val="1"/>
          <c:tx>
            <c:v>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Statistics!$C$11:$N$11</c:f>
              <c:numCache>
                <c:ptCount val="12"/>
                <c:pt idx="0">
                  <c:v>34</c:v>
                </c:pt>
                <c:pt idx="1">
                  <c:v>35.083333333333336</c:v>
                </c:pt>
                <c:pt idx="2">
                  <c:v>36.56666666666666</c:v>
                </c:pt>
                <c:pt idx="3">
                  <c:v>38.266666666666666</c:v>
                </c:pt>
                <c:pt idx="4">
                  <c:v>37.43333333333333</c:v>
                </c:pt>
                <c:pt idx="5">
                  <c:v>38.76666666666667</c:v>
                </c:pt>
                <c:pt idx="6">
                  <c:v>44.46666666666666</c:v>
                </c:pt>
                <c:pt idx="7">
                  <c:v>36.63333333333333</c:v>
                </c:pt>
                <c:pt idx="8">
                  <c:v>43.26666666666667</c:v>
                </c:pt>
                <c:pt idx="9">
                  <c:v>43.166666666666664</c:v>
                </c:pt>
                <c:pt idx="10">
                  <c:v>43.833333333333336</c:v>
                </c:pt>
                <c:pt idx="11">
                  <c:v>42.36666666666667</c:v>
                </c:pt>
              </c:numCache>
            </c:numRef>
          </c:val>
        </c:ser>
        <c:axId val="29026189"/>
        <c:axId val="59909110"/>
      </c:barChart>
      <c:catAx>
        <c:axId val="2902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2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Tensile Strength (ksi)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77K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Statistics!$C$2:$Q$2</c:f>
              <c:strCache>
                <c:ptCount val="15"/>
                <c:pt idx="0">
                  <c:v>Required</c:v>
                </c:pt>
                <c:pt idx="1">
                  <c:v>C1 </c:v>
                </c:pt>
                <c:pt idx="2">
                  <c:v>C2</c:v>
                </c:pt>
                <c:pt idx="3">
                  <c:v>C3</c:v>
                </c:pt>
                <c:pt idx="4">
                  <c:v>C4</c:v>
                </c:pt>
                <c:pt idx="5">
                  <c:v>C5</c:v>
                </c:pt>
                <c:pt idx="6">
                  <c:v>C6</c:v>
                </c:pt>
                <c:pt idx="7">
                  <c:v>A1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B1</c:v>
                </c:pt>
                <c:pt idx="14">
                  <c:v>B2</c:v>
                </c:pt>
              </c:strCache>
            </c:strRef>
          </c:cat>
          <c:val>
            <c:numRef>
              <c:f>Statistics!$C$5:$Q$5</c:f>
              <c:numCache>
                <c:ptCount val="15"/>
                <c:pt idx="0">
                  <c:v>95</c:v>
                </c:pt>
                <c:pt idx="1">
                  <c:v>170.26666666666665</c:v>
                </c:pt>
                <c:pt idx="2">
                  <c:v>163.83333333333334</c:v>
                </c:pt>
                <c:pt idx="3">
                  <c:v>163.13333333333335</c:v>
                </c:pt>
                <c:pt idx="4">
                  <c:v>164.79999999999998</c:v>
                </c:pt>
                <c:pt idx="5">
                  <c:v>170.91666666666666</c:v>
                </c:pt>
                <c:pt idx="6">
                  <c:v>159.9</c:v>
                </c:pt>
                <c:pt idx="7">
                  <c:v>166.29999999999998</c:v>
                </c:pt>
                <c:pt idx="8">
                  <c:v>165.33333333333334</c:v>
                </c:pt>
                <c:pt idx="9">
                  <c:v>165.96666666666667</c:v>
                </c:pt>
                <c:pt idx="10">
                  <c:v>165.86666666666667</c:v>
                </c:pt>
                <c:pt idx="11">
                  <c:v>165.20000000000002</c:v>
                </c:pt>
                <c:pt idx="12">
                  <c:v>163.04285714285717</c:v>
                </c:pt>
                <c:pt idx="13">
                  <c:v>164.9</c:v>
                </c:pt>
                <c:pt idx="14">
                  <c:v>172.5</c:v>
                </c:pt>
              </c:numCache>
            </c:numRef>
          </c:val>
        </c:ser>
        <c:ser>
          <c:idx val="1"/>
          <c:order val="1"/>
          <c:tx>
            <c:v>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Statistics!$C$12:$N$12</c:f>
              <c:numCache>
                <c:ptCount val="12"/>
                <c:pt idx="0">
                  <c:v>78</c:v>
                </c:pt>
                <c:pt idx="1">
                  <c:v>83.66666666666667</c:v>
                </c:pt>
                <c:pt idx="2">
                  <c:v>82.43333333333334</c:v>
                </c:pt>
                <c:pt idx="3">
                  <c:v>82.7</c:v>
                </c:pt>
                <c:pt idx="4">
                  <c:v>83.10000000000001</c:v>
                </c:pt>
                <c:pt idx="5">
                  <c:v>87</c:v>
                </c:pt>
                <c:pt idx="6">
                  <c:v>83.66666666666667</c:v>
                </c:pt>
                <c:pt idx="7">
                  <c:v>82.36666666666666</c:v>
                </c:pt>
                <c:pt idx="8">
                  <c:v>83.7</c:v>
                </c:pt>
                <c:pt idx="9">
                  <c:v>82.63333333333333</c:v>
                </c:pt>
                <c:pt idx="10">
                  <c:v>84.6</c:v>
                </c:pt>
                <c:pt idx="11">
                  <c:v>82.23333333333333</c:v>
                </c:pt>
              </c:numCache>
            </c:numRef>
          </c:val>
        </c:ser>
        <c:axId val="2311079"/>
        <c:axId val="20799712"/>
      </c:barChart>
      <c:catAx>
        <c:axId val="231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Elongation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77K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Statistics!$C$2:$Q$2</c:f>
              <c:strCache>
                <c:ptCount val="15"/>
                <c:pt idx="0">
                  <c:v>Required</c:v>
                </c:pt>
                <c:pt idx="1">
                  <c:v>C1 </c:v>
                </c:pt>
                <c:pt idx="2">
                  <c:v>C2</c:v>
                </c:pt>
                <c:pt idx="3">
                  <c:v>C3</c:v>
                </c:pt>
                <c:pt idx="4">
                  <c:v>C4</c:v>
                </c:pt>
                <c:pt idx="5">
                  <c:v>C5</c:v>
                </c:pt>
                <c:pt idx="6">
                  <c:v>C6</c:v>
                </c:pt>
                <c:pt idx="7">
                  <c:v>A1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B1</c:v>
                </c:pt>
                <c:pt idx="14">
                  <c:v>B2</c:v>
                </c:pt>
              </c:strCache>
            </c:strRef>
          </c:cat>
          <c:val>
            <c:numRef>
              <c:f>Statistics!$C$6:$Q$6</c:f>
              <c:numCache>
                <c:ptCount val="15"/>
                <c:pt idx="0">
                  <c:v>0.32</c:v>
                </c:pt>
                <c:pt idx="1">
                  <c:v>0.5566666666666666</c:v>
                </c:pt>
                <c:pt idx="2">
                  <c:v>0.5433333333333333</c:v>
                </c:pt>
                <c:pt idx="3">
                  <c:v>0.5566666666666666</c:v>
                </c:pt>
                <c:pt idx="4">
                  <c:v>0.54</c:v>
                </c:pt>
                <c:pt idx="5">
                  <c:v>0.42399999999999993</c:v>
                </c:pt>
                <c:pt idx="6">
                  <c:v>0.42333333333333334</c:v>
                </c:pt>
                <c:pt idx="7">
                  <c:v>0.56</c:v>
                </c:pt>
                <c:pt idx="8">
                  <c:v>0.5633333333333334</c:v>
                </c:pt>
                <c:pt idx="9">
                  <c:v>0.51</c:v>
                </c:pt>
                <c:pt idx="10">
                  <c:v>0.45999999999999996</c:v>
                </c:pt>
                <c:pt idx="11">
                  <c:v>0.48666666666666664</c:v>
                </c:pt>
                <c:pt idx="12">
                  <c:v>0.3828571428571429</c:v>
                </c:pt>
                <c:pt idx="13">
                  <c:v>0.4633333333333334</c:v>
                </c:pt>
                <c:pt idx="14">
                  <c:v>0.5033333333333333</c:v>
                </c:pt>
              </c:numCache>
            </c:numRef>
          </c:val>
        </c:ser>
        <c:ser>
          <c:idx val="1"/>
          <c:order val="1"/>
          <c:tx>
            <c:v>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Statistics!$C$13:$N$13</c:f>
              <c:numCache>
                <c:ptCount val="12"/>
                <c:pt idx="0">
                  <c:v>0.36</c:v>
                </c:pt>
                <c:pt idx="1">
                  <c:v>0.5199999999999999</c:v>
                </c:pt>
                <c:pt idx="2">
                  <c:v>0.5346666666666666</c:v>
                </c:pt>
                <c:pt idx="3">
                  <c:v>0.525</c:v>
                </c:pt>
                <c:pt idx="4">
                  <c:v>0.5566666666666666</c:v>
                </c:pt>
                <c:pt idx="5">
                  <c:v>0.5800000000000001</c:v>
                </c:pt>
                <c:pt idx="6">
                  <c:v>0.4033333333333333</c:v>
                </c:pt>
                <c:pt idx="7">
                  <c:v>0.5316666666666666</c:v>
                </c:pt>
                <c:pt idx="8">
                  <c:v>0.5599999999999999</c:v>
                </c:pt>
                <c:pt idx="9">
                  <c:v>0.5333333333333333</c:v>
                </c:pt>
                <c:pt idx="10">
                  <c:v>0.5033333333333333</c:v>
                </c:pt>
                <c:pt idx="11">
                  <c:v>0.5</c:v>
                </c:pt>
              </c:numCache>
            </c:numRef>
          </c:val>
        </c:ser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2979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Charpy V-Notch Energy (ft-lbs)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77K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Statistics!$C$2:$Q$2</c:f>
              <c:strCache>
                <c:ptCount val="15"/>
                <c:pt idx="0">
                  <c:v>Required</c:v>
                </c:pt>
                <c:pt idx="1">
                  <c:v>C1 </c:v>
                </c:pt>
                <c:pt idx="2">
                  <c:v>C2</c:v>
                </c:pt>
                <c:pt idx="3">
                  <c:v>C3</c:v>
                </c:pt>
                <c:pt idx="4">
                  <c:v>C4</c:v>
                </c:pt>
                <c:pt idx="5">
                  <c:v>C5</c:v>
                </c:pt>
                <c:pt idx="6">
                  <c:v>C6</c:v>
                </c:pt>
                <c:pt idx="7">
                  <c:v>A1</c:v>
                </c:pt>
                <c:pt idx="8">
                  <c:v>A2</c:v>
                </c:pt>
                <c:pt idx="9">
                  <c:v>A3</c:v>
                </c:pt>
                <c:pt idx="10">
                  <c:v>A4</c:v>
                </c:pt>
                <c:pt idx="11">
                  <c:v>A5</c:v>
                </c:pt>
                <c:pt idx="12">
                  <c:v>A6</c:v>
                </c:pt>
                <c:pt idx="13">
                  <c:v>B1</c:v>
                </c:pt>
                <c:pt idx="14">
                  <c:v>B2</c:v>
                </c:pt>
              </c:strCache>
            </c:strRef>
          </c:cat>
          <c:val>
            <c:numRef>
              <c:f>Statistics!$C$7:$Q$7</c:f>
              <c:numCache>
                <c:ptCount val="15"/>
                <c:pt idx="0">
                  <c:v>35</c:v>
                </c:pt>
                <c:pt idx="1">
                  <c:v>77.66666666666667</c:v>
                </c:pt>
                <c:pt idx="2">
                  <c:v>84.33333333333333</c:v>
                </c:pt>
                <c:pt idx="3">
                  <c:v>99.66666666666667</c:v>
                </c:pt>
                <c:pt idx="4">
                  <c:v>86.66666666666667</c:v>
                </c:pt>
                <c:pt idx="5">
                  <c:v>80.33333333333333</c:v>
                </c:pt>
                <c:pt idx="6">
                  <c:v>85.33333333333333</c:v>
                </c:pt>
                <c:pt idx="7">
                  <c:v>78.66666666666667</c:v>
                </c:pt>
                <c:pt idx="8">
                  <c:v>79</c:v>
                </c:pt>
                <c:pt idx="9">
                  <c:v>87.33333333333333</c:v>
                </c:pt>
                <c:pt idx="10">
                  <c:v>76.66666666666667</c:v>
                </c:pt>
                <c:pt idx="11">
                  <c:v>70.33333333333333</c:v>
                </c:pt>
                <c:pt idx="12">
                  <c:v>73</c:v>
                </c:pt>
                <c:pt idx="13">
                  <c:v>88</c:v>
                </c:pt>
                <c:pt idx="14">
                  <c:v>63.666666666666664</c:v>
                </c:pt>
              </c:numCache>
            </c:numRef>
          </c:val>
        </c:ser>
        <c:ser>
          <c:idx val="1"/>
          <c:order val="1"/>
          <c:tx>
            <c:v>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Statistics!$C$14:$N$14</c:f>
              <c:numCache>
                <c:ptCount val="12"/>
                <c:pt idx="0">
                  <c:v>50</c:v>
                </c:pt>
                <c:pt idx="1">
                  <c:v>142</c:v>
                </c:pt>
                <c:pt idx="2">
                  <c:v>150.66666666666666</c:v>
                </c:pt>
                <c:pt idx="3">
                  <c:v>157.33333333333334</c:v>
                </c:pt>
                <c:pt idx="4">
                  <c:v>175.66666666666666</c:v>
                </c:pt>
                <c:pt idx="5">
                  <c:v>139</c:v>
                </c:pt>
                <c:pt idx="6">
                  <c:v>152.33333333333334</c:v>
                </c:pt>
                <c:pt idx="7">
                  <c:v>163.66666666666666</c:v>
                </c:pt>
                <c:pt idx="8">
                  <c:v>164</c:v>
                </c:pt>
                <c:pt idx="9">
                  <c:v>158</c:v>
                </c:pt>
                <c:pt idx="10">
                  <c:v>150.33333333333334</c:v>
                </c:pt>
                <c:pt idx="11">
                  <c:v>146.33333333333334</c:v>
                </c:pt>
              </c:numCache>
            </c:numRef>
          </c:val>
        </c:ser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Yield strength v. production order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Sy @ RT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Statistics!$D$1:$N$1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7</c:v>
                </c:pt>
                <c:pt idx="8">
                  <c:v>8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Statistics!$D$11:$N$11</c:f>
              <c:numCache>
                <c:ptCount val="11"/>
                <c:pt idx="0">
                  <c:v>35.083333333333336</c:v>
                </c:pt>
                <c:pt idx="1">
                  <c:v>36.56666666666666</c:v>
                </c:pt>
                <c:pt idx="2">
                  <c:v>38.266666666666666</c:v>
                </c:pt>
                <c:pt idx="3">
                  <c:v>37.43333333333333</c:v>
                </c:pt>
                <c:pt idx="4">
                  <c:v>38.76666666666667</c:v>
                </c:pt>
                <c:pt idx="5">
                  <c:v>44.46666666666666</c:v>
                </c:pt>
                <c:pt idx="6">
                  <c:v>36.63333333333333</c:v>
                </c:pt>
                <c:pt idx="7">
                  <c:v>43.26666666666667</c:v>
                </c:pt>
                <c:pt idx="8">
                  <c:v>43.166666666666664</c:v>
                </c:pt>
                <c:pt idx="9">
                  <c:v>43.833333333333336</c:v>
                </c:pt>
                <c:pt idx="10">
                  <c:v>42.36666666666667</c:v>
                </c:pt>
              </c:numCache>
            </c:numRef>
          </c:yVal>
          <c:smooth val="0"/>
        </c:ser>
        <c:axId val="42881205"/>
        <c:axId val="50386526"/>
      </c:scatterChart>
      <c:val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Casting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86526"/>
        <c:crosses val="autoZero"/>
        <c:crossBetween val="midCat"/>
        <c:dispUnits/>
      </c:val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strength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881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37">
      <selection activeCell="A2" sqref="A2"/>
    </sheetView>
  </sheetViews>
  <sheetFormatPr defaultColWidth="9.140625" defaultRowHeight="12.75"/>
  <cols>
    <col min="1" max="1" width="10.00390625" style="0" customWidth="1"/>
    <col min="2" max="6" width="8.7109375" style="0" customWidth="1"/>
    <col min="7" max="7" width="8.421875" style="0" customWidth="1"/>
    <col min="8" max="16384" width="8.7109375" style="0" customWidth="1"/>
  </cols>
  <sheetData>
    <row r="1" ht="13.5" thickBot="1">
      <c r="A1" t="s">
        <v>18</v>
      </c>
    </row>
    <row r="2" spans="1:17" ht="17.25" thickBot="1" thickTop="1">
      <c r="A2" s="32" t="s">
        <v>78</v>
      </c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4"/>
      <c r="O2" s="34"/>
      <c r="P2" s="34"/>
      <c r="Q2" s="34"/>
    </row>
    <row r="3" spans="1:15" s="82" customFormat="1" ht="36">
      <c r="A3" s="78" t="s">
        <v>19</v>
      </c>
      <c r="B3" s="79" t="s">
        <v>20</v>
      </c>
      <c r="C3" s="79" t="s">
        <v>49</v>
      </c>
      <c r="D3" s="80" t="s">
        <v>10</v>
      </c>
      <c r="E3" s="81" t="s">
        <v>5</v>
      </c>
      <c r="F3" s="80" t="s">
        <v>11</v>
      </c>
      <c r="G3" s="81" t="s">
        <v>6</v>
      </c>
      <c r="H3" s="80" t="s">
        <v>12</v>
      </c>
      <c r="I3" s="81" t="s">
        <v>7</v>
      </c>
      <c r="J3" s="80" t="s">
        <v>13</v>
      </c>
      <c r="K3" s="81" t="s">
        <v>8</v>
      </c>
      <c r="L3" s="80" t="s">
        <v>15</v>
      </c>
      <c r="M3" s="81" t="s">
        <v>9</v>
      </c>
      <c r="N3" s="80" t="s">
        <v>14</v>
      </c>
      <c r="O3" s="81" t="s">
        <v>16</v>
      </c>
    </row>
    <row r="4" spans="1:15" ht="15">
      <c r="A4" s="9" t="s">
        <v>21</v>
      </c>
      <c r="B4" s="10">
        <v>0.04</v>
      </c>
      <c r="C4" s="10">
        <v>0.07</v>
      </c>
      <c r="D4" s="88">
        <v>0.06</v>
      </c>
      <c r="E4" s="86">
        <v>0.06</v>
      </c>
      <c r="F4" s="88">
        <v>0.06</v>
      </c>
      <c r="G4" s="86">
        <v>0.07</v>
      </c>
      <c r="H4" s="91">
        <v>0.04</v>
      </c>
      <c r="I4" s="92">
        <v>0.06</v>
      </c>
      <c r="J4" s="88">
        <v>0.04</v>
      </c>
      <c r="K4" s="92">
        <v>0.04</v>
      </c>
      <c r="L4" s="91"/>
      <c r="M4" s="92"/>
      <c r="N4" s="91"/>
      <c r="O4" s="92"/>
    </row>
    <row r="5" spans="1:15" s="73" customFormat="1" ht="15">
      <c r="A5" s="71" t="s">
        <v>22</v>
      </c>
      <c r="B5" s="72">
        <v>2.3</v>
      </c>
      <c r="C5" s="72">
        <v>2.8</v>
      </c>
      <c r="D5" s="89">
        <v>2.7</v>
      </c>
      <c r="E5" s="83">
        <v>1.8</v>
      </c>
      <c r="F5" s="89">
        <v>2.8</v>
      </c>
      <c r="G5" s="83">
        <v>1.6</v>
      </c>
      <c r="H5" s="89">
        <v>2.5</v>
      </c>
      <c r="I5" s="83">
        <v>1.6</v>
      </c>
      <c r="J5" s="89">
        <v>2.5</v>
      </c>
      <c r="K5" s="83">
        <v>1.5</v>
      </c>
      <c r="L5" s="89"/>
      <c r="M5" s="84"/>
      <c r="N5" s="89"/>
      <c r="O5" s="84"/>
    </row>
    <row r="6" spans="1:15" s="73" customFormat="1" ht="15">
      <c r="A6" s="71" t="s">
        <v>23</v>
      </c>
      <c r="B6" s="72" t="s">
        <v>24</v>
      </c>
      <c r="C6" s="110">
        <v>0.7</v>
      </c>
      <c r="D6" s="89">
        <v>0.5</v>
      </c>
      <c r="E6" s="84">
        <f>AVERAGE(0.7,0.7,0.7)</f>
        <v>0.6999999999999998</v>
      </c>
      <c r="F6" s="89">
        <v>0.5</v>
      </c>
      <c r="G6" s="83">
        <v>0.9</v>
      </c>
      <c r="H6" s="89">
        <v>0.4</v>
      </c>
      <c r="I6" s="84">
        <v>0.6</v>
      </c>
      <c r="J6" s="89">
        <v>0.4</v>
      </c>
      <c r="K6" s="84">
        <v>0.6</v>
      </c>
      <c r="L6" s="89"/>
      <c r="M6" s="84"/>
      <c r="N6" s="89"/>
      <c r="O6" s="84"/>
    </row>
    <row r="7" spans="1:15" ht="15">
      <c r="A7" s="9" t="s">
        <v>25</v>
      </c>
      <c r="B7" s="10">
        <v>18</v>
      </c>
      <c r="C7" s="10">
        <v>18.5</v>
      </c>
      <c r="D7" s="88">
        <v>18.1</v>
      </c>
      <c r="E7" s="84">
        <v>18.3</v>
      </c>
      <c r="F7" s="88">
        <v>18</v>
      </c>
      <c r="G7" s="84">
        <v>18.2</v>
      </c>
      <c r="H7" s="91">
        <v>18.2</v>
      </c>
      <c r="I7" s="84">
        <v>18.3</v>
      </c>
      <c r="J7" s="88">
        <v>18.2</v>
      </c>
      <c r="K7" s="83">
        <v>17.8</v>
      </c>
      <c r="L7" s="91"/>
      <c r="M7" s="92"/>
      <c r="N7" s="91"/>
      <c r="O7" s="92"/>
    </row>
    <row r="8" spans="1:15" ht="15">
      <c r="A8" s="9" t="s">
        <v>48</v>
      </c>
      <c r="B8" s="10">
        <v>13</v>
      </c>
      <c r="C8" s="10">
        <v>13.5</v>
      </c>
      <c r="D8" s="88">
        <v>13.1</v>
      </c>
      <c r="E8" s="84">
        <v>13.4</v>
      </c>
      <c r="F8" s="88">
        <v>13.2</v>
      </c>
      <c r="G8" s="84">
        <v>13.7</v>
      </c>
      <c r="H8" s="91">
        <v>13.3</v>
      </c>
      <c r="I8" s="84">
        <v>13.7</v>
      </c>
      <c r="J8" s="88">
        <v>13.2</v>
      </c>
      <c r="K8" s="83">
        <v>13.6</v>
      </c>
      <c r="L8" s="91"/>
      <c r="M8" s="92"/>
      <c r="N8" s="91"/>
      <c r="O8" s="92"/>
    </row>
    <row r="9" spans="1:15" ht="15">
      <c r="A9" s="9" t="s">
        <v>26</v>
      </c>
      <c r="B9" s="10">
        <v>2.1</v>
      </c>
      <c r="C9" s="10">
        <v>2.5</v>
      </c>
      <c r="D9" s="88">
        <v>2.2</v>
      </c>
      <c r="E9" s="84">
        <v>2.4</v>
      </c>
      <c r="F9" s="88">
        <v>2.3</v>
      </c>
      <c r="G9" s="84">
        <v>2.2</v>
      </c>
      <c r="H9" s="91">
        <v>2.3</v>
      </c>
      <c r="I9" s="84">
        <v>2.4</v>
      </c>
      <c r="J9" s="88">
        <v>2.2</v>
      </c>
      <c r="K9" s="84">
        <v>2.4</v>
      </c>
      <c r="L9" s="91"/>
      <c r="M9" s="92"/>
      <c r="N9" s="91"/>
      <c r="O9" s="92"/>
    </row>
    <row r="10" spans="1:15" s="76" customFormat="1" ht="15">
      <c r="A10" s="74" t="s">
        <v>27</v>
      </c>
      <c r="B10" s="75" t="s">
        <v>24</v>
      </c>
      <c r="C10" s="109">
        <v>0.035</v>
      </c>
      <c r="D10" s="58">
        <v>0.018</v>
      </c>
      <c r="E10" s="77">
        <v>0.021</v>
      </c>
      <c r="F10" s="58">
        <f>AVERAGE(0.024,0.021,0.025)</f>
        <v>0.023333333333333334</v>
      </c>
      <c r="G10" s="77">
        <v>0.023</v>
      </c>
      <c r="H10" s="58">
        <f>AVERAGE(0.024,0.025,0.021)</f>
        <v>0.023333333333333334</v>
      </c>
      <c r="I10" s="77">
        <v>0.029</v>
      </c>
      <c r="J10" s="58">
        <v>0.03</v>
      </c>
      <c r="K10" s="77">
        <v>0.03</v>
      </c>
      <c r="L10" s="58"/>
      <c r="M10" s="77"/>
      <c r="N10" s="58"/>
      <c r="O10" s="77"/>
    </row>
    <row r="11" spans="1:15" s="76" customFormat="1" ht="15">
      <c r="A11" s="74" t="s">
        <v>28</v>
      </c>
      <c r="B11" s="75" t="s">
        <v>24</v>
      </c>
      <c r="C11" s="109">
        <v>0.025</v>
      </c>
      <c r="D11" s="58">
        <v>0.014</v>
      </c>
      <c r="E11" s="77">
        <v>0.014</v>
      </c>
      <c r="F11" s="58">
        <f>AVERAGE(0.022,0.018,0.015)</f>
        <v>0.01833333333333333</v>
      </c>
      <c r="G11" s="77">
        <v>0.014</v>
      </c>
      <c r="H11" s="58">
        <f>AVERAGE(0.013,0.014,0.012)</f>
        <v>0.013</v>
      </c>
      <c r="I11" s="77">
        <v>0.009</v>
      </c>
      <c r="J11" s="58">
        <v>0.013</v>
      </c>
      <c r="K11" s="77">
        <v>0.012</v>
      </c>
      <c r="L11" s="58"/>
      <c r="M11" s="77"/>
      <c r="N11" s="58"/>
      <c r="O11" s="77"/>
    </row>
    <row r="12" spans="1:15" ht="15.75" thickBot="1">
      <c r="A12" s="11" t="s">
        <v>29</v>
      </c>
      <c r="B12" s="12">
        <v>0.24</v>
      </c>
      <c r="C12" s="12">
        <v>0.28</v>
      </c>
      <c r="D12" s="90">
        <v>0.26</v>
      </c>
      <c r="E12" s="87">
        <v>0.24</v>
      </c>
      <c r="F12" s="90">
        <v>0.26</v>
      </c>
      <c r="G12" s="87">
        <v>0.23</v>
      </c>
      <c r="H12" s="93">
        <v>0.25</v>
      </c>
      <c r="I12" s="94">
        <v>0.024</v>
      </c>
      <c r="J12" s="90">
        <v>0.26</v>
      </c>
      <c r="K12" s="94">
        <v>0.025</v>
      </c>
      <c r="L12" s="93"/>
      <c r="M12" s="94"/>
      <c r="N12" s="93"/>
      <c r="O12" s="94"/>
    </row>
    <row r="13" spans="1:15" ht="14.25">
      <c r="A13" s="118" t="s">
        <v>17</v>
      </c>
      <c r="B13" s="119"/>
      <c r="C13" s="119"/>
      <c r="D13" s="105"/>
      <c r="E13" s="106"/>
      <c r="F13" s="105"/>
      <c r="G13" s="106"/>
      <c r="H13" s="107"/>
      <c r="I13" s="108"/>
      <c r="J13" s="105"/>
      <c r="K13" s="108"/>
      <c r="L13" s="107"/>
      <c r="M13" s="108"/>
      <c r="N13" s="107"/>
      <c r="O13" s="108"/>
    </row>
    <row r="15" ht="16.5" thickBot="1">
      <c r="A15" s="61" t="s">
        <v>76</v>
      </c>
    </row>
    <row r="16" spans="1:10" ht="36">
      <c r="A16" s="4" t="s">
        <v>19</v>
      </c>
      <c r="B16" s="5" t="s">
        <v>20</v>
      </c>
      <c r="C16" s="5" t="s">
        <v>49</v>
      </c>
      <c r="D16" s="6" t="s">
        <v>61</v>
      </c>
      <c r="E16" s="81" t="s">
        <v>0</v>
      </c>
      <c r="F16" s="6" t="s">
        <v>79</v>
      </c>
      <c r="G16" s="6" t="s">
        <v>80</v>
      </c>
      <c r="H16" s="6" t="s">
        <v>81</v>
      </c>
      <c r="I16" s="6" t="s">
        <v>82</v>
      </c>
      <c r="J16" s="6" t="s">
        <v>83</v>
      </c>
    </row>
    <row r="17" spans="1:10" ht="15">
      <c r="A17" s="9" t="s">
        <v>21</v>
      </c>
      <c r="B17" s="10">
        <v>0.04</v>
      </c>
      <c r="C17" s="10">
        <v>0.07</v>
      </c>
      <c r="D17" s="35">
        <v>0.04</v>
      </c>
      <c r="E17" s="86">
        <v>0.06</v>
      </c>
      <c r="F17" s="52"/>
      <c r="G17" s="54"/>
      <c r="H17" s="35"/>
      <c r="I17" s="54"/>
      <c r="J17" s="54"/>
    </row>
    <row r="18" spans="1:10" ht="15">
      <c r="A18" s="9" t="s">
        <v>22</v>
      </c>
      <c r="B18" s="10">
        <v>2.3</v>
      </c>
      <c r="C18" s="10">
        <v>2.8</v>
      </c>
      <c r="D18" s="39">
        <v>2.4</v>
      </c>
      <c r="E18" s="83">
        <v>1.6</v>
      </c>
      <c r="F18" s="52"/>
      <c r="G18" s="54"/>
      <c r="H18" s="35"/>
      <c r="I18" s="54"/>
      <c r="J18" s="54"/>
    </row>
    <row r="19" spans="1:10" ht="15">
      <c r="A19" s="9" t="s">
        <v>23</v>
      </c>
      <c r="B19" s="10" t="s">
        <v>24</v>
      </c>
      <c r="C19" s="10">
        <v>0.5</v>
      </c>
      <c r="D19" s="35">
        <v>0.4</v>
      </c>
      <c r="E19" s="83">
        <v>0.6</v>
      </c>
      <c r="F19" s="52"/>
      <c r="G19" s="54"/>
      <c r="H19" s="35"/>
      <c r="I19" s="54"/>
      <c r="J19" s="54"/>
    </row>
    <row r="20" spans="1:10" ht="15">
      <c r="A20" s="9" t="s">
        <v>25</v>
      </c>
      <c r="B20" s="10">
        <v>18</v>
      </c>
      <c r="C20" s="10">
        <v>18.5</v>
      </c>
      <c r="D20" s="35">
        <v>18.2</v>
      </c>
      <c r="E20" s="84">
        <f>AVERAGE(18,18.1,18.2)</f>
        <v>18.099999999999998</v>
      </c>
      <c r="F20" s="52"/>
      <c r="G20" s="54"/>
      <c r="H20" s="35"/>
      <c r="I20" s="54"/>
      <c r="J20" s="54"/>
    </row>
    <row r="21" spans="1:10" ht="15">
      <c r="A21" s="9" t="s">
        <v>48</v>
      </c>
      <c r="B21" s="10">
        <v>13</v>
      </c>
      <c r="C21" s="10">
        <v>13.5</v>
      </c>
      <c r="D21" s="35">
        <v>13.3</v>
      </c>
      <c r="E21" s="84">
        <v>13.7</v>
      </c>
      <c r="F21" s="52"/>
      <c r="G21" s="54"/>
      <c r="H21" s="35"/>
      <c r="I21" s="54"/>
      <c r="J21" s="54"/>
    </row>
    <row r="22" spans="1:10" ht="15">
      <c r="A22" s="9" t="s">
        <v>26</v>
      </c>
      <c r="B22" s="10">
        <v>2.1</v>
      </c>
      <c r="C22" s="10">
        <v>2.5</v>
      </c>
      <c r="D22" s="35">
        <v>2.4</v>
      </c>
      <c r="E22" s="84">
        <v>2.4</v>
      </c>
      <c r="F22" s="52"/>
      <c r="G22" s="54"/>
      <c r="H22" s="35"/>
      <c r="I22" s="54"/>
      <c r="J22" s="54"/>
    </row>
    <row r="23" spans="1:10" ht="15">
      <c r="A23" s="9" t="s">
        <v>27</v>
      </c>
      <c r="B23" s="10" t="s">
        <v>24</v>
      </c>
      <c r="C23" s="10">
        <v>0.015</v>
      </c>
      <c r="D23" s="57">
        <f>AVERAGE(0.025,0.023,0.018)</f>
        <v>0.022000000000000002</v>
      </c>
      <c r="E23" s="85">
        <v>0.027</v>
      </c>
      <c r="F23" s="57"/>
      <c r="G23" s="57"/>
      <c r="H23" s="57"/>
      <c r="I23" s="58"/>
      <c r="J23" s="58"/>
    </row>
    <row r="24" spans="1:10" ht="15">
      <c r="A24" s="9" t="s">
        <v>28</v>
      </c>
      <c r="B24" s="10" t="s">
        <v>24</v>
      </c>
      <c r="C24" s="10">
        <v>0.015</v>
      </c>
      <c r="D24" s="57">
        <f>AVERAGE(0.013,0.005,0.01)</f>
        <v>0.009333333333333332</v>
      </c>
      <c r="E24" s="77">
        <v>0.009</v>
      </c>
      <c r="F24" s="57"/>
      <c r="G24" s="57"/>
      <c r="H24" s="57"/>
      <c r="I24" s="58"/>
      <c r="J24" s="58"/>
    </row>
    <row r="25" spans="1:10" ht="15.75" thickBot="1">
      <c r="A25" s="11" t="s">
        <v>29</v>
      </c>
      <c r="B25" s="12">
        <v>0.24</v>
      </c>
      <c r="C25" s="12">
        <v>0.28</v>
      </c>
      <c r="D25" s="37">
        <v>0.28</v>
      </c>
      <c r="E25" s="87">
        <v>0.25</v>
      </c>
      <c r="F25" s="53"/>
      <c r="G25" s="55"/>
      <c r="H25" s="37"/>
      <c r="I25" s="55"/>
      <c r="J25" s="55"/>
    </row>
    <row r="27" ht="16.5" thickBot="1">
      <c r="A27" s="61" t="s">
        <v>77</v>
      </c>
    </row>
    <row r="28" spans="1:9" ht="30">
      <c r="A28" s="4" t="s">
        <v>19</v>
      </c>
      <c r="B28" s="5" t="s">
        <v>20</v>
      </c>
      <c r="C28" s="5" t="s">
        <v>49</v>
      </c>
      <c r="D28" s="6" t="s">
        <v>63</v>
      </c>
      <c r="E28" s="6" t="s">
        <v>64</v>
      </c>
      <c r="F28" s="6" t="s">
        <v>65</v>
      </c>
      <c r="G28" s="6" t="s">
        <v>66</v>
      </c>
      <c r="H28" s="6" t="s">
        <v>67</v>
      </c>
      <c r="I28" s="6" t="s">
        <v>68</v>
      </c>
    </row>
    <row r="29" spans="1:9" ht="15">
      <c r="A29" s="9" t="s">
        <v>21</v>
      </c>
      <c r="B29" s="10">
        <v>0.04</v>
      </c>
      <c r="C29" s="10">
        <v>0.07</v>
      </c>
      <c r="D29" s="35"/>
      <c r="E29" s="52"/>
      <c r="F29" s="54"/>
      <c r="G29" s="35"/>
      <c r="H29" s="54"/>
      <c r="I29" s="54"/>
    </row>
    <row r="30" spans="1:9" ht="15">
      <c r="A30" s="9" t="s">
        <v>22</v>
      </c>
      <c r="B30" s="10">
        <v>2.3</v>
      </c>
      <c r="C30" s="10">
        <v>2.8</v>
      </c>
      <c r="D30" s="39"/>
      <c r="E30" s="52"/>
      <c r="F30" s="54"/>
      <c r="G30" s="35"/>
      <c r="H30" s="54"/>
      <c r="I30" s="54"/>
    </row>
    <row r="31" spans="1:9" ht="15">
      <c r="A31" s="9" t="s">
        <v>23</v>
      </c>
      <c r="B31" s="10" t="s">
        <v>24</v>
      </c>
      <c r="C31" s="10">
        <v>0.5</v>
      </c>
      <c r="D31" s="35"/>
      <c r="E31" s="52"/>
      <c r="F31" s="54"/>
      <c r="G31" s="35"/>
      <c r="H31" s="54"/>
      <c r="I31" s="54"/>
    </row>
    <row r="32" spans="1:9" ht="15">
      <c r="A32" s="9" t="s">
        <v>25</v>
      </c>
      <c r="B32" s="10">
        <v>18</v>
      </c>
      <c r="C32" s="10">
        <v>18.5</v>
      </c>
      <c r="D32" s="35"/>
      <c r="E32" s="52"/>
      <c r="F32" s="54"/>
      <c r="G32" s="35"/>
      <c r="H32" s="54"/>
      <c r="I32" s="54"/>
    </row>
    <row r="33" spans="1:9" ht="15">
      <c r="A33" s="9" t="s">
        <v>48</v>
      </c>
      <c r="B33" s="10">
        <v>13</v>
      </c>
      <c r="C33" s="10">
        <v>13.5</v>
      </c>
      <c r="D33" s="35"/>
      <c r="E33" s="52"/>
      <c r="F33" s="54"/>
      <c r="G33" s="35"/>
      <c r="H33" s="54"/>
      <c r="I33" s="54"/>
    </row>
    <row r="34" spans="1:9" ht="15">
      <c r="A34" s="9" t="s">
        <v>26</v>
      </c>
      <c r="B34" s="10">
        <v>2.1</v>
      </c>
      <c r="C34" s="10">
        <v>2.5</v>
      </c>
      <c r="D34" s="35"/>
      <c r="E34" s="52"/>
      <c r="F34" s="54"/>
      <c r="G34" s="35"/>
      <c r="H34" s="54"/>
      <c r="I34" s="54"/>
    </row>
    <row r="35" spans="1:9" ht="15">
      <c r="A35" s="9" t="s">
        <v>27</v>
      </c>
      <c r="B35" s="10" t="s">
        <v>24</v>
      </c>
      <c r="C35" s="10">
        <v>0.015</v>
      </c>
      <c r="D35" s="57"/>
      <c r="E35" s="57"/>
      <c r="F35" s="57"/>
      <c r="G35" s="57"/>
      <c r="H35" s="58"/>
      <c r="I35" s="58"/>
    </row>
    <row r="36" spans="1:9" ht="15">
      <c r="A36" s="9" t="s">
        <v>28</v>
      </c>
      <c r="B36" s="10" t="s">
        <v>24</v>
      </c>
      <c r="C36" s="10">
        <v>0.015</v>
      </c>
      <c r="D36" s="57"/>
      <c r="E36" s="57"/>
      <c r="F36" s="57"/>
      <c r="G36" s="57"/>
      <c r="H36" s="58"/>
      <c r="I36" s="58"/>
    </row>
    <row r="37" spans="1:9" ht="15.75" thickBot="1">
      <c r="A37" s="11" t="s">
        <v>29</v>
      </c>
      <c r="B37" s="12">
        <v>0.24</v>
      </c>
      <c r="C37" s="12">
        <v>0.28</v>
      </c>
      <c r="D37" s="37"/>
      <c r="E37" s="53"/>
      <c r="F37" s="55"/>
      <c r="G37" s="37"/>
      <c r="H37" s="55"/>
      <c r="I37" s="55"/>
    </row>
    <row r="39" ht="13.5" thickBot="1">
      <c r="A39" s="40" t="s">
        <v>84</v>
      </c>
    </row>
    <row r="40" spans="1:12" ht="89.25">
      <c r="A40" s="4" t="s">
        <v>19</v>
      </c>
      <c r="B40" s="5" t="s">
        <v>20</v>
      </c>
      <c r="C40" s="5" t="s">
        <v>49</v>
      </c>
      <c r="D40" s="7" t="s">
        <v>2</v>
      </c>
      <c r="E40" s="7" t="s">
        <v>3</v>
      </c>
      <c r="F40" s="8"/>
      <c r="G40" s="8"/>
      <c r="H40" s="8"/>
      <c r="I40" s="8"/>
      <c r="J40" s="116" t="s">
        <v>4</v>
      </c>
      <c r="K40" s="117"/>
      <c r="L40" s="117"/>
    </row>
    <row r="41" spans="1:9" ht="15">
      <c r="A41" s="9" t="s">
        <v>21</v>
      </c>
      <c r="B41" s="95" t="s">
        <v>24</v>
      </c>
      <c r="C41" s="10">
        <v>0.03</v>
      </c>
      <c r="D41" s="99">
        <v>0.02</v>
      </c>
      <c r="E41" s="101">
        <v>0.02</v>
      </c>
      <c r="F41" s="36"/>
      <c r="G41" s="36"/>
      <c r="H41" s="36"/>
      <c r="I41" s="36"/>
    </row>
    <row r="42" spans="1:9" s="73" customFormat="1" ht="15">
      <c r="A42" s="71" t="s">
        <v>22</v>
      </c>
      <c r="B42" s="72">
        <v>5</v>
      </c>
      <c r="C42" s="72">
        <v>9</v>
      </c>
      <c r="D42" s="96">
        <v>7.2</v>
      </c>
      <c r="E42" s="102">
        <v>3.4</v>
      </c>
      <c r="F42" s="97"/>
      <c r="G42" s="97"/>
      <c r="H42" s="97"/>
      <c r="I42" s="97"/>
    </row>
    <row r="43" spans="1:9" ht="15">
      <c r="A43" s="9" t="s">
        <v>23</v>
      </c>
      <c r="B43" s="72" t="s">
        <v>24</v>
      </c>
      <c r="C43" s="72">
        <v>1</v>
      </c>
      <c r="D43" s="99">
        <v>0.4</v>
      </c>
      <c r="E43" s="103">
        <v>0.2</v>
      </c>
      <c r="F43" s="36"/>
      <c r="G43" s="36"/>
      <c r="H43" s="36"/>
      <c r="I43" s="36"/>
    </row>
    <row r="44" spans="1:9" ht="15">
      <c r="A44" s="9" t="s">
        <v>25</v>
      </c>
      <c r="B44" s="72">
        <v>19</v>
      </c>
      <c r="C44" s="72">
        <v>22</v>
      </c>
      <c r="D44" s="99">
        <v>19.6</v>
      </c>
      <c r="E44" s="101">
        <v>17.7</v>
      </c>
      <c r="F44" s="36"/>
      <c r="G44" s="36"/>
      <c r="H44" s="36"/>
      <c r="I44" s="36"/>
    </row>
    <row r="45" spans="1:9" ht="15">
      <c r="A45" s="9" t="s">
        <v>48</v>
      </c>
      <c r="B45" s="72">
        <v>15</v>
      </c>
      <c r="C45" s="72">
        <v>18</v>
      </c>
      <c r="D45" s="99">
        <v>15.7</v>
      </c>
      <c r="E45" s="101">
        <v>16.2</v>
      </c>
      <c r="F45" s="36"/>
      <c r="G45" s="36"/>
      <c r="H45" s="36"/>
      <c r="I45" s="36"/>
    </row>
    <row r="46" spans="1:9" ht="15">
      <c r="A46" s="9" t="s">
        <v>26</v>
      </c>
      <c r="B46" s="72">
        <v>2.5</v>
      </c>
      <c r="C46" s="72">
        <v>4.5</v>
      </c>
      <c r="D46" s="99">
        <v>2.7</v>
      </c>
      <c r="E46" s="101">
        <v>2.8</v>
      </c>
      <c r="F46" s="36"/>
      <c r="G46" s="36"/>
      <c r="H46" s="36"/>
      <c r="I46" s="36"/>
    </row>
    <row r="47" spans="1:9" ht="15">
      <c r="A47" s="9" t="s">
        <v>27</v>
      </c>
      <c r="B47" s="10" t="s">
        <v>24</v>
      </c>
      <c r="C47" s="10">
        <v>0.03</v>
      </c>
      <c r="D47" s="99">
        <v>0.014</v>
      </c>
      <c r="E47" s="101">
        <v>0.02</v>
      </c>
      <c r="F47" s="36"/>
      <c r="G47" s="36"/>
      <c r="H47" s="36"/>
      <c r="I47" s="36"/>
    </row>
    <row r="48" spans="1:9" ht="15">
      <c r="A48" s="9" t="s">
        <v>28</v>
      </c>
      <c r="B48" s="10" t="s">
        <v>24</v>
      </c>
      <c r="C48" s="10">
        <v>0.02</v>
      </c>
      <c r="D48" s="99">
        <v>0.003</v>
      </c>
      <c r="E48" s="101">
        <v>0.002</v>
      </c>
      <c r="F48" s="36"/>
      <c r="G48" s="36"/>
      <c r="H48" s="36"/>
      <c r="I48" s="36"/>
    </row>
    <row r="49" spans="1:9" ht="15.75" thickBot="1">
      <c r="A49" s="11" t="s">
        <v>29</v>
      </c>
      <c r="B49" s="98" t="s">
        <v>24</v>
      </c>
      <c r="C49" s="98" t="s">
        <v>24</v>
      </c>
      <c r="D49" s="100">
        <v>0.17</v>
      </c>
      <c r="E49" s="104">
        <v>0.15</v>
      </c>
      <c r="F49" s="38"/>
      <c r="G49" s="38"/>
      <c r="H49" s="38"/>
      <c r="I49" s="38"/>
    </row>
    <row r="50" spans="1:3" ht="25.5" customHeight="1">
      <c r="A50" s="114" t="s">
        <v>1</v>
      </c>
      <c r="B50" s="115"/>
      <c r="C50" s="115"/>
    </row>
  </sheetData>
  <mergeCells count="3">
    <mergeCell ref="A50:C50"/>
    <mergeCell ref="J40:L40"/>
    <mergeCell ref="A13:C13"/>
  </mergeCells>
  <printOptions/>
  <pageMargins left="0.75" right="0.75" top="1" bottom="1" header="0.5" footer="0.5"/>
  <pageSetup horizontalDpi="600" verticalDpi="600" orientation="landscape" paperSize="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="75" zoomScaleNormal="75" zoomScaleSheetLayoutView="75" workbookViewId="0" topLeftCell="A2">
      <selection activeCell="C20" sqref="C20:D25"/>
    </sheetView>
  </sheetViews>
  <sheetFormatPr defaultColWidth="9.140625" defaultRowHeight="12.75"/>
  <cols>
    <col min="1" max="1" width="12.421875" style="0" customWidth="1"/>
    <col min="2" max="2" width="12.7109375" style="0" customWidth="1"/>
    <col min="3" max="8" width="9.7109375" style="0" customWidth="1"/>
    <col min="9" max="9" width="13.00390625" style="0" customWidth="1"/>
    <col min="10" max="15" width="9.421875" style="0" customWidth="1"/>
    <col min="16" max="16" width="12.28125" style="0" bestFit="1" customWidth="1"/>
    <col min="17" max="17" width="13.00390625" style="0" customWidth="1"/>
    <col min="18" max="18" width="8.7109375" style="0" customWidth="1"/>
    <col min="19" max="19" width="16.140625" style="113" bestFit="1" customWidth="1"/>
    <col min="20" max="16384" width="8.7109375" style="0" customWidth="1"/>
  </cols>
  <sheetData>
    <row r="1" spans="1:18" ht="15.75" customHeight="1" thickBot="1" thickTop="1">
      <c r="A1" s="1" t="s">
        <v>120</v>
      </c>
      <c r="B1" s="1"/>
      <c r="C1" s="1"/>
      <c r="D1" s="1"/>
      <c r="E1" s="2"/>
      <c r="F1" s="2"/>
      <c r="G1" s="2"/>
      <c r="H1" s="2"/>
      <c r="I1" s="2"/>
      <c r="J1" s="2"/>
      <c r="K1" s="2"/>
      <c r="R1" s="34"/>
    </row>
    <row r="2" spans="1:17" ht="15.75" customHeight="1" thickTop="1">
      <c r="A2" s="32" t="s">
        <v>56</v>
      </c>
      <c r="B2" s="32"/>
      <c r="C2" s="32"/>
      <c r="D2" s="32"/>
      <c r="E2" s="63" t="s">
        <v>78</v>
      </c>
      <c r="F2" s="33"/>
      <c r="G2" s="33"/>
      <c r="H2" s="33"/>
      <c r="I2" s="33"/>
      <c r="J2" s="33"/>
      <c r="K2" s="33"/>
      <c r="L2" s="34"/>
      <c r="M2" s="34"/>
      <c r="N2" s="34"/>
      <c r="O2" s="34"/>
      <c r="P2" s="34"/>
      <c r="Q2" s="34"/>
    </row>
    <row r="3" spans="1:15" ht="33" customHeight="1" thickBot="1">
      <c r="A3" s="3" t="s">
        <v>52</v>
      </c>
      <c r="B3" s="120" t="s">
        <v>30</v>
      </c>
      <c r="C3" s="121"/>
      <c r="D3" s="121"/>
      <c r="E3" s="121"/>
      <c r="F3" s="122"/>
      <c r="G3" s="122"/>
      <c r="H3" s="123"/>
      <c r="I3" s="124" t="s">
        <v>31</v>
      </c>
      <c r="J3" s="125"/>
      <c r="K3" s="125"/>
      <c r="L3" s="125"/>
      <c r="M3" s="125"/>
      <c r="N3" s="125"/>
      <c r="O3" s="125"/>
    </row>
    <row r="4" spans="1:15" ht="16.5" thickBot="1" thickTop="1">
      <c r="A4" s="13" t="s">
        <v>32</v>
      </c>
      <c r="B4" s="14" t="s">
        <v>33</v>
      </c>
      <c r="C4" s="15" t="s">
        <v>53</v>
      </c>
      <c r="D4" s="15" t="s">
        <v>54</v>
      </c>
      <c r="E4" s="15" t="s">
        <v>55</v>
      </c>
      <c r="F4" s="15" t="s">
        <v>74</v>
      </c>
      <c r="G4" s="15" t="s">
        <v>75</v>
      </c>
      <c r="H4" s="15" t="s">
        <v>62</v>
      </c>
      <c r="I4" s="16" t="s">
        <v>33</v>
      </c>
      <c r="J4" s="17" t="s">
        <v>53</v>
      </c>
      <c r="K4" s="17" t="s">
        <v>54</v>
      </c>
      <c r="L4" s="17" t="s">
        <v>55</v>
      </c>
      <c r="M4" s="17" t="s">
        <v>74</v>
      </c>
      <c r="N4" s="17" t="s">
        <v>75</v>
      </c>
      <c r="O4" s="17" t="s">
        <v>62</v>
      </c>
    </row>
    <row r="5" spans="1:15" ht="32.25" thickBot="1">
      <c r="A5" s="18" t="s">
        <v>34</v>
      </c>
      <c r="B5" s="19" t="s">
        <v>35</v>
      </c>
      <c r="C5" s="48">
        <f>AVERAGE(24.2,23.3,22.5)</f>
        <v>23.333333333333332</v>
      </c>
      <c r="D5" s="48">
        <f>AVERAGE(25.9,25,25.7)</f>
        <v>25.53333333333333</v>
      </c>
      <c r="E5" s="49">
        <f>AVERAGE(27,24.1,23.7)</f>
        <v>24.933333333333334</v>
      </c>
      <c r="F5" s="49">
        <f>AVERAGE(26.8,26.1,26.5)</f>
        <v>26.46666666666667</v>
      </c>
      <c r="G5" s="49">
        <f>AVERAGE(33,31.8,28,28.2,25.9,34.5)</f>
        <v>30.233333333333334</v>
      </c>
      <c r="H5" s="49">
        <f>AVERAGE(29.5,29.8,27.1)</f>
        <v>28.8</v>
      </c>
      <c r="I5" s="20" t="s">
        <v>36</v>
      </c>
      <c r="J5" s="48">
        <f>AVERAGE(21.3,20.5,21.1,28.1,24.4,23.4)</f>
        <v>23.133333333333336</v>
      </c>
      <c r="K5" s="48">
        <f>AVERAGE(23.4,23.2,21.4)</f>
        <v>22.666666666666668</v>
      </c>
      <c r="L5" s="49">
        <f>AVERAGE(22.6,21.2,21)</f>
        <v>21.599999999999998</v>
      </c>
      <c r="M5" s="49">
        <f>AVERAGE(22.5,25.3,21.4)</f>
        <v>23.066666666666663</v>
      </c>
      <c r="N5" s="49">
        <f>AVERAGE(28.4,27.7,25.9)</f>
        <v>27.333333333333332</v>
      </c>
      <c r="O5" s="49">
        <f>AVERAGE(25.1,23.7,23.5)</f>
        <v>24.099999999999998</v>
      </c>
    </row>
    <row r="6" spans="1:15" ht="32.25" thickBot="1">
      <c r="A6" s="18" t="s">
        <v>37</v>
      </c>
      <c r="B6" s="19" t="s">
        <v>38</v>
      </c>
      <c r="C6" s="48">
        <f>AVERAGE(98.7,97.8,98.7)</f>
        <v>98.39999999999999</v>
      </c>
      <c r="D6" s="48">
        <f>AVERAGE(94,91.7,93.9)</f>
        <v>93.2</v>
      </c>
      <c r="E6" s="49">
        <f>AVERAGE(102.2,94.9,94.2)</f>
        <v>97.10000000000001</v>
      </c>
      <c r="F6" s="49">
        <f>AVERAGE(100.2,97.9,95.4)</f>
        <v>97.83333333333333</v>
      </c>
      <c r="G6" s="49">
        <f>AVERAGE(112.6,98.3,95.5,102.5,95,111.2)</f>
        <v>102.51666666666667</v>
      </c>
      <c r="H6" s="49">
        <f>AVERAGE(98.5,100.9,99)</f>
        <v>99.46666666666665</v>
      </c>
      <c r="I6" s="21" t="s">
        <v>39</v>
      </c>
      <c r="J6" s="48">
        <f>AVERAGE(34.6,34.8,33.3,37.3,36.4,34.1)</f>
        <v>35.083333333333336</v>
      </c>
      <c r="K6" s="48">
        <f>AVERAGE(37.7,35.9,36.1)</f>
        <v>36.56666666666666</v>
      </c>
      <c r="L6" s="49">
        <f>AVERAGE(37.8,42.7,34.3)</f>
        <v>38.266666666666666</v>
      </c>
      <c r="M6" s="49">
        <f>AVERAGE(37.4,38.4,36.5)</f>
        <v>37.43333333333333</v>
      </c>
      <c r="N6" s="49">
        <f>AVERAGE(41.5,37.7,37.1)</f>
        <v>38.76666666666667</v>
      </c>
      <c r="O6" s="49">
        <f>AVERAGE(47.7,43.4,42.3)</f>
        <v>44.46666666666666</v>
      </c>
    </row>
    <row r="7" spans="1:15" ht="32.25" thickBot="1">
      <c r="A7" s="18" t="s">
        <v>40</v>
      </c>
      <c r="B7" s="19" t="s">
        <v>41</v>
      </c>
      <c r="C7" s="48">
        <f>AVERAGE(172,167.4,171.4)</f>
        <v>170.26666666666665</v>
      </c>
      <c r="D7" s="48">
        <f>AVERAGE(163.6,162.4,165.5)</f>
        <v>163.83333333333334</v>
      </c>
      <c r="E7" s="48">
        <f>AVERAGE(161.7,164.4,163.3)</f>
        <v>163.13333333333335</v>
      </c>
      <c r="F7" s="48">
        <f>AVERAGE(166.5,161.7,166.2)</f>
        <v>164.79999999999998</v>
      </c>
      <c r="G7" s="49">
        <f>AVERAGE(182.5,166.1,163.7,172.3,163.5,177.4)</f>
        <v>170.91666666666666</v>
      </c>
      <c r="H7" s="49">
        <f>AVERAGE(155.5,158.3,165.9)</f>
        <v>159.9</v>
      </c>
      <c r="I7" s="21" t="s">
        <v>42</v>
      </c>
      <c r="J7" s="48">
        <f>AVERAGE(82.5,85.1,83.9,83.1,83.1,84.3)</f>
        <v>83.66666666666667</v>
      </c>
      <c r="K7" s="48">
        <f>AVERAGE(82,81,84.3)</f>
        <v>82.43333333333334</v>
      </c>
      <c r="L7" s="48">
        <f>AVERAGE(83.3,83.3,81.5)</f>
        <v>82.7</v>
      </c>
      <c r="M7" s="48">
        <f>AVERAGE(82,83.5,83.8)</f>
        <v>83.10000000000001</v>
      </c>
      <c r="N7" s="48">
        <f>AVERAGE(92.9,84.4,83.7)</f>
        <v>87</v>
      </c>
      <c r="O7" s="49">
        <f>AVERAGE(87.9,82.2,80.9)</f>
        <v>83.66666666666667</v>
      </c>
    </row>
    <row r="8" spans="1:19" s="47" customFormat="1" ht="16.5" thickBot="1">
      <c r="A8" s="43" t="s">
        <v>43</v>
      </c>
      <c r="B8" s="44">
        <v>0.32</v>
      </c>
      <c r="C8" s="45">
        <f>AVERAGE(0.62,0.44,0.61)</f>
        <v>0.5566666666666666</v>
      </c>
      <c r="D8" s="45">
        <f>AVERAGE(0.41,0.61,0.61)</f>
        <v>0.5433333333333333</v>
      </c>
      <c r="E8" s="45">
        <f>AVERAGE(0.45,0.6,0.62)</f>
        <v>0.5566666666666666</v>
      </c>
      <c r="F8" s="45">
        <f>AVERAGE(0.58,0.44,0.6)</f>
        <v>0.54</v>
      </c>
      <c r="G8" s="111">
        <f>AVERAGE(0.31,0.52,0.59,0.41,0.29)</f>
        <v>0.42399999999999993</v>
      </c>
      <c r="H8" s="45">
        <f>AVERAGE(0.34,0.37,0.56)</f>
        <v>0.42333333333333334</v>
      </c>
      <c r="I8" s="46">
        <v>0.36</v>
      </c>
      <c r="J8" s="45">
        <f>AVERAGE(0.53,0.515,0.5,0.55,0.525,0.5)</f>
        <v>0.5199999999999999</v>
      </c>
      <c r="K8" s="45">
        <f>AVERAGE(0.514,0.515,0.575)</f>
        <v>0.5346666666666666</v>
      </c>
      <c r="L8" s="45">
        <f>AVERAGE(0.475,0.55,0.55)</f>
        <v>0.525</v>
      </c>
      <c r="M8" s="45">
        <f>AVERAGE(0.55,0.555,0.565)</f>
        <v>0.5566666666666666</v>
      </c>
      <c r="N8" s="45">
        <f>AVERAGE(0.55,0.52,0.67)</f>
        <v>0.5800000000000001</v>
      </c>
      <c r="O8" s="45">
        <f>AVERAGE(0.37,0.4,0.44)</f>
        <v>0.4033333333333333</v>
      </c>
      <c r="S8" s="113"/>
    </row>
    <row r="9" spans="1:15" ht="32.25" thickBot="1">
      <c r="A9" s="22" t="s">
        <v>44</v>
      </c>
      <c r="B9" s="23" t="s">
        <v>45</v>
      </c>
      <c r="C9" s="50">
        <f>AVERAGE(90,75,68)</f>
        <v>77.66666666666667</v>
      </c>
      <c r="D9" s="50">
        <f>AVERAGE(84,83,86)</f>
        <v>84.33333333333333</v>
      </c>
      <c r="E9" s="50">
        <f>AVERAGE(94,90,115)</f>
        <v>99.66666666666667</v>
      </c>
      <c r="F9" s="50">
        <f>AVERAGE(86,77,97)</f>
        <v>86.66666666666667</v>
      </c>
      <c r="G9" s="50">
        <f>AVERAGE(81,73,87)</f>
        <v>80.33333333333333</v>
      </c>
      <c r="H9" s="50">
        <f>AVERAGE(72,79,105)</f>
        <v>85.33333333333333</v>
      </c>
      <c r="I9" s="21" t="s">
        <v>46</v>
      </c>
      <c r="J9" s="50">
        <f>AVERAGE(142,141,143)</f>
        <v>142</v>
      </c>
      <c r="K9" s="50">
        <f>AVERAGE(139,148,165)</f>
        <v>150.66666666666666</v>
      </c>
      <c r="L9" s="50">
        <f>AVERAGE(157,141,174)</f>
        <v>157.33333333333334</v>
      </c>
      <c r="M9" s="50">
        <f>AVERAGE(165,159,203)</f>
        <v>175.66666666666666</v>
      </c>
      <c r="N9" s="50">
        <f>AVERAGE(130,131,156)</f>
        <v>139</v>
      </c>
      <c r="O9" s="50">
        <f>AVERAGE(117,155,185)</f>
        <v>152.33333333333334</v>
      </c>
    </row>
    <row r="10" spans="1:14" ht="16.5" thickTop="1">
      <c r="A10" s="41"/>
      <c r="B10" s="41"/>
      <c r="C10" s="42"/>
      <c r="D10" s="42"/>
      <c r="E10" s="62" t="s">
        <v>76</v>
      </c>
      <c r="G10" s="42"/>
      <c r="H10" s="42"/>
      <c r="I10" s="42"/>
      <c r="J10" s="42"/>
      <c r="K10" s="42"/>
      <c r="L10" s="42"/>
      <c r="M10" s="42"/>
      <c r="N10" s="42"/>
    </row>
    <row r="11" spans="1:15" ht="33" customHeight="1" thickBot="1">
      <c r="A11" s="3" t="s">
        <v>52</v>
      </c>
      <c r="B11" s="120" t="s">
        <v>30</v>
      </c>
      <c r="C11" s="121"/>
      <c r="D11" s="121"/>
      <c r="E11" s="121"/>
      <c r="F11" s="122"/>
      <c r="G11" s="122"/>
      <c r="H11" s="123"/>
      <c r="I11" s="124" t="s">
        <v>31</v>
      </c>
      <c r="J11" s="125"/>
      <c r="K11" s="125"/>
      <c r="L11" s="125"/>
      <c r="M11" s="125"/>
      <c r="N11" s="125"/>
      <c r="O11" s="125"/>
    </row>
    <row r="12" spans="1:15" ht="16.5" thickBot="1" thickTop="1">
      <c r="A12" s="13" t="s">
        <v>32</v>
      </c>
      <c r="B12" s="14" t="s">
        <v>33</v>
      </c>
      <c r="C12" s="15" t="s">
        <v>51</v>
      </c>
      <c r="D12" s="15" t="s">
        <v>69</v>
      </c>
      <c r="E12" s="15" t="s">
        <v>70</v>
      </c>
      <c r="F12" s="15" t="s">
        <v>71</v>
      </c>
      <c r="G12" s="15" t="s">
        <v>72</v>
      </c>
      <c r="H12" s="15" t="s">
        <v>73</v>
      </c>
      <c r="I12" s="16" t="s">
        <v>33</v>
      </c>
      <c r="J12" s="17" t="s">
        <v>51</v>
      </c>
      <c r="K12" s="17" t="s">
        <v>69</v>
      </c>
      <c r="L12" s="17" t="s">
        <v>70</v>
      </c>
      <c r="M12" s="17" t="s">
        <v>71</v>
      </c>
      <c r="N12" s="17" t="s">
        <v>72</v>
      </c>
      <c r="O12" s="17" t="s">
        <v>73</v>
      </c>
    </row>
    <row r="13" spans="1:15" ht="32.25" thickBot="1">
      <c r="A13" s="18" t="s">
        <v>34</v>
      </c>
      <c r="B13" s="19" t="s">
        <v>35</v>
      </c>
      <c r="C13" s="49">
        <f>AVERAGE(25.9,25.4,25.2)</f>
        <v>25.5</v>
      </c>
      <c r="D13" s="49">
        <f>AVERAGE(24.9,25.1,25.9)</f>
        <v>25.3</v>
      </c>
      <c r="E13" s="49">
        <f>AVERAGE(23.2,27.4,29.4)</f>
        <v>26.666666666666668</v>
      </c>
      <c r="F13" s="49">
        <f>AVERAGE(23,31.1,32.5)</f>
        <v>28.866666666666664</v>
      </c>
      <c r="G13" s="49">
        <f>AVERAGE(27.4,26.5,25.3)</f>
        <v>26.400000000000002</v>
      </c>
      <c r="H13" s="49">
        <f>AVERAGE(28,29.7,30.9,25.3,27.6,28.6,25.5)</f>
        <v>27.942857142857143</v>
      </c>
      <c r="I13" s="20" t="s">
        <v>36</v>
      </c>
      <c r="J13" s="49">
        <f>AVERAGE(21.8,21.5,21.7)</f>
        <v>21.666666666666668</v>
      </c>
      <c r="K13" s="49">
        <f>AVERAGE(22.5,21.7,22.3)</f>
        <v>22.166666666666668</v>
      </c>
      <c r="L13" s="49">
        <f>AVERAGE(22.1,21.3,22.4)</f>
        <v>21.933333333333337</v>
      </c>
      <c r="M13" s="49">
        <f>AVERAGE(22.8,23.8,22.2)</f>
        <v>22.933333333333334</v>
      </c>
      <c r="N13" s="49">
        <f>AVERAGE(22.9,23.8,22.7)</f>
        <v>23.133333333333336</v>
      </c>
      <c r="O13" s="49"/>
    </row>
    <row r="14" spans="1:15" ht="32.25" thickBot="1">
      <c r="A14" s="18" t="s">
        <v>37</v>
      </c>
      <c r="B14" s="19" t="s">
        <v>38</v>
      </c>
      <c r="C14" s="49">
        <f>AVERAGE(95.5,94.6,101.8)</f>
        <v>97.3</v>
      </c>
      <c r="D14" s="49">
        <f>AVERAGE(99.7,100.3,99.8)</f>
        <v>99.93333333333334</v>
      </c>
      <c r="E14" s="49">
        <f>AVERAGE(99.8,96.2,100.6)</f>
        <v>98.86666666666667</v>
      </c>
      <c r="F14" s="49">
        <f>AVERAGE(95.4,100.9,103.8)</f>
        <v>100.03333333333335</v>
      </c>
      <c r="G14" s="49">
        <f>AVERAGE(103.1,98.9,100.9)</f>
        <v>100.96666666666665</v>
      </c>
      <c r="H14" s="49">
        <f>AVERAGE(100.1,108.9,111.2,99.8,108.1,100.8,93.7)</f>
        <v>103.22857142857143</v>
      </c>
      <c r="I14" s="21" t="s">
        <v>39</v>
      </c>
      <c r="J14" s="49">
        <f>AVERAGE(37.6,35.5,36.8)</f>
        <v>36.63333333333333</v>
      </c>
      <c r="K14" s="49">
        <f>AVERAGE(44.4,42.1,43.3)</f>
        <v>43.26666666666667</v>
      </c>
      <c r="L14" s="49">
        <f>AVERAGE(43.3,42.1,44.1)</f>
        <v>43.166666666666664</v>
      </c>
      <c r="M14" s="49">
        <f>AVERAGE(44.2,44.4,42.9)</f>
        <v>43.833333333333336</v>
      </c>
      <c r="N14" s="49">
        <f>AVERAGE(42.2,42.3,42.6)</f>
        <v>42.36666666666667</v>
      </c>
      <c r="O14" s="49"/>
    </row>
    <row r="15" spans="1:15" ht="32.25" thickBot="1">
      <c r="A15" s="18" t="s">
        <v>40</v>
      </c>
      <c r="B15" s="19" t="s">
        <v>41</v>
      </c>
      <c r="C15" s="48">
        <f>AVERAGE(165.1,165.1,168.7)</f>
        <v>166.29999999999998</v>
      </c>
      <c r="D15" s="48">
        <f>AVERAGE(164,166.8,165.2)</f>
        <v>165.33333333333334</v>
      </c>
      <c r="E15" s="48">
        <f>AVERAGE(167.9,162.7,167.3)</f>
        <v>165.96666666666667</v>
      </c>
      <c r="F15" s="48">
        <f>AVERAGE(166.3,165.3,166)</f>
        <v>165.86666666666667</v>
      </c>
      <c r="G15" s="48">
        <f>AVERAGE(165.9,164.8,164.9)</f>
        <v>165.20000000000002</v>
      </c>
      <c r="H15" s="48">
        <f>AVERAGE(163.7,161.1,157.5,166.2,166.1,165.8,160.9)</f>
        <v>163.04285714285717</v>
      </c>
      <c r="I15" s="21" t="s">
        <v>42</v>
      </c>
      <c r="J15" s="48">
        <f>AVERAGE(85.7,79.3,82.1)</f>
        <v>82.36666666666666</v>
      </c>
      <c r="K15" s="48">
        <f>AVERAGE(83.2,83.7,84.2)</f>
        <v>83.7</v>
      </c>
      <c r="L15" s="48">
        <f>AVERAGE(83.1,81.8,83)</f>
        <v>82.63333333333333</v>
      </c>
      <c r="M15" s="48">
        <f>AVERAGE(85.6,84.8,83.4)</f>
        <v>84.6</v>
      </c>
      <c r="N15" s="48">
        <f>AVERAGE(81.1,83.5,82.1)</f>
        <v>82.23333333333333</v>
      </c>
      <c r="O15" s="48"/>
    </row>
    <row r="16" spans="1:15" ht="16.5" thickBot="1">
      <c r="A16" s="43" t="s">
        <v>43</v>
      </c>
      <c r="B16" s="44">
        <v>0.32</v>
      </c>
      <c r="C16" s="45">
        <f>AVERAGE(0.51,0.59,0.58)</f>
        <v>0.56</v>
      </c>
      <c r="D16" s="45">
        <f>AVERAGE(0.59,0.56,0.54)</f>
        <v>0.5633333333333334</v>
      </c>
      <c r="E16" s="45">
        <f>AVERAGE(0.54,0.4,0.59)</f>
        <v>0.51</v>
      </c>
      <c r="F16" s="45">
        <f>AVERAGE(0.49,0.43,0.46)</f>
        <v>0.45999999999999996</v>
      </c>
      <c r="G16" s="45">
        <f>AVERAGE(0.37,0.59,0.5)</f>
        <v>0.48666666666666664</v>
      </c>
      <c r="H16" s="111">
        <f>AVERAGE(0.61,0.26,0.19,0.58,0.25,0.35,0.44)</f>
        <v>0.3828571428571429</v>
      </c>
      <c r="I16" s="46">
        <v>0.36</v>
      </c>
      <c r="J16" s="45">
        <f>AVERAGE(0.53,0.555,0.51)</f>
        <v>0.5316666666666666</v>
      </c>
      <c r="K16" s="45">
        <f>AVERAGE(0.56,0.57,0.55)</f>
        <v>0.5599999999999999</v>
      </c>
      <c r="L16" s="45">
        <f>AVERAGE(0.55,0.54,0.51)</f>
        <v>0.5333333333333333</v>
      </c>
      <c r="M16" s="45">
        <f>AVERAGE(0.46,0.5,0.55)</f>
        <v>0.5033333333333333</v>
      </c>
      <c r="N16" s="45">
        <f>AVERAGE(0.52,0.54,0.44)</f>
        <v>0.5</v>
      </c>
      <c r="O16" s="45"/>
    </row>
    <row r="17" spans="1:15" ht="32.25" thickBot="1">
      <c r="A17" s="22" t="s">
        <v>44</v>
      </c>
      <c r="B17" s="23" t="s">
        <v>45</v>
      </c>
      <c r="C17" s="50">
        <f>AVERAGE(78,87,71)</f>
        <v>78.66666666666667</v>
      </c>
      <c r="D17" s="50">
        <f>AVERAGE(87,76,74)</f>
        <v>79</v>
      </c>
      <c r="E17" s="50">
        <f>AVERAGE(83,100,79)</f>
        <v>87.33333333333333</v>
      </c>
      <c r="F17" s="50">
        <f>AVERAGE(83,72,75)</f>
        <v>76.66666666666667</v>
      </c>
      <c r="G17" s="50">
        <f>AVERAGE(74,71,66)</f>
        <v>70.33333333333333</v>
      </c>
      <c r="H17" s="50">
        <f>AVERAGE(65,81,73)</f>
        <v>73</v>
      </c>
      <c r="I17" s="21" t="s">
        <v>46</v>
      </c>
      <c r="J17" s="50">
        <f>AVERAGE(162,162,167)</f>
        <v>163.66666666666666</v>
      </c>
      <c r="K17" s="50">
        <f>AVERAGE(171,178,143)</f>
        <v>164</v>
      </c>
      <c r="L17" s="50">
        <f>AVERAGE(140,197,137)</f>
        <v>158</v>
      </c>
      <c r="M17" s="50">
        <f>AVERAGE(150,143,158)</f>
        <v>150.33333333333334</v>
      </c>
      <c r="N17" s="50">
        <f>AVERAGE(143,148,148)</f>
        <v>146.33333333333334</v>
      </c>
      <c r="O17" s="50">
        <f>AVERAGE(118,141,121)</f>
        <v>126.66666666666667</v>
      </c>
    </row>
    <row r="18" spans="1:15" ht="17.25" thickBot="1" thickTop="1">
      <c r="A18" s="41"/>
      <c r="B18" s="41"/>
      <c r="C18" s="56"/>
      <c r="D18" s="56"/>
      <c r="E18" s="63" t="s">
        <v>77</v>
      </c>
      <c r="F18" s="56"/>
      <c r="G18" s="56"/>
      <c r="H18" s="56"/>
      <c r="I18" s="60"/>
      <c r="J18" s="56"/>
      <c r="K18" s="56"/>
      <c r="L18" s="56"/>
      <c r="M18" s="56"/>
      <c r="N18" s="56"/>
      <c r="O18" s="56"/>
    </row>
    <row r="19" spans="1:15" ht="33" customHeight="1" thickBot="1">
      <c r="A19" s="3" t="s">
        <v>52</v>
      </c>
      <c r="B19" s="120" t="s">
        <v>30</v>
      </c>
      <c r="C19" s="121"/>
      <c r="D19" s="121"/>
      <c r="E19" s="121"/>
      <c r="F19" s="122"/>
      <c r="G19" s="122"/>
      <c r="H19" s="123"/>
      <c r="I19" s="124" t="s">
        <v>31</v>
      </c>
      <c r="J19" s="125"/>
      <c r="K19" s="125"/>
      <c r="L19" s="125"/>
      <c r="M19" s="125"/>
      <c r="N19" s="125"/>
      <c r="O19" s="125"/>
    </row>
    <row r="20" spans="1:15" ht="16.5" thickBot="1" thickTop="1">
      <c r="A20" s="13" t="s">
        <v>32</v>
      </c>
      <c r="B20" s="14" t="s">
        <v>33</v>
      </c>
      <c r="C20" s="15" t="s">
        <v>63</v>
      </c>
      <c r="D20" s="15" t="s">
        <v>64</v>
      </c>
      <c r="E20" s="15" t="s">
        <v>65</v>
      </c>
      <c r="F20" s="15" t="s">
        <v>66</v>
      </c>
      <c r="G20" s="15" t="s">
        <v>67</v>
      </c>
      <c r="H20" s="15" t="s">
        <v>68</v>
      </c>
      <c r="I20" s="16" t="s">
        <v>33</v>
      </c>
      <c r="J20" s="17" t="s">
        <v>63</v>
      </c>
      <c r="K20" s="17" t="s">
        <v>64</v>
      </c>
      <c r="L20" s="17" t="s">
        <v>65</v>
      </c>
      <c r="M20" s="17" t="s">
        <v>66</v>
      </c>
      <c r="N20" s="17" t="s">
        <v>67</v>
      </c>
      <c r="O20" s="17" t="s">
        <v>68</v>
      </c>
    </row>
    <row r="21" spans="1:15" ht="32.25" thickBot="1">
      <c r="A21" s="18" t="s">
        <v>34</v>
      </c>
      <c r="B21" s="19" t="s">
        <v>35</v>
      </c>
      <c r="C21" s="49">
        <f>AVERAGE(28.7,26.8,22.1)</f>
        <v>25.866666666666664</v>
      </c>
      <c r="D21" s="49">
        <f>AVERAGE(24.7,31,26.4)</f>
        <v>27.366666666666664</v>
      </c>
      <c r="E21" s="49"/>
      <c r="F21" s="48"/>
      <c r="G21" s="48"/>
      <c r="H21" s="49"/>
      <c r="I21" s="20" t="s">
        <v>36</v>
      </c>
      <c r="J21" s="49">
        <f>AVERAGE(23.1,22.5,22.6)</f>
        <v>22.733333333333334</v>
      </c>
      <c r="K21" s="49">
        <f>AVERAGE(21.9,22,23.7)</f>
        <v>22.53333333333333</v>
      </c>
      <c r="L21" s="49"/>
      <c r="M21" s="49"/>
      <c r="N21" s="49"/>
      <c r="O21" s="49"/>
    </row>
    <row r="22" spans="1:15" ht="32.25" thickBot="1">
      <c r="A22" s="18" t="s">
        <v>37</v>
      </c>
      <c r="B22" s="19" t="s">
        <v>38</v>
      </c>
      <c r="C22" s="49">
        <f>AVERAGE(105.9,95.4,94.7)</f>
        <v>98.66666666666667</v>
      </c>
      <c r="D22" s="49">
        <f>AVERAGE(102,105.9,103.8)</f>
        <v>103.89999999999999</v>
      </c>
      <c r="E22" s="49"/>
      <c r="F22" s="48"/>
      <c r="G22" s="48"/>
      <c r="H22" s="49"/>
      <c r="I22" s="21" t="s">
        <v>39</v>
      </c>
      <c r="J22" s="49">
        <f>AVERAGE(40.6,47.3,42)</f>
        <v>43.300000000000004</v>
      </c>
      <c r="K22" s="49">
        <f>AVERAGE(52.7,56.3,67.8)</f>
        <v>58.93333333333334</v>
      </c>
      <c r="L22" s="49"/>
      <c r="M22" s="49"/>
      <c r="N22" s="49"/>
      <c r="O22" s="49"/>
    </row>
    <row r="23" spans="1:15" ht="32.25" thickBot="1">
      <c r="A23" s="18" t="s">
        <v>40</v>
      </c>
      <c r="B23" s="19" t="s">
        <v>41</v>
      </c>
      <c r="C23" s="48">
        <f>AVERAGE(175.7,165,154)</f>
        <v>164.9</v>
      </c>
      <c r="D23" s="48">
        <f>AVERAGE(168.9,173.5,175.1)</f>
        <v>172.5</v>
      </c>
      <c r="E23" s="48"/>
      <c r="F23" s="48"/>
      <c r="G23" s="48"/>
      <c r="H23" s="48"/>
      <c r="I23" s="21" t="s">
        <v>42</v>
      </c>
      <c r="J23" s="48">
        <f>AVERAGE(84.6,91,82.5)</f>
        <v>86.03333333333335</v>
      </c>
      <c r="K23" s="48">
        <f>AVERAGE(82.2,84,93.6)</f>
        <v>86.59999999999998</v>
      </c>
      <c r="L23" s="48"/>
      <c r="M23" s="48"/>
      <c r="N23" s="48"/>
      <c r="O23" s="48"/>
    </row>
    <row r="24" spans="1:15" ht="16.5" thickBot="1">
      <c r="A24" s="43" t="s">
        <v>43</v>
      </c>
      <c r="B24" s="44">
        <v>0.32</v>
      </c>
      <c r="C24" s="45">
        <f>AVERAGE(0.44,0.46,0.49)</f>
        <v>0.4633333333333334</v>
      </c>
      <c r="D24" s="45">
        <f>AVERAGE(0.48,0.56,0.47)</f>
        <v>0.5033333333333333</v>
      </c>
      <c r="E24" s="45"/>
      <c r="F24" s="45"/>
      <c r="G24" s="45"/>
      <c r="H24" s="45"/>
      <c r="I24" s="46">
        <v>0.36</v>
      </c>
      <c r="J24" s="45">
        <f>AVERAGE(0.485,0.41,0.525)</f>
        <v>0.47333333333333333</v>
      </c>
      <c r="K24" s="45">
        <f>AVERAGE(0.442,0.516,0.5255)</f>
        <v>0.49449999999999994</v>
      </c>
      <c r="L24" s="45"/>
      <c r="M24" s="45"/>
      <c r="N24" s="45"/>
      <c r="O24" s="45"/>
    </row>
    <row r="25" spans="1:15" ht="32.25" thickBot="1">
      <c r="A25" s="22" t="s">
        <v>44</v>
      </c>
      <c r="B25" s="23" t="s">
        <v>45</v>
      </c>
      <c r="C25" s="50">
        <f>AVERAGE(87,86,91)</f>
        <v>88</v>
      </c>
      <c r="D25" s="50">
        <f>AVERAGE(62,66,63)</f>
        <v>63.666666666666664</v>
      </c>
      <c r="E25" s="50"/>
      <c r="F25" s="50"/>
      <c r="G25" s="50"/>
      <c r="H25" s="50"/>
      <c r="I25" s="21" t="s">
        <v>46</v>
      </c>
      <c r="J25" s="50">
        <f>AVERAGE(136,157,147)</f>
        <v>146.66666666666666</v>
      </c>
      <c r="K25" s="50">
        <f>AVERAGE(143,132,132)</f>
        <v>135.66666666666666</v>
      </c>
      <c r="L25" s="50"/>
      <c r="M25" s="50"/>
      <c r="N25" s="50"/>
      <c r="O25" s="50"/>
    </row>
    <row r="26" spans="1:15" ht="17.25" thickBot="1" thickTop="1">
      <c r="A26" s="41"/>
      <c r="B26" s="41"/>
      <c r="C26" s="56"/>
      <c r="D26" s="56"/>
      <c r="E26" s="56"/>
      <c r="F26" s="56"/>
      <c r="G26" s="56"/>
      <c r="H26" s="56"/>
      <c r="I26" s="60"/>
      <c r="J26" s="56"/>
      <c r="K26" s="56"/>
      <c r="L26" s="56"/>
      <c r="M26" s="56"/>
      <c r="N26" s="56"/>
      <c r="O26" s="56"/>
    </row>
    <row r="27" spans="1:15" ht="16.5" customHeight="1">
      <c r="A27" s="41"/>
      <c r="B27" s="41"/>
      <c r="C27" s="56"/>
      <c r="D27" s="56"/>
      <c r="E27" s="56"/>
      <c r="F27" s="56"/>
      <c r="G27" s="56"/>
      <c r="H27" s="56"/>
      <c r="I27" s="41"/>
      <c r="J27" s="56"/>
      <c r="K27" s="56"/>
      <c r="L27" s="56"/>
      <c r="M27" s="56"/>
      <c r="N27" s="56"/>
      <c r="O27" s="56"/>
    </row>
    <row r="29" spans="1:15" ht="32.25" thickBot="1">
      <c r="A29" s="59" t="s">
        <v>47</v>
      </c>
      <c r="B29" s="120" t="s">
        <v>30</v>
      </c>
      <c r="C29" s="122"/>
      <c r="D29" s="122"/>
      <c r="E29" s="122"/>
      <c r="F29" s="122"/>
      <c r="G29" s="122"/>
      <c r="H29" s="123"/>
      <c r="I29" s="124" t="s">
        <v>31</v>
      </c>
      <c r="J29" s="122"/>
      <c r="K29" s="122"/>
      <c r="L29" s="122"/>
      <c r="M29" s="122"/>
      <c r="N29" s="122"/>
      <c r="O29" s="122"/>
    </row>
    <row r="30" spans="1:16" ht="77.25" thickBot="1">
      <c r="A30" s="24" t="s">
        <v>32</v>
      </c>
      <c r="B30" s="25" t="s">
        <v>33</v>
      </c>
      <c r="C30" s="26" t="s">
        <v>113</v>
      </c>
      <c r="D30" s="26" t="s">
        <v>102</v>
      </c>
      <c r="E30" s="26" t="s">
        <v>119</v>
      </c>
      <c r="F30" s="26" t="s">
        <v>114</v>
      </c>
      <c r="G30" s="26" t="s">
        <v>115</v>
      </c>
      <c r="H30" s="26" t="s">
        <v>101</v>
      </c>
      <c r="I30" s="27" t="s">
        <v>33</v>
      </c>
      <c r="J30" s="28" t="s">
        <v>85</v>
      </c>
      <c r="K30" s="28" t="s">
        <v>118</v>
      </c>
      <c r="L30" s="28" t="s">
        <v>119</v>
      </c>
      <c r="M30" s="28" t="s">
        <v>114</v>
      </c>
      <c r="N30" s="28" t="s">
        <v>116</v>
      </c>
      <c r="O30" s="28" t="s">
        <v>101</v>
      </c>
      <c r="P30" s="67" t="s">
        <v>117</v>
      </c>
    </row>
    <row r="31" spans="1:16" ht="32.25" thickBot="1">
      <c r="A31" s="21" t="s">
        <v>34</v>
      </c>
      <c r="B31" s="29" t="s">
        <v>35</v>
      </c>
      <c r="C31" s="30">
        <v>23.3</v>
      </c>
      <c r="D31" s="30" t="s">
        <v>91</v>
      </c>
      <c r="E31" s="30">
        <v>27</v>
      </c>
      <c r="F31" s="30">
        <v>23.2</v>
      </c>
      <c r="G31" s="30">
        <v>24.3</v>
      </c>
      <c r="H31" s="30" t="s">
        <v>96</v>
      </c>
      <c r="I31" s="29" t="s">
        <v>36</v>
      </c>
      <c r="J31" s="30" t="s">
        <v>86</v>
      </c>
      <c r="K31" s="30">
        <v>22.6</v>
      </c>
      <c r="L31" s="30">
        <v>23.4</v>
      </c>
      <c r="M31" s="30">
        <v>24.9</v>
      </c>
      <c r="N31" s="30">
        <v>23</v>
      </c>
      <c r="O31" s="30" t="s">
        <v>104</v>
      </c>
      <c r="P31" s="68" t="s">
        <v>103</v>
      </c>
    </row>
    <row r="32" spans="1:16" ht="32.25" thickBot="1">
      <c r="A32" s="21" t="s">
        <v>37</v>
      </c>
      <c r="B32" s="29" t="s">
        <v>38</v>
      </c>
      <c r="C32" s="30">
        <v>114.3</v>
      </c>
      <c r="D32" s="30" t="s">
        <v>92</v>
      </c>
      <c r="E32" s="30">
        <v>128.2</v>
      </c>
      <c r="F32" s="30">
        <v>112.4</v>
      </c>
      <c r="G32" s="30">
        <v>102.1</v>
      </c>
      <c r="H32" s="30" t="s">
        <v>97</v>
      </c>
      <c r="I32" s="29" t="s">
        <v>39</v>
      </c>
      <c r="J32" s="30" t="s">
        <v>87</v>
      </c>
      <c r="K32" s="30">
        <v>57.4</v>
      </c>
      <c r="L32" s="30">
        <v>65.2</v>
      </c>
      <c r="M32" s="30">
        <v>54.9</v>
      </c>
      <c r="N32" s="30">
        <v>54.8</v>
      </c>
      <c r="O32" s="30" t="s">
        <v>106</v>
      </c>
      <c r="P32" s="68" t="s">
        <v>105</v>
      </c>
    </row>
    <row r="33" spans="1:16" ht="32.25" thickBot="1">
      <c r="A33" s="21" t="s">
        <v>40</v>
      </c>
      <c r="B33" s="29" t="s">
        <v>41</v>
      </c>
      <c r="C33" s="30">
        <v>157.5</v>
      </c>
      <c r="D33" s="30" t="s">
        <v>93</v>
      </c>
      <c r="E33" s="30">
        <v>182.1</v>
      </c>
      <c r="F33" s="30">
        <v>176.4</v>
      </c>
      <c r="G33" s="30">
        <v>166.6</v>
      </c>
      <c r="H33" s="30" t="s">
        <v>98</v>
      </c>
      <c r="I33" s="29" t="s">
        <v>42</v>
      </c>
      <c r="J33" s="30" t="s">
        <v>88</v>
      </c>
      <c r="K33" s="30">
        <v>93.7</v>
      </c>
      <c r="L33" s="30">
        <v>95.2</v>
      </c>
      <c r="M33" s="30">
        <v>92.1</v>
      </c>
      <c r="N33" s="30">
        <v>88.2</v>
      </c>
      <c r="O33" s="30" t="s">
        <v>108</v>
      </c>
      <c r="P33" s="68" t="s">
        <v>107</v>
      </c>
    </row>
    <row r="34" spans="1:19" s="47" customFormat="1" ht="32.25" thickBot="1">
      <c r="A34" s="46" t="s">
        <v>43</v>
      </c>
      <c r="B34" s="31">
        <v>0.32</v>
      </c>
      <c r="C34" s="70">
        <v>0.16</v>
      </c>
      <c r="D34" s="66" t="s">
        <v>94</v>
      </c>
      <c r="E34" s="66">
        <v>0.34</v>
      </c>
      <c r="F34" s="66">
        <v>0.48</v>
      </c>
      <c r="G34" s="66">
        <v>0.38</v>
      </c>
      <c r="H34" s="66" t="s">
        <v>99</v>
      </c>
      <c r="I34" s="65">
        <v>0.36</v>
      </c>
      <c r="J34" s="66" t="s">
        <v>89</v>
      </c>
      <c r="K34" s="66">
        <v>0.415</v>
      </c>
      <c r="L34" s="66">
        <v>0.38</v>
      </c>
      <c r="M34" s="66">
        <v>0.425</v>
      </c>
      <c r="N34" s="66">
        <v>0.375</v>
      </c>
      <c r="O34" s="66" t="s">
        <v>110</v>
      </c>
      <c r="P34" s="69" t="s">
        <v>109</v>
      </c>
      <c r="S34" s="113"/>
    </row>
    <row r="35" spans="1:16" ht="32.25" thickBot="1">
      <c r="A35" s="21" t="s">
        <v>44</v>
      </c>
      <c r="B35" s="29" t="s">
        <v>45</v>
      </c>
      <c r="C35" s="64">
        <f>AVERAGE(33,36,40)</f>
        <v>36.333333333333336</v>
      </c>
      <c r="D35" s="30" t="s">
        <v>95</v>
      </c>
      <c r="E35" s="112">
        <f>AVERAGE(56,52,53)</f>
        <v>53.666666666666664</v>
      </c>
      <c r="F35" s="30">
        <f>AVERAGE(55,53,51)</f>
        <v>53</v>
      </c>
      <c r="G35" s="112">
        <f>AVERAGE(51,44,50)</f>
        <v>48.333333333333336</v>
      </c>
      <c r="H35" s="30" t="s">
        <v>100</v>
      </c>
      <c r="I35" s="29" t="s">
        <v>46</v>
      </c>
      <c r="J35" s="30" t="s">
        <v>90</v>
      </c>
      <c r="K35" s="30">
        <v>98</v>
      </c>
      <c r="L35" s="30">
        <v>103</v>
      </c>
      <c r="M35" s="30">
        <v>117</v>
      </c>
      <c r="N35" s="30">
        <v>93</v>
      </c>
      <c r="O35" s="30" t="s">
        <v>112</v>
      </c>
      <c r="P35" s="68" t="s">
        <v>111</v>
      </c>
    </row>
    <row r="49" ht="32.25" customHeight="1"/>
    <row r="58" ht="32.25" customHeight="1"/>
    <row r="63" ht="7.5" customHeight="1"/>
    <row r="69" ht="32.25" customHeight="1"/>
  </sheetData>
  <mergeCells count="8">
    <mergeCell ref="B29:H29"/>
    <mergeCell ref="I29:O29"/>
    <mergeCell ref="B19:H19"/>
    <mergeCell ref="I19:O19"/>
    <mergeCell ref="B3:H3"/>
    <mergeCell ref="I3:O3"/>
    <mergeCell ref="B11:H11"/>
    <mergeCell ref="I11:O11"/>
  </mergeCells>
  <printOptions horizontalCentered="1"/>
  <pageMargins left="0.6" right="0.6" top="0.6" bottom="0.6" header="0.5" footer="0.5"/>
  <pageSetup cellComments="atEnd" fitToHeight="2" horizontalDpi="600" verticalDpi="600" orientation="landscape" paperSize="3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C20"/>
  <sheetViews>
    <sheetView tabSelected="1" workbookViewId="0" topLeftCell="J1">
      <selection activeCell="W28" sqref="W28"/>
    </sheetView>
  </sheetViews>
  <sheetFormatPr defaultColWidth="9.140625" defaultRowHeight="12.75"/>
  <cols>
    <col min="1" max="1" width="9.140625" style="127" customWidth="1"/>
    <col min="2" max="2" width="31.00390625" style="127" customWidth="1"/>
    <col min="3" max="18" width="9.140625" style="127" customWidth="1"/>
    <col min="19" max="19" width="28.421875" style="127" bestFit="1" customWidth="1"/>
    <col min="20" max="20" width="8.28125" style="127" bestFit="1" customWidth="1"/>
    <col min="21" max="21" width="4.7109375" style="127" bestFit="1" customWidth="1"/>
    <col min="22" max="22" width="7.7109375" style="127" bestFit="1" customWidth="1"/>
    <col min="23" max="23" width="4.7109375" style="127" bestFit="1" customWidth="1"/>
    <col min="24" max="24" width="3.7109375" style="127" bestFit="1" customWidth="1"/>
    <col min="25" max="25" width="8.28125" style="127" bestFit="1" customWidth="1"/>
    <col min="26" max="26" width="4.7109375" style="127" bestFit="1" customWidth="1"/>
    <col min="27" max="27" width="6.7109375" style="127" customWidth="1"/>
    <col min="28" max="28" width="4.7109375" style="127" bestFit="1" customWidth="1"/>
    <col min="29" max="29" width="3.7109375" style="127" bestFit="1" customWidth="1"/>
    <col min="30" max="16384" width="9.140625" style="127" customWidth="1"/>
  </cols>
  <sheetData>
    <row r="1" spans="4:29" ht="12.75">
      <c r="D1" s="127">
        <v>1</v>
      </c>
      <c r="E1" s="127">
        <v>2</v>
      </c>
      <c r="F1" s="127">
        <v>4</v>
      </c>
      <c r="G1" s="164">
        <v>5</v>
      </c>
      <c r="H1" s="164">
        <v>6</v>
      </c>
      <c r="I1" s="164">
        <v>9</v>
      </c>
      <c r="J1" s="164">
        <v>3</v>
      </c>
      <c r="K1" s="164">
        <v>7</v>
      </c>
      <c r="L1" s="164">
        <v>8</v>
      </c>
      <c r="M1" s="164">
        <v>11</v>
      </c>
      <c r="N1" s="164">
        <v>12</v>
      </c>
      <c r="O1" s="164">
        <v>13</v>
      </c>
      <c r="P1" s="164">
        <v>10</v>
      </c>
      <c r="Q1" s="164">
        <v>14</v>
      </c>
      <c r="T1" s="151" t="s">
        <v>127</v>
      </c>
      <c r="U1" s="152"/>
      <c r="V1" s="152"/>
      <c r="W1" s="152"/>
      <c r="X1" s="153"/>
      <c r="Y1" s="151" t="s">
        <v>132</v>
      </c>
      <c r="Z1" s="152"/>
      <c r="AA1" s="152"/>
      <c r="AB1" s="152"/>
      <c r="AC1" s="153"/>
    </row>
    <row r="2" spans="2:29" ht="12.75">
      <c r="B2" s="128" t="s">
        <v>127</v>
      </c>
      <c r="C2" s="128" t="s">
        <v>33</v>
      </c>
      <c r="D2" s="129" t="s">
        <v>53</v>
      </c>
      <c r="E2" s="129" t="s">
        <v>54</v>
      </c>
      <c r="F2" s="129" t="s">
        <v>55</v>
      </c>
      <c r="G2" s="129" t="s">
        <v>74</v>
      </c>
      <c r="H2" s="129" t="s">
        <v>75</v>
      </c>
      <c r="I2" s="129" t="s">
        <v>62</v>
      </c>
      <c r="J2" s="129" t="s">
        <v>121</v>
      </c>
      <c r="K2" s="129" t="s">
        <v>122</v>
      </c>
      <c r="L2" s="129" t="s">
        <v>123</v>
      </c>
      <c r="M2" s="129" t="s">
        <v>124</v>
      </c>
      <c r="N2" s="129" t="s">
        <v>125</v>
      </c>
      <c r="O2" s="129" t="s">
        <v>126</v>
      </c>
      <c r="P2" s="129" t="s">
        <v>129</v>
      </c>
      <c r="Q2" s="129" t="s">
        <v>130</v>
      </c>
      <c r="R2" s="129"/>
      <c r="T2" s="146" t="s">
        <v>33</v>
      </c>
      <c r="U2" s="147" t="s">
        <v>138</v>
      </c>
      <c r="V2" s="147" t="s">
        <v>139</v>
      </c>
      <c r="W2" s="147" t="s">
        <v>140</v>
      </c>
      <c r="X2" s="148" t="s">
        <v>131</v>
      </c>
      <c r="Y2" s="146" t="s">
        <v>33</v>
      </c>
      <c r="Z2" s="147" t="s">
        <v>138</v>
      </c>
      <c r="AA2" s="147" t="s">
        <v>139</v>
      </c>
      <c r="AB2" s="147" t="s">
        <v>140</v>
      </c>
      <c r="AC2" s="148" t="s">
        <v>131</v>
      </c>
    </row>
    <row r="3" spans="2:29" ht="15.75">
      <c r="B3" s="41" t="s">
        <v>133</v>
      </c>
      <c r="C3" s="41">
        <v>21</v>
      </c>
      <c r="D3" s="56">
        <f>AVERAGE(24.2,23.3,22.5)</f>
        <v>23.333333333333332</v>
      </c>
      <c r="E3" s="56">
        <f>AVERAGE(25.9,25,25.7)</f>
        <v>25.53333333333333</v>
      </c>
      <c r="F3" s="56">
        <f>AVERAGE(27,24.1,23.7)</f>
        <v>24.933333333333334</v>
      </c>
      <c r="G3" s="56">
        <f>AVERAGE(26.8,26.1,26.5)</f>
        <v>26.46666666666667</v>
      </c>
      <c r="H3" s="56">
        <f>AVERAGE(33,31.8,28,28.2,25.9,34.5)</f>
        <v>30.233333333333334</v>
      </c>
      <c r="I3" s="56">
        <f>AVERAGE(29.5,29.8,27.1)</f>
        <v>28.8</v>
      </c>
      <c r="J3" s="56">
        <f>AVERAGE(25.9,25.4,25.2)</f>
        <v>25.5</v>
      </c>
      <c r="K3" s="56">
        <f>AVERAGE(24.9,25.1,25.9)</f>
        <v>25.3</v>
      </c>
      <c r="L3" s="56">
        <f>AVERAGE(23.2,27.4,29.4)</f>
        <v>26.666666666666668</v>
      </c>
      <c r="M3" s="56">
        <f>AVERAGE(23,31.1,32.5)</f>
        <v>28.866666666666664</v>
      </c>
      <c r="N3" s="56">
        <f>AVERAGE(27.4,26.5,25.3)</f>
        <v>26.400000000000002</v>
      </c>
      <c r="O3" s="56">
        <f>AVERAGE(28,29.7,30.9,25.3,27.6,28.6,25.5)</f>
        <v>27.942857142857143</v>
      </c>
      <c r="P3" s="56">
        <f>AVERAGE(28.7,26.8,22.1)</f>
        <v>25.866666666666664</v>
      </c>
      <c r="Q3" s="56">
        <f>AVERAGE(24.7,31,26.4)</f>
        <v>27.366666666666664</v>
      </c>
      <c r="R3" s="56"/>
      <c r="S3" s="143" t="str">
        <f>B3</f>
        <v>Elastic Modulus (Msi)</v>
      </c>
      <c r="T3" s="155">
        <f>C3</f>
        <v>21</v>
      </c>
      <c r="U3" s="156">
        <f>AVERAGE(D3:Q3)</f>
        <v>26.6578231292517</v>
      </c>
      <c r="V3" s="156">
        <f>MIN(D3:Q3)</f>
        <v>23.333333333333332</v>
      </c>
      <c r="W3" s="156">
        <f>MAX(D3:Q3)</f>
        <v>30.233333333333334</v>
      </c>
      <c r="X3" s="157">
        <f>STDEV(D3:Q3)</f>
        <v>1.8315564931665673</v>
      </c>
      <c r="Y3" s="155">
        <f>C10</f>
        <v>20</v>
      </c>
      <c r="Z3" s="156">
        <f>AVERAGE(D10:N10)</f>
        <v>23.066666666666666</v>
      </c>
      <c r="AA3" s="156">
        <f>MIN(D10:N10)</f>
        <v>21.599999999999998</v>
      </c>
      <c r="AB3" s="156">
        <f>MAX(D10:N10)</f>
        <v>27.333333333333332</v>
      </c>
      <c r="AC3" s="157">
        <f>STDEV(D10:N10)</f>
        <v>1.6020126230603025</v>
      </c>
    </row>
    <row r="4" spans="2:29" ht="15.75">
      <c r="B4" s="41" t="s">
        <v>134</v>
      </c>
      <c r="C4" s="41">
        <v>72</v>
      </c>
      <c r="D4" s="56">
        <f>AVERAGE(98.7,97.8,98.7)</f>
        <v>98.39999999999999</v>
      </c>
      <c r="E4" s="56">
        <f>AVERAGE(94,91.7,93.9)</f>
        <v>93.2</v>
      </c>
      <c r="F4" s="56">
        <f>AVERAGE(102.2,94.9,94.2)</f>
        <v>97.10000000000001</v>
      </c>
      <c r="G4" s="56">
        <f>AVERAGE(100.2,97.9,95.4)</f>
        <v>97.83333333333333</v>
      </c>
      <c r="H4" s="56">
        <f>AVERAGE(112.6,98.3,95.5,102.5,95,111.2)</f>
        <v>102.51666666666667</v>
      </c>
      <c r="I4" s="56">
        <f>AVERAGE(98.5,100.9,99)</f>
        <v>99.46666666666665</v>
      </c>
      <c r="J4" s="56">
        <f>AVERAGE(95.5,94.6,101.8)</f>
        <v>97.3</v>
      </c>
      <c r="K4" s="56">
        <f>AVERAGE(99.7,100.3,99.8)</f>
        <v>99.93333333333334</v>
      </c>
      <c r="L4" s="56">
        <f>AVERAGE(99.8,96.2,100.6)</f>
        <v>98.86666666666667</v>
      </c>
      <c r="M4" s="56">
        <f>AVERAGE(95.4,100.9,103.8)</f>
        <v>100.03333333333335</v>
      </c>
      <c r="N4" s="56">
        <f>AVERAGE(103.1,98.9,100.9)</f>
        <v>100.96666666666665</v>
      </c>
      <c r="O4" s="56">
        <f>AVERAGE(100.1,108.9,111.2,99.8,108.1,100.8,93.7)</f>
        <v>103.22857142857143</v>
      </c>
      <c r="P4" s="56">
        <f>AVERAGE(105.9,95.4,94.7)</f>
        <v>98.66666666666667</v>
      </c>
      <c r="Q4" s="56">
        <f>AVERAGE(102,105.9,103.8)</f>
        <v>103.89999999999999</v>
      </c>
      <c r="R4" s="56"/>
      <c r="S4" s="144" t="str">
        <f>B4</f>
        <v>0.2% Yield Strength (ksi)</v>
      </c>
      <c r="T4" s="158">
        <f>C4</f>
        <v>72</v>
      </c>
      <c r="U4" s="159">
        <f>AVERAGE(D4:Q4)</f>
        <v>99.38656462585035</v>
      </c>
      <c r="V4" s="159">
        <f>MIN(D4:Q4)</f>
        <v>93.2</v>
      </c>
      <c r="W4" s="159">
        <f>MAX(D4:Q4)</f>
        <v>103.89999999999999</v>
      </c>
      <c r="X4" s="160">
        <f>STDEV(D4:Q4)</f>
        <v>2.775998147250047</v>
      </c>
      <c r="Y4" s="158">
        <f>C11</f>
        <v>34</v>
      </c>
      <c r="Z4" s="159">
        <f>AVERAGE(D11:N11)</f>
        <v>39.98636363636364</v>
      </c>
      <c r="AA4" s="159">
        <f>MIN(D11:N11)</f>
        <v>35.083333333333336</v>
      </c>
      <c r="AB4" s="159">
        <f>MAX(D11:N11)</f>
        <v>44.46666666666666</v>
      </c>
      <c r="AC4" s="160">
        <f>STDEV(D11:N11)</f>
        <v>3.4547456746868357</v>
      </c>
    </row>
    <row r="5" spans="2:29" ht="15.75">
      <c r="B5" s="41" t="s">
        <v>135</v>
      </c>
      <c r="C5" s="41">
        <v>95</v>
      </c>
      <c r="D5" s="56">
        <f>AVERAGE(172,167.4,171.4)</f>
        <v>170.26666666666665</v>
      </c>
      <c r="E5" s="56">
        <f>AVERAGE(163.6,162.4,165.5)</f>
        <v>163.83333333333334</v>
      </c>
      <c r="F5" s="56">
        <f>AVERAGE(161.7,164.4,163.3)</f>
        <v>163.13333333333335</v>
      </c>
      <c r="G5" s="56">
        <f>AVERAGE(166.5,161.7,166.2)</f>
        <v>164.79999999999998</v>
      </c>
      <c r="H5" s="56">
        <f>AVERAGE(182.5,166.1,163.7,172.3,163.5,177.4)</f>
        <v>170.91666666666666</v>
      </c>
      <c r="I5" s="56">
        <f>AVERAGE(155.5,158.3,165.9)</f>
        <v>159.9</v>
      </c>
      <c r="J5" s="56">
        <f>AVERAGE(165.1,165.1,168.7)</f>
        <v>166.29999999999998</v>
      </c>
      <c r="K5" s="56">
        <f>AVERAGE(164,166.8,165.2)</f>
        <v>165.33333333333334</v>
      </c>
      <c r="L5" s="56">
        <f>AVERAGE(167.9,162.7,167.3)</f>
        <v>165.96666666666667</v>
      </c>
      <c r="M5" s="56">
        <f>AVERAGE(166.3,165.3,166)</f>
        <v>165.86666666666667</v>
      </c>
      <c r="N5" s="56">
        <f>AVERAGE(165.9,164.8,164.9)</f>
        <v>165.20000000000002</v>
      </c>
      <c r="O5" s="56">
        <f>AVERAGE(163.7,161.1,157.5,166.2,166.1,165.8,160.9)</f>
        <v>163.04285714285717</v>
      </c>
      <c r="P5" s="56">
        <f>AVERAGE(175.7,165,154)</f>
        <v>164.9</v>
      </c>
      <c r="Q5" s="56">
        <f>AVERAGE(168.9,173.5,175.1)</f>
        <v>172.5</v>
      </c>
      <c r="R5" s="56"/>
      <c r="S5" s="144" t="str">
        <f>B5</f>
        <v>Tensile Strength (ksi)</v>
      </c>
      <c r="T5" s="158">
        <f>C5</f>
        <v>95</v>
      </c>
      <c r="U5" s="159">
        <f>AVERAGE(D5:Q5)</f>
        <v>165.8542517006803</v>
      </c>
      <c r="V5" s="159">
        <f>MIN(D5:Q5)</f>
        <v>159.9</v>
      </c>
      <c r="W5" s="159">
        <f>MAX(D5:Q5)</f>
        <v>172.5</v>
      </c>
      <c r="X5" s="160">
        <f>STDEV(D5:Q5)</f>
        <v>3.3631591038802653</v>
      </c>
      <c r="Y5" s="158">
        <f>C12</f>
        <v>78</v>
      </c>
      <c r="Z5" s="159">
        <f>AVERAGE(D12:N12)</f>
        <v>83.46363636363638</v>
      </c>
      <c r="AA5" s="159">
        <f>MIN(D12:N12)</f>
        <v>82.23333333333333</v>
      </c>
      <c r="AB5" s="159">
        <f>MAX(D12:N12)</f>
        <v>87</v>
      </c>
      <c r="AC5" s="160">
        <f>STDEV(D12:N12)</f>
        <v>1.3827070506356376</v>
      </c>
    </row>
    <row r="6" spans="2:29" ht="15.75">
      <c r="B6" s="130" t="s">
        <v>136</v>
      </c>
      <c r="C6" s="130">
        <v>0.32</v>
      </c>
      <c r="D6" s="131">
        <f>AVERAGE(0.62,0.44,0.61)</f>
        <v>0.5566666666666666</v>
      </c>
      <c r="E6" s="131">
        <f>AVERAGE(0.41,0.61,0.61)</f>
        <v>0.5433333333333333</v>
      </c>
      <c r="F6" s="131">
        <f>AVERAGE(0.45,0.6,0.62)</f>
        <v>0.5566666666666666</v>
      </c>
      <c r="G6" s="131">
        <f>AVERAGE(0.58,0.44,0.6)</f>
        <v>0.54</v>
      </c>
      <c r="H6" s="132">
        <f>AVERAGE(0.31,0.52,0.59,0.41,0.29)</f>
        <v>0.42399999999999993</v>
      </c>
      <c r="I6" s="131">
        <f>AVERAGE(0.34,0.37,0.56)</f>
        <v>0.42333333333333334</v>
      </c>
      <c r="J6" s="131">
        <f>AVERAGE(0.51,0.59,0.58)</f>
        <v>0.56</v>
      </c>
      <c r="K6" s="131">
        <f>AVERAGE(0.59,0.56,0.54)</f>
        <v>0.5633333333333334</v>
      </c>
      <c r="L6" s="131">
        <f>AVERAGE(0.54,0.4,0.59)</f>
        <v>0.51</v>
      </c>
      <c r="M6" s="131">
        <f>AVERAGE(0.49,0.43,0.46)</f>
        <v>0.45999999999999996</v>
      </c>
      <c r="N6" s="131">
        <f>AVERAGE(0.37,0.59,0.5)</f>
        <v>0.48666666666666664</v>
      </c>
      <c r="O6" s="132">
        <f>AVERAGE(0.61,0.26,0.19,0.58,0.25,0.35,0.44)</f>
        <v>0.3828571428571429</v>
      </c>
      <c r="P6" s="131">
        <f>AVERAGE(0.44,0.46,0.49)</f>
        <v>0.4633333333333334</v>
      </c>
      <c r="Q6" s="131">
        <f>AVERAGE(0.48,0.56,0.47)</f>
        <v>0.5033333333333333</v>
      </c>
      <c r="R6" s="131"/>
      <c r="S6" s="144" t="str">
        <f>B6</f>
        <v>Elongation (%)</v>
      </c>
      <c r="T6" s="149">
        <f>C6</f>
        <v>0.32</v>
      </c>
      <c r="U6" s="142">
        <f>AVERAGE(D6:Q6)</f>
        <v>0.4981088435374149</v>
      </c>
      <c r="V6" s="142">
        <f>MIN(D6:Q6)</f>
        <v>0.3828571428571429</v>
      </c>
      <c r="W6" s="142">
        <f>MAX(D6:Q6)</f>
        <v>0.5633333333333334</v>
      </c>
      <c r="X6" s="154">
        <f>STDEV(D6:Q6)</f>
        <v>0.05953060013594243</v>
      </c>
      <c r="Y6" s="149">
        <f>C13</f>
        <v>0.36</v>
      </c>
      <c r="Z6" s="142">
        <f>AVERAGE(D13:N13)</f>
        <v>0.5225454545454545</v>
      </c>
      <c r="AA6" s="142">
        <f>MIN(D13:N13)</f>
        <v>0.4033333333333333</v>
      </c>
      <c r="AB6" s="142">
        <f>MAX(D13:N13)</f>
        <v>0.5800000000000001</v>
      </c>
      <c r="AC6" s="154">
        <f>STDEV(D13:N13)</f>
        <v>0.04616931947306693</v>
      </c>
    </row>
    <row r="7" spans="2:29" ht="15.75">
      <c r="B7" s="41" t="s">
        <v>137</v>
      </c>
      <c r="C7" s="41">
        <v>35</v>
      </c>
      <c r="D7" s="56">
        <f>AVERAGE(90,75,68)</f>
        <v>77.66666666666667</v>
      </c>
      <c r="E7" s="56">
        <f>AVERAGE(84,83,86)</f>
        <v>84.33333333333333</v>
      </c>
      <c r="F7" s="56">
        <f>AVERAGE(94,90,115)</f>
        <v>99.66666666666667</v>
      </c>
      <c r="G7" s="56">
        <f>AVERAGE(86,77,97)</f>
        <v>86.66666666666667</v>
      </c>
      <c r="H7" s="56">
        <f>AVERAGE(81,73,87)</f>
        <v>80.33333333333333</v>
      </c>
      <c r="I7" s="56">
        <f>AVERAGE(72,79,105)</f>
        <v>85.33333333333333</v>
      </c>
      <c r="J7" s="56">
        <f>AVERAGE(78,87,71)</f>
        <v>78.66666666666667</v>
      </c>
      <c r="K7" s="56">
        <f>AVERAGE(87,76,74)</f>
        <v>79</v>
      </c>
      <c r="L7" s="56">
        <f>AVERAGE(83,100,79)</f>
        <v>87.33333333333333</v>
      </c>
      <c r="M7" s="56">
        <f>AVERAGE(83,72,75)</f>
        <v>76.66666666666667</v>
      </c>
      <c r="N7" s="56">
        <f>AVERAGE(74,71,66)</f>
        <v>70.33333333333333</v>
      </c>
      <c r="O7" s="56">
        <f>AVERAGE(65,81,73)</f>
        <v>73</v>
      </c>
      <c r="P7" s="56">
        <f>AVERAGE(87,86,91)</f>
        <v>88</v>
      </c>
      <c r="Q7" s="56">
        <f>AVERAGE(62,66,63)</f>
        <v>63.666666666666664</v>
      </c>
      <c r="R7" s="56"/>
      <c r="S7" s="145" t="str">
        <f>B7</f>
        <v>Charpy V – Notch Energy (ft-lbs)</v>
      </c>
      <c r="T7" s="161">
        <f>C7</f>
        <v>35</v>
      </c>
      <c r="U7" s="162">
        <f>AVERAGE(D7:Q7)</f>
        <v>80.76190476190477</v>
      </c>
      <c r="V7" s="162">
        <f>MIN(D7:Q7)</f>
        <v>63.666666666666664</v>
      </c>
      <c r="W7" s="162">
        <f>MAX(D7:Q7)</f>
        <v>99.66666666666667</v>
      </c>
      <c r="X7" s="163">
        <f>STDEV(D7:Q7)</f>
        <v>8.843780538460539</v>
      </c>
      <c r="Y7" s="161">
        <f>C14</f>
        <v>50</v>
      </c>
      <c r="Z7" s="162">
        <f>AVERAGE(D14:N14)</f>
        <v>154.48484848484847</v>
      </c>
      <c r="AA7" s="162">
        <f>MIN(D14:N14)</f>
        <v>139</v>
      </c>
      <c r="AB7" s="162">
        <f>MAX(D14:N14)</f>
        <v>175.66666666666666</v>
      </c>
      <c r="AC7" s="163">
        <f>STDEV(D14:N14)</f>
        <v>10.68889728889415</v>
      </c>
    </row>
    <row r="9" spans="2:15" ht="12.75">
      <c r="B9" s="133" t="s">
        <v>128</v>
      </c>
      <c r="C9" s="134" t="s">
        <v>33</v>
      </c>
      <c r="D9" s="135" t="s">
        <v>53</v>
      </c>
      <c r="E9" s="135" t="s">
        <v>54</v>
      </c>
      <c r="F9" s="135" t="s">
        <v>55</v>
      </c>
      <c r="G9" s="135" t="s">
        <v>74</v>
      </c>
      <c r="H9" s="135" t="s">
        <v>75</v>
      </c>
      <c r="I9" s="135" t="s">
        <v>62</v>
      </c>
      <c r="J9" s="135" t="s">
        <v>121</v>
      </c>
      <c r="K9" s="135" t="s">
        <v>122</v>
      </c>
      <c r="L9" s="135" t="s">
        <v>123</v>
      </c>
      <c r="M9" s="135" t="s">
        <v>124</v>
      </c>
      <c r="N9" s="135" t="s">
        <v>125</v>
      </c>
      <c r="O9" s="136"/>
    </row>
    <row r="10" spans="2:29" ht="15.75">
      <c r="B10" s="41" t="s">
        <v>34</v>
      </c>
      <c r="C10" s="41">
        <v>20</v>
      </c>
      <c r="D10" s="56">
        <f>AVERAGE(21.3,20.5,21.1,28.1,24.4,23.4)</f>
        <v>23.133333333333336</v>
      </c>
      <c r="E10" s="56">
        <f>AVERAGE(23.4,23.2,21.4)</f>
        <v>22.666666666666668</v>
      </c>
      <c r="F10" s="56">
        <f>AVERAGE(22.6,21.2,21)</f>
        <v>21.599999999999998</v>
      </c>
      <c r="G10" s="56">
        <f>AVERAGE(22.5,25.3,21.4)</f>
        <v>23.066666666666663</v>
      </c>
      <c r="H10" s="56">
        <f>AVERAGE(28.4,27.7,25.9)</f>
        <v>27.333333333333332</v>
      </c>
      <c r="I10" s="56">
        <f>AVERAGE(25.1,23.7,23.5)</f>
        <v>24.099999999999998</v>
      </c>
      <c r="J10" s="56">
        <f>AVERAGE(21.8,21.5,21.7)</f>
        <v>21.666666666666668</v>
      </c>
      <c r="K10" s="56">
        <f>AVERAGE(22.5,21.7,22.3)</f>
        <v>22.166666666666668</v>
      </c>
      <c r="L10" s="56">
        <f>AVERAGE(22.1,21.3,22.4)</f>
        <v>21.933333333333337</v>
      </c>
      <c r="M10" s="56">
        <f>AVERAGE(22.8,23.8,22.2)</f>
        <v>22.933333333333334</v>
      </c>
      <c r="N10" s="56">
        <f>AVERAGE(22.9,23.8,22.7)</f>
        <v>23.133333333333336</v>
      </c>
      <c r="O10" s="137"/>
      <c r="T10" s="151" t="s">
        <v>127</v>
      </c>
      <c r="U10" s="152"/>
      <c r="V10" s="152"/>
      <c r="W10" s="152"/>
      <c r="X10" s="153"/>
      <c r="Y10" s="151" t="s">
        <v>132</v>
      </c>
      <c r="Z10" s="152"/>
      <c r="AA10" s="152"/>
      <c r="AB10" s="152"/>
      <c r="AC10" s="153"/>
    </row>
    <row r="11" spans="2:29" ht="25.5">
      <c r="B11" s="41" t="s">
        <v>37</v>
      </c>
      <c r="C11" s="41">
        <v>34</v>
      </c>
      <c r="D11" s="56">
        <f>AVERAGE(34.6,34.8,33.3,37.3,36.4,34.1)</f>
        <v>35.083333333333336</v>
      </c>
      <c r="E11" s="56">
        <f>AVERAGE(37.7,35.9,36.1)</f>
        <v>36.56666666666666</v>
      </c>
      <c r="F11" s="56">
        <f>AVERAGE(37.8,42.7,34.3)</f>
        <v>38.266666666666666</v>
      </c>
      <c r="G11" s="56">
        <f>AVERAGE(37.4,38.4,36.5)</f>
        <v>37.43333333333333</v>
      </c>
      <c r="H11" s="56">
        <f>AVERAGE(41.5,37.7,37.1)</f>
        <v>38.76666666666667</v>
      </c>
      <c r="I11" s="56">
        <f>AVERAGE(47.7,43.4,42.3)</f>
        <v>44.46666666666666</v>
      </c>
      <c r="J11" s="56">
        <f>AVERAGE(37.6,35.5,36.8)</f>
        <v>36.63333333333333</v>
      </c>
      <c r="K11" s="56">
        <f>AVERAGE(44.4,42.1,43.3)</f>
        <v>43.26666666666667</v>
      </c>
      <c r="L11" s="56">
        <f>AVERAGE(43.3,42.1,44.1)</f>
        <v>43.166666666666664</v>
      </c>
      <c r="M11" s="56">
        <f>AVERAGE(44.2,44.4,42.9)</f>
        <v>43.833333333333336</v>
      </c>
      <c r="N11" s="56">
        <f>AVERAGE(42.2,42.3,42.6)</f>
        <v>42.36666666666667</v>
      </c>
      <c r="O11" s="137"/>
      <c r="T11" s="146" t="s">
        <v>33</v>
      </c>
      <c r="U11" s="147" t="s">
        <v>138</v>
      </c>
      <c r="V11" s="147" t="s">
        <v>141</v>
      </c>
      <c r="W11" s="147" t="s">
        <v>140</v>
      </c>
      <c r="X11" s="148" t="s">
        <v>131</v>
      </c>
      <c r="Y11" s="150" t="s">
        <v>33</v>
      </c>
      <c r="Z11" s="147" t="s">
        <v>138</v>
      </c>
      <c r="AA11" s="147" t="s">
        <v>141</v>
      </c>
      <c r="AB11" s="147" t="s">
        <v>140</v>
      </c>
      <c r="AC11" s="148" t="s">
        <v>131</v>
      </c>
    </row>
    <row r="12" spans="2:29" ht="15.75">
      <c r="B12" s="41" t="s">
        <v>40</v>
      </c>
      <c r="C12" s="41">
        <v>78</v>
      </c>
      <c r="D12" s="56">
        <f>AVERAGE(82.5,85.1,83.9,83.1,83.1,84.3)</f>
        <v>83.66666666666667</v>
      </c>
      <c r="E12" s="56">
        <f>AVERAGE(82,81,84.3)</f>
        <v>82.43333333333334</v>
      </c>
      <c r="F12" s="56">
        <f>AVERAGE(83.3,83.3,81.5)</f>
        <v>82.7</v>
      </c>
      <c r="G12" s="56">
        <f>AVERAGE(82,83.5,83.8)</f>
        <v>83.10000000000001</v>
      </c>
      <c r="H12" s="56">
        <f>AVERAGE(92.9,84.4,83.7)</f>
        <v>87</v>
      </c>
      <c r="I12" s="56">
        <f>AVERAGE(87.9,82.2,80.9)</f>
        <v>83.66666666666667</v>
      </c>
      <c r="J12" s="56">
        <f>AVERAGE(85.7,79.3,82.1)</f>
        <v>82.36666666666666</v>
      </c>
      <c r="K12" s="56">
        <f>AVERAGE(83.2,83.7,84.2)</f>
        <v>83.7</v>
      </c>
      <c r="L12" s="56">
        <f>AVERAGE(83.1,81.8,83)</f>
        <v>82.63333333333333</v>
      </c>
      <c r="M12" s="56">
        <f>AVERAGE(85.6,84.8,83.4)</f>
        <v>84.6</v>
      </c>
      <c r="N12" s="56">
        <f>AVERAGE(81.1,83.5,82.1)</f>
        <v>82.23333333333333</v>
      </c>
      <c r="O12" s="137"/>
      <c r="S12" s="176" t="str">
        <f>S3</f>
        <v>Elastic Modulus (Msi)</v>
      </c>
      <c r="T12" s="165">
        <f>T3</f>
        <v>21</v>
      </c>
      <c r="U12" s="170">
        <f>U3</f>
        <v>26.6578231292517</v>
      </c>
      <c r="V12" s="174">
        <f>(W3-V3)/U3</f>
        <v>0.25883583841580127</v>
      </c>
      <c r="W12" s="156"/>
      <c r="X12" s="157"/>
      <c r="Y12" s="166">
        <f>Y3</f>
        <v>20</v>
      </c>
      <c r="Z12" s="156">
        <f>Z3</f>
        <v>23.066666666666666</v>
      </c>
      <c r="AA12" s="174">
        <f>(AB3-AA3)/Z3</f>
        <v>0.24855491329479773</v>
      </c>
      <c r="AB12" s="156"/>
      <c r="AC12" s="157"/>
    </row>
    <row r="13" spans="2:29" ht="15.75">
      <c r="B13" s="130" t="s">
        <v>43</v>
      </c>
      <c r="C13" s="130">
        <v>0.36</v>
      </c>
      <c r="D13" s="131">
        <f>AVERAGE(0.53,0.515,0.5,0.55,0.525,0.5)</f>
        <v>0.5199999999999999</v>
      </c>
      <c r="E13" s="131">
        <f>AVERAGE(0.514,0.515,0.575)</f>
        <v>0.5346666666666666</v>
      </c>
      <c r="F13" s="131">
        <f>AVERAGE(0.475,0.55,0.55)</f>
        <v>0.525</v>
      </c>
      <c r="G13" s="131">
        <f>AVERAGE(0.55,0.555,0.565)</f>
        <v>0.5566666666666666</v>
      </c>
      <c r="H13" s="131">
        <f>AVERAGE(0.55,0.52,0.67)</f>
        <v>0.5800000000000001</v>
      </c>
      <c r="I13" s="131">
        <f>AVERAGE(0.37,0.4,0.44)</f>
        <v>0.4033333333333333</v>
      </c>
      <c r="J13" s="131">
        <f>AVERAGE(0.53,0.555,0.51)</f>
        <v>0.5316666666666666</v>
      </c>
      <c r="K13" s="131">
        <f>AVERAGE(0.56,0.57,0.55)</f>
        <v>0.5599999999999999</v>
      </c>
      <c r="L13" s="131">
        <f>AVERAGE(0.55,0.54,0.51)</f>
        <v>0.5333333333333333</v>
      </c>
      <c r="M13" s="131">
        <f>AVERAGE(0.46,0.5,0.55)</f>
        <v>0.5033333333333333</v>
      </c>
      <c r="N13" s="131">
        <f>AVERAGE(0.52,0.54,0.44)</f>
        <v>0.5</v>
      </c>
      <c r="O13" s="138"/>
      <c r="S13" s="177" t="str">
        <f aca="true" t="shared" si="0" ref="S13:U16">S4</f>
        <v>0.2% Yield Strength (ksi)</v>
      </c>
      <c r="T13" s="171">
        <f t="shared" si="0"/>
        <v>72</v>
      </c>
      <c r="U13" s="169">
        <f t="shared" si="0"/>
        <v>99.38656462585035</v>
      </c>
      <c r="V13" s="142">
        <f>(W4-V4)/U4</f>
        <v>0.10766042714406217</v>
      </c>
      <c r="W13" s="159"/>
      <c r="X13" s="160"/>
      <c r="Y13" s="167">
        <f>Y4</f>
        <v>34</v>
      </c>
      <c r="Z13" s="159">
        <f>Z4</f>
        <v>39.98636363636364</v>
      </c>
      <c r="AA13" s="142">
        <f>(AB4-AA4)/2/Z4</f>
        <v>0.11733166609829097</v>
      </c>
      <c r="AB13" s="159"/>
      <c r="AC13" s="160"/>
    </row>
    <row r="14" spans="2:29" ht="15.75">
      <c r="B14" s="41" t="s">
        <v>44</v>
      </c>
      <c r="C14" s="41">
        <v>50</v>
      </c>
      <c r="D14" s="56">
        <f>AVERAGE(142,141,143)</f>
        <v>142</v>
      </c>
      <c r="E14" s="56">
        <f>AVERAGE(139,148,165)</f>
        <v>150.66666666666666</v>
      </c>
      <c r="F14" s="56">
        <f>AVERAGE(157,141,174)</f>
        <v>157.33333333333334</v>
      </c>
      <c r="G14" s="56">
        <f>AVERAGE(165,159,203)</f>
        <v>175.66666666666666</v>
      </c>
      <c r="H14" s="56">
        <f>AVERAGE(130,131,156)</f>
        <v>139</v>
      </c>
      <c r="I14" s="56">
        <f>AVERAGE(117,155,185)</f>
        <v>152.33333333333334</v>
      </c>
      <c r="J14" s="56">
        <f>AVERAGE(162,162,167)</f>
        <v>163.66666666666666</v>
      </c>
      <c r="K14" s="56">
        <f>AVERAGE(171,178,143)</f>
        <v>164</v>
      </c>
      <c r="L14" s="56">
        <f>AVERAGE(140,197,137)</f>
        <v>158</v>
      </c>
      <c r="M14" s="56">
        <f>AVERAGE(150,143,158)</f>
        <v>150.33333333333334</v>
      </c>
      <c r="N14" s="56">
        <f>AVERAGE(143,148,148)</f>
        <v>146.33333333333334</v>
      </c>
      <c r="O14" s="137"/>
      <c r="S14" s="177" t="str">
        <f t="shared" si="0"/>
        <v>Tensile Strength (ksi)</v>
      </c>
      <c r="T14" s="171">
        <f t="shared" si="0"/>
        <v>95</v>
      </c>
      <c r="U14" s="169">
        <f t="shared" si="0"/>
        <v>165.8542517006803</v>
      </c>
      <c r="V14" s="142">
        <f>(W5-V5)/U5</f>
        <v>0.07597031653273144</v>
      </c>
      <c r="W14" s="159"/>
      <c r="X14" s="160"/>
      <c r="Y14" s="167">
        <f>Y5</f>
        <v>78</v>
      </c>
      <c r="Z14" s="159">
        <f>Z5</f>
        <v>83.46363636363638</v>
      </c>
      <c r="AA14" s="142">
        <f>(AB5-AA5)/2/Z5</f>
        <v>0.028555349816650318</v>
      </c>
      <c r="AB14" s="159"/>
      <c r="AC14" s="160"/>
    </row>
    <row r="15" spans="19:29" ht="12.75">
      <c r="S15" s="177" t="str">
        <f t="shared" si="0"/>
        <v>Elongation (%)</v>
      </c>
      <c r="T15" s="179">
        <f t="shared" si="0"/>
        <v>0.32</v>
      </c>
      <c r="U15" s="140">
        <f t="shared" si="0"/>
        <v>0.4981088435374149</v>
      </c>
      <c r="V15" s="142">
        <f>(W6-V6)/U6</f>
        <v>0.3623227991587228</v>
      </c>
      <c r="W15" s="142"/>
      <c r="X15" s="154"/>
      <c r="Y15" s="139">
        <f>Y6</f>
        <v>0.36</v>
      </c>
      <c r="Z15" s="142">
        <f>Z6</f>
        <v>0.5225454545454545</v>
      </c>
      <c r="AA15" s="142">
        <f>(AB6-AA6)/2/Z6</f>
        <v>0.16904430526559971</v>
      </c>
      <c r="AB15" s="142"/>
      <c r="AC15" s="154"/>
    </row>
    <row r="16" spans="19:29" ht="12.75">
      <c r="S16" s="178" t="str">
        <f t="shared" si="0"/>
        <v>Charpy V – Notch Energy (ft-lbs)</v>
      </c>
      <c r="T16" s="172">
        <f t="shared" si="0"/>
        <v>35</v>
      </c>
      <c r="U16" s="173">
        <f t="shared" si="0"/>
        <v>80.76190476190477</v>
      </c>
      <c r="V16" s="175">
        <f>(W7-V7)/U7</f>
        <v>0.4457547169811321</v>
      </c>
      <c r="W16" s="162"/>
      <c r="X16" s="163"/>
      <c r="Y16" s="168">
        <f>Y7</f>
        <v>50</v>
      </c>
      <c r="Z16" s="162">
        <f>Z7</f>
        <v>154.48484848484847</v>
      </c>
      <c r="AA16" s="175">
        <f>(AB7-AA7)/2/Z7</f>
        <v>0.11867398979992151</v>
      </c>
      <c r="AB16" s="162"/>
      <c r="AC16" s="163"/>
    </row>
    <row r="20" spans="18:20" ht="12.75">
      <c r="R20" s="141"/>
      <c r="S20" s="141"/>
      <c r="T20" s="141"/>
    </row>
  </sheetData>
  <mergeCells count="4">
    <mergeCell ref="T1:X1"/>
    <mergeCell ref="Y1:AC1"/>
    <mergeCell ref="T10:X10"/>
    <mergeCell ref="Y10:AC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H1:L3"/>
  <sheetViews>
    <sheetView workbookViewId="0" topLeftCell="A1">
      <selection activeCell="J3" sqref="J3"/>
    </sheetView>
  </sheetViews>
  <sheetFormatPr defaultColWidth="9.140625" defaultRowHeight="12.75"/>
  <cols>
    <col min="1" max="8" width="8.7109375" style="0" customWidth="1"/>
    <col min="9" max="12" width="9.140625" style="51" customWidth="1"/>
    <col min="13" max="16384" width="8.7109375" style="0" customWidth="1"/>
  </cols>
  <sheetData>
    <row r="1" spans="9:12" ht="12.75">
      <c r="I1" s="126" t="s">
        <v>58</v>
      </c>
      <c r="J1" s="126"/>
      <c r="K1" s="126" t="s">
        <v>59</v>
      </c>
      <c r="L1" s="126"/>
    </row>
    <row r="2" spans="9:12" ht="12.75">
      <c r="I2" s="51" t="s">
        <v>60</v>
      </c>
      <c r="J2" s="51" t="s">
        <v>57</v>
      </c>
      <c r="K2" s="51" t="s">
        <v>60</v>
      </c>
      <c r="L2" s="51" t="s">
        <v>57</v>
      </c>
    </row>
    <row r="3" spans="8:10" ht="12.75">
      <c r="H3" t="s">
        <v>50</v>
      </c>
      <c r="I3" s="51">
        <v>329</v>
      </c>
      <c r="J3" s="51">
        <v>96</v>
      </c>
    </row>
  </sheetData>
  <mergeCells count="2">
    <mergeCell ref="I1:J1"/>
    <mergeCell ref="K1:L1"/>
  </mergeCells>
  <printOptions/>
  <pageMargins left="0.75" right="0.75" top="1" bottom="1" header="0.5" footer="0.5"/>
  <pageSetup fitToHeight="1" fitToWidth="1" horizontalDpi="1200" verticalDpi="1200" orientation="portrait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Heitzenroeder</dc:creator>
  <cp:keywords/>
  <dc:description/>
  <cp:lastModifiedBy>reiersen</cp:lastModifiedBy>
  <cp:lastPrinted>2007-02-22T16:32:21Z</cp:lastPrinted>
  <dcterms:created xsi:type="dcterms:W3CDTF">2005-05-04T13:42:31Z</dcterms:created>
  <dcterms:modified xsi:type="dcterms:W3CDTF">2007-02-22T18:04:49Z</dcterms:modified>
  <cp:category/>
  <cp:version/>
  <cp:contentType/>
  <cp:contentStatus/>
</cp:coreProperties>
</file>