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1980" windowWidth="19320" windowHeight="1270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<sst xmlns="http://schemas.openxmlformats.org/spreadsheetml/2006/main" count="175" uniqueCount="132">
  <si>
    <t>per unit</t>
  </si>
  <si>
    <t>henry</t>
  </si>
  <si>
    <t>(A/m^2)^2-sec</t>
  </si>
  <si>
    <t>Tflat</t>
  </si>
  <si>
    <t>amp</t>
  </si>
  <si>
    <t>sec</t>
  </si>
  <si>
    <t>Vdo</t>
  </si>
  <si>
    <t>Rps</t>
  </si>
  <si>
    <t>Id_rated</t>
  </si>
  <si>
    <t>Ltotal</t>
  </si>
  <si>
    <t>Tramp</t>
  </si>
  <si>
    <t>Idot</t>
  </si>
  <si>
    <t>amp/sec</t>
  </si>
  <si>
    <t>Jflat</t>
  </si>
  <si>
    <t>Rwinding_20</t>
  </si>
  <si>
    <t>Windings in Parallel</t>
  </si>
  <si>
    <t>Cond Length per Winding</t>
  </si>
  <si>
    <t>Lcoil/Rcoil_20</t>
  </si>
  <si>
    <t>Windings in Series</t>
  </si>
  <si>
    <t>Flat Top Coil Current</t>
  </si>
  <si>
    <t>Turns per Winding</t>
  </si>
  <si>
    <t>I2Trise=I2Tfall</t>
  </si>
  <si>
    <t>amp^2-sec</t>
  </si>
  <si>
    <t>I2Tflat</t>
  </si>
  <si>
    <t>turns</t>
  </si>
  <si>
    <t>1/degK</t>
  </si>
  <si>
    <t>amp/m^2</t>
  </si>
  <si>
    <t>Cu CSA per winding</t>
  </si>
  <si>
    <t>Rcoil_soft</t>
  </si>
  <si>
    <t>Rcoil_sop</t>
  </si>
  <si>
    <t>G_sop</t>
  </si>
  <si>
    <t>T_sop</t>
  </si>
  <si>
    <t>G_soft</t>
  </si>
  <si>
    <t>T_soft</t>
  </si>
  <si>
    <t>T_eoft</t>
  </si>
  <si>
    <t>R_eoft</t>
  </si>
  <si>
    <t>G_eop</t>
  </si>
  <si>
    <t>T_eop</t>
  </si>
  <si>
    <t>R_eop</t>
  </si>
  <si>
    <t>Trep</t>
  </si>
  <si>
    <t>Irms</t>
  </si>
  <si>
    <t>I2Ttotal</t>
  </si>
  <si>
    <t>Vd_eop</t>
  </si>
  <si>
    <t>Vd_sop</t>
  </si>
  <si>
    <t>Lwinding</t>
  </si>
  <si>
    <t>Lwinding/Rwinding_20</t>
  </si>
  <si>
    <t>Vd_soft (-)</t>
  </si>
  <si>
    <t>Vmargin_soft (-)</t>
  </si>
  <si>
    <t>Vd_soft (+)</t>
  </si>
  <si>
    <t>Vd_eoft (+)</t>
  </si>
  <si>
    <t>Vmargin_eoft (+)</t>
  </si>
  <si>
    <t>Vd_eoft (-)</t>
  </si>
  <si>
    <t>Flat Racetrack</t>
  </si>
  <si>
    <t>Twisted Racetrack</t>
  </si>
  <si>
    <t>Production A</t>
  </si>
  <si>
    <t>Production B</t>
  </si>
  <si>
    <t>Production C</t>
  </si>
  <si>
    <t>Total Series Turns</t>
  </si>
  <si>
    <t>Transrex max open circuit voltage</t>
  </si>
  <si>
    <t>Number series Transrex PS sections</t>
  </si>
  <si>
    <t>G function at end of pulse</t>
  </si>
  <si>
    <t>Power supply voltage requirement at end of pulse</t>
  </si>
  <si>
    <t>Repetition Period</t>
  </si>
  <si>
    <t>RMS coil current</t>
  </si>
  <si>
    <t>External circuit resistance inc'l CLR</t>
  </si>
  <si>
    <t>External circuit inductance inc'l CLR</t>
  </si>
  <si>
    <t>Number parallel Transrex PS sections</t>
  </si>
  <si>
    <t>Transrex rated current</t>
  </si>
  <si>
    <t>Transrex voltage drop at rated current</t>
  </si>
  <si>
    <t>Equivalent resistance of Transrex series/parallel combination</t>
  </si>
  <si>
    <t>From Coil Data Sheet</t>
  </si>
  <si>
    <t>Copper CSA per winding</t>
  </si>
  <si>
    <t>Copper resistivity at 20C</t>
  </si>
  <si>
    <t>Winding time constant at 20C</t>
  </si>
  <si>
    <t>Winding length calculated to give coil resistance at 20C</t>
  </si>
  <si>
    <t>Total series turns</t>
  </si>
  <si>
    <t>Scaled from winding inductance by turns^2</t>
  </si>
  <si>
    <t>Total coil resistance at 20C</t>
  </si>
  <si>
    <t>Coil time constant at 20C</t>
  </si>
  <si>
    <t>Total circuit inductance</t>
  </si>
  <si>
    <t>Starting temperature</t>
  </si>
  <si>
    <t>Copper coefficient of resistance</t>
  </si>
  <si>
    <t>Initial coil temperature</t>
  </si>
  <si>
    <t>G function at initial coil temperature</t>
  </si>
  <si>
    <t xml:space="preserve">Flat top current </t>
  </si>
  <si>
    <t>Flat top duration</t>
  </si>
  <si>
    <t>Flat top current density</t>
  </si>
  <si>
    <t>Ramp up and Ramp down time</t>
  </si>
  <si>
    <t>Ramp current derivative</t>
  </si>
  <si>
    <t>I2T of rise and fall</t>
  </si>
  <si>
    <t>I2T of flat top</t>
  </si>
  <si>
    <t>Total I2T</t>
  </si>
  <si>
    <t>G function at start of pulse</t>
  </si>
  <si>
    <t>Temperature at start of pulse</t>
  </si>
  <si>
    <t>Coil resistance at start of pulse</t>
  </si>
  <si>
    <t>Power supply voltage requirement at start of pulse</t>
  </si>
  <si>
    <t>Coil resistance at start of flat top</t>
  </si>
  <si>
    <t>G function at start of flat top</t>
  </si>
  <si>
    <t>Temperature at start of flat top</t>
  </si>
  <si>
    <t>Power supply voltage requirement just prior to start of flat top</t>
  </si>
  <si>
    <t>Power supply voltage requirement just after start of flat top</t>
  </si>
  <si>
    <t>G_eoft</t>
  </si>
  <si>
    <t>Coil resistance at end of flat top</t>
  </si>
  <si>
    <t>Power supply voltage requirement just prior to end of flat top</t>
  </si>
  <si>
    <t>G function at end of flat top</t>
  </si>
  <si>
    <t>Temperature at end of flat top</t>
  </si>
  <si>
    <t>Power supply voltage requirement just after end of flat top</t>
  </si>
  <si>
    <t>PS voltage available divided by PS voltage required</t>
  </si>
  <si>
    <t>Temperature at end of pulse</t>
  </si>
  <si>
    <t>Coil resistance at end of pulse</t>
  </si>
  <si>
    <t>NS</t>
  </si>
  <si>
    <t>NP</t>
  </si>
  <si>
    <t>Rext</t>
  </si>
  <si>
    <t>Lext</t>
  </si>
  <si>
    <t>Reg</t>
  </si>
  <si>
    <t>Cond Width</t>
  </si>
  <si>
    <t>Cond Height</t>
  </si>
  <si>
    <t>Fill</t>
  </si>
  <si>
    <t>Rho_20</t>
  </si>
  <si>
    <t>Rcoil_20</t>
  </si>
  <si>
    <t>Lcoil</t>
  </si>
  <si>
    <t>T0</t>
  </si>
  <si>
    <t>Rcoil_T0</t>
  </si>
  <si>
    <t>m^2</t>
  </si>
  <si>
    <t>in</t>
  </si>
  <si>
    <t>ohm-m</t>
  </si>
  <si>
    <t>ohm</t>
  </si>
  <si>
    <t>m</t>
  </si>
  <si>
    <t>K</t>
  </si>
  <si>
    <t>alpha</t>
  </si>
  <si>
    <t>G0</t>
  </si>
  <si>
    <t>volt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</si>
</sst>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Border="1" applyAlignment="1">
      <alignment horizontal="left"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1" fontId="0" fillId="2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 horizontal="left"/>
    </xf>
    <xf numFmtId="1" fontId="0" fillId="3" borderId="1" xfId="0" applyNumberFormat="1" applyFill="1" applyBorder="1" applyAlignment="1">
      <alignment/>
    </xf>
    <xf numFmtId="11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B8" sqref="B8"/>
    </sheetView>
  </sheetViews>
  <sheetFormatPr defaultColWidth="9.140625" defaultRowHeight="12.75"/>
  <cols>
    <col min="1" max="1" width="26.28125" style="0" customWidth="1"/>
    <col min="2" max="2" width="13.28125" style="0" bestFit="1" customWidth="1"/>
    <col min="3" max="3" width="16.421875" style="0" bestFit="1" customWidth="1"/>
    <col min="4" max="6" width="11.7109375" style="0" bestFit="1" customWidth="1"/>
    <col min="7" max="8" width="11.421875" style="0" customWidth="1"/>
    <col min="9" max="9" width="10.8515625" style="1" customWidth="1"/>
    <col min="10" max="10" width="11.421875" style="0" customWidth="1"/>
    <col min="11" max="11" width="10.8515625" style="1" customWidth="1"/>
    <col min="12" max="12" width="11.421875" style="0" customWidth="1"/>
    <col min="13" max="13" width="10.8515625" style="1" customWidth="1"/>
    <col min="14" max="14" width="12.28125" style="1" bestFit="1" customWidth="1"/>
    <col min="15" max="15" width="12.28125" style="4" bestFit="1" customWidth="1"/>
    <col min="16" max="16384" width="11.421875" style="0" customWidth="1"/>
  </cols>
  <sheetData>
    <row r="1" spans="2:7" ht="12.75">
      <c r="B1" s="5" t="s">
        <v>52</v>
      </c>
      <c r="C1" s="5" t="s">
        <v>53</v>
      </c>
      <c r="D1" s="5" t="s">
        <v>54</v>
      </c>
      <c r="E1" s="5" t="s">
        <v>55</v>
      </c>
      <c r="F1" s="5" t="s">
        <v>56</v>
      </c>
      <c r="G1" s="5"/>
    </row>
    <row r="2" spans="1:8" ht="12.75">
      <c r="A2" s="5" t="s">
        <v>6</v>
      </c>
      <c r="B2" s="5">
        <v>1012.85</v>
      </c>
      <c r="C2" s="5">
        <v>1012.85</v>
      </c>
      <c r="D2" s="5">
        <v>1012.85</v>
      </c>
      <c r="E2" s="5">
        <v>1012.85</v>
      </c>
      <c r="F2" s="5">
        <v>1012.85</v>
      </c>
      <c r="G2" s="5" t="s">
        <v>131</v>
      </c>
      <c r="H2" t="s">
        <v>58</v>
      </c>
    </row>
    <row r="3" spans="1:8" ht="12.75">
      <c r="A3" s="5" t="s">
        <v>110</v>
      </c>
      <c r="B3" s="5">
        <v>1</v>
      </c>
      <c r="C3" s="5">
        <v>2</v>
      </c>
      <c r="D3" s="5">
        <v>2</v>
      </c>
      <c r="E3" s="5">
        <v>2</v>
      </c>
      <c r="F3" s="5">
        <v>2</v>
      </c>
      <c r="G3" s="5"/>
      <c r="H3" t="s">
        <v>59</v>
      </c>
    </row>
    <row r="4" spans="1:8" ht="12.75">
      <c r="A4" s="5" t="s">
        <v>111</v>
      </c>
      <c r="B4" s="5">
        <v>2</v>
      </c>
      <c r="C4" s="5">
        <v>2</v>
      </c>
      <c r="D4" s="5">
        <v>2</v>
      </c>
      <c r="E4" s="5">
        <v>2</v>
      </c>
      <c r="F4" s="5">
        <v>2</v>
      </c>
      <c r="G4" s="5"/>
      <c r="H4" t="s">
        <v>66</v>
      </c>
    </row>
    <row r="5" spans="1:8" ht="12.75">
      <c r="A5" s="5" t="s">
        <v>8</v>
      </c>
      <c r="B5" s="6">
        <v>24000</v>
      </c>
      <c r="C5" s="6">
        <v>24000</v>
      </c>
      <c r="D5" s="6">
        <v>24000</v>
      </c>
      <c r="E5" s="6">
        <v>24000</v>
      </c>
      <c r="F5" s="6">
        <v>24000</v>
      </c>
      <c r="G5" s="5" t="s">
        <v>4</v>
      </c>
      <c r="H5" t="s">
        <v>67</v>
      </c>
    </row>
    <row r="6" spans="1:8" ht="12.75">
      <c r="A6" s="5" t="s">
        <v>114</v>
      </c>
      <c r="B6" s="5">
        <v>0.25</v>
      </c>
      <c r="C6" s="5">
        <v>0.25</v>
      </c>
      <c r="D6" s="5">
        <v>0.25</v>
      </c>
      <c r="E6" s="5">
        <v>0.25</v>
      </c>
      <c r="F6" s="5">
        <v>0.25</v>
      </c>
      <c r="G6" s="5" t="s">
        <v>0</v>
      </c>
      <c r="H6" t="s">
        <v>68</v>
      </c>
    </row>
    <row r="7" spans="1:8" ht="12.75">
      <c r="A7" s="5" t="s">
        <v>7</v>
      </c>
      <c r="B7" s="6">
        <f>B6*B2*B3/B5/B4</f>
        <v>0.005275260416666667</v>
      </c>
      <c r="C7" s="6">
        <f>C6*C2*C3/C5/C4</f>
        <v>0.010550520833333334</v>
      </c>
      <c r="D7" s="6">
        <f>D6*D2*D3/D5/D4</f>
        <v>0.010550520833333334</v>
      </c>
      <c r="E7" s="6">
        <f>E6*E2*E3/E5/E4</f>
        <v>0.010550520833333334</v>
      </c>
      <c r="F7" s="6">
        <f>F6*F2*F3/F5/F4</f>
        <v>0.010550520833333334</v>
      </c>
      <c r="G7" s="5" t="s">
        <v>126</v>
      </c>
      <c r="H7" t="s">
        <v>69</v>
      </c>
    </row>
    <row r="8" spans="1:8" ht="12.75">
      <c r="A8" s="5" t="s">
        <v>112</v>
      </c>
      <c r="B8" s="6">
        <f>0.0037+0.00135/B4</f>
        <v>0.004375</v>
      </c>
      <c r="C8" s="6">
        <f>0.00376+0.001/C4</f>
        <v>0.00426</v>
      </c>
      <c r="D8" s="6">
        <f>0.00376+0.001/D4</f>
        <v>0.00426</v>
      </c>
      <c r="E8" s="6">
        <f>0.00376+0.001/E4</f>
        <v>0.00426</v>
      </c>
      <c r="F8" s="6">
        <f>0.00376+0.001/F4</f>
        <v>0.00426</v>
      </c>
      <c r="G8" s="5" t="s">
        <v>126</v>
      </c>
      <c r="H8" t="s">
        <v>64</v>
      </c>
    </row>
    <row r="9" spans="1:8" ht="12.75">
      <c r="A9" s="5" t="s">
        <v>113</v>
      </c>
      <c r="B9" s="6">
        <f>0.00028/B4+0.000044</f>
        <v>0.00018399999999999997</v>
      </c>
      <c r="C9" s="6">
        <f>0.000265/C4</f>
        <v>0.0001325</v>
      </c>
      <c r="D9" s="6">
        <f>0.000265/D4</f>
        <v>0.0001325</v>
      </c>
      <c r="E9" s="6">
        <f>0.000265/E4</f>
        <v>0.0001325</v>
      </c>
      <c r="F9" s="6">
        <f>0.000265/F4</f>
        <v>0.0001325</v>
      </c>
      <c r="G9" s="5" t="s">
        <v>1</v>
      </c>
      <c r="H9" t="s">
        <v>65</v>
      </c>
    </row>
    <row r="10" spans="1:8" ht="12.75">
      <c r="A10" s="5" t="s">
        <v>115</v>
      </c>
      <c r="B10" s="7">
        <v>0.625</v>
      </c>
      <c r="C10" s="7">
        <v>0.35</v>
      </c>
      <c r="D10" s="7">
        <v>0.35</v>
      </c>
      <c r="E10" s="7">
        <v>0.35</v>
      </c>
      <c r="F10" s="7">
        <v>0.35</v>
      </c>
      <c r="G10" s="5" t="s">
        <v>124</v>
      </c>
      <c r="H10" t="s">
        <v>70</v>
      </c>
    </row>
    <row r="11" spans="1:8" ht="12.75">
      <c r="A11" s="5" t="s">
        <v>116</v>
      </c>
      <c r="B11" s="7">
        <v>0.5</v>
      </c>
      <c r="C11" s="7">
        <v>0.391</v>
      </c>
      <c r="D11" s="7">
        <v>0.391</v>
      </c>
      <c r="E11" s="7">
        <v>0.391</v>
      </c>
      <c r="F11" s="7">
        <v>0.391</v>
      </c>
      <c r="G11" s="5" t="s">
        <v>124</v>
      </c>
      <c r="H11" t="s">
        <v>70</v>
      </c>
    </row>
    <row r="12" spans="1:8" ht="12.75">
      <c r="A12" s="5" t="s">
        <v>117</v>
      </c>
      <c r="B12" s="7">
        <v>0.78</v>
      </c>
      <c r="C12" s="7">
        <v>0.78</v>
      </c>
      <c r="D12" s="7">
        <v>0.78</v>
      </c>
      <c r="E12" s="7">
        <v>0.78</v>
      </c>
      <c r="F12" s="7">
        <v>0.78</v>
      </c>
      <c r="G12" s="5"/>
      <c r="H12" t="s">
        <v>70</v>
      </c>
    </row>
    <row r="13" spans="1:15" ht="12.75">
      <c r="A13" s="5" t="s">
        <v>27</v>
      </c>
      <c r="B13" s="6">
        <f>B10*B11*B12*2.54^2/100^2</f>
        <v>0.00015725775000000001</v>
      </c>
      <c r="C13" s="6">
        <f>C10*C11*C12*2.54^2/100^2</f>
        <v>6.886631388000001E-05</v>
      </c>
      <c r="D13" s="6">
        <f>D10*D11*D12*2.54^2/100^2</f>
        <v>6.886631388000001E-05</v>
      </c>
      <c r="E13" s="6">
        <f>E10*E11*E12*2.54^2/100^2</f>
        <v>6.886631388000001E-05</v>
      </c>
      <c r="F13" s="6">
        <f>F10*F11*F12*2.54^2/100^2</f>
        <v>6.886631388000001E-05</v>
      </c>
      <c r="G13" s="5" t="s">
        <v>123</v>
      </c>
      <c r="H13" t="s">
        <v>71</v>
      </c>
      <c r="O13" s="1"/>
    </row>
    <row r="14" spans="1:8" ht="12.75">
      <c r="A14" s="5" t="s">
        <v>118</v>
      </c>
      <c r="B14" s="6">
        <v>1.72E-08</v>
      </c>
      <c r="C14" s="6">
        <v>1.72E-08</v>
      </c>
      <c r="D14" s="6">
        <v>1.72E-08</v>
      </c>
      <c r="E14" s="6">
        <v>1.72E-08</v>
      </c>
      <c r="F14" s="6">
        <v>1.72E-08</v>
      </c>
      <c r="G14" s="5" t="s">
        <v>125</v>
      </c>
      <c r="H14" t="s">
        <v>72</v>
      </c>
    </row>
    <row r="15" spans="1:8" ht="12.75">
      <c r="A15" s="5" t="s">
        <v>14</v>
      </c>
      <c r="B15" s="8">
        <f>0.006045</f>
        <v>0.006045</v>
      </c>
      <c r="C15" s="8">
        <v>0.004478</v>
      </c>
      <c r="D15" s="8">
        <v>0.01671</v>
      </c>
      <c r="E15" s="8">
        <v>0.01629</v>
      </c>
      <c r="F15" s="8">
        <v>0.01361</v>
      </c>
      <c r="G15" s="5" t="s">
        <v>126</v>
      </c>
      <c r="H15" t="s">
        <v>70</v>
      </c>
    </row>
    <row r="16" spans="1:8" ht="12.75">
      <c r="A16" s="5" t="s">
        <v>44</v>
      </c>
      <c r="B16" s="9">
        <v>0.000663</v>
      </c>
      <c r="C16" s="9">
        <v>0.00791</v>
      </c>
      <c r="D16" s="9">
        <v>0.0124</v>
      </c>
      <c r="E16" s="9">
        <v>0.00923</v>
      </c>
      <c r="F16" s="9">
        <v>0.0079</v>
      </c>
      <c r="G16" s="5" t="s">
        <v>1</v>
      </c>
      <c r="H16" t="s">
        <v>70</v>
      </c>
    </row>
    <row r="17" spans="1:8" ht="12.75">
      <c r="A17" s="5" t="s">
        <v>45</v>
      </c>
      <c r="B17" s="6">
        <f>B16/B15</f>
        <v>0.1096774193548387</v>
      </c>
      <c r="C17" s="6">
        <f>C16/C15</f>
        <v>1.7664135774899508</v>
      </c>
      <c r="D17" s="6">
        <f>D16/D15</f>
        <v>0.7420706163973668</v>
      </c>
      <c r="E17" s="6">
        <f>E16/E15</f>
        <v>0.5666052793124617</v>
      </c>
      <c r="F17" s="6">
        <f>F16/F15</f>
        <v>0.5804555473916239</v>
      </c>
      <c r="G17" s="5" t="s">
        <v>5</v>
      </c>
      <c r="H17" t="s">
        <v>73</v>
      </c>
    </row>
    <row r="18" spans="1:8" ht="12.75">
      <c r="A18" s="5" t="s">
        <v>16</v>
      </c>
      <c r="B18" s="10">
        <f>B13*B15/B14</f>
        <v>55.26878481104652</v>
      </c>
      <c r="C18" s="10">
        <f>C13*C15/C14</f>
        <v>17.92926474154884</v>
      </c>
      <c r="D18" s="10">
        <f>D13*D15/D14</f>
        <v>66.90442470551163</v>
      </c>
      <c r="E18" s="10">
        <f>E13*E15/E14</f>
        <v>65.22280541309303</v>
      </c>
      <c r="F18" s="10">
        <f>F13*F15/F14</f>
        <v>54.492472785279084</v>
      </c>
      <c r="G18" s="5" t="s">
        <v>127</v>
      </c>
      <c r="H18" t="s">
        <v>74</v>
      </c>
    </row>
    <row r="19" spans="1:8" ht="12.75">
      <c r="A19" s="5" t="s">
        <v>20</v>
      </c>
      <c r="B19" s="11">
        <v>14</v>
      </c>
      <c r="C19" s="11">
        <v>9</v>
      </c>
      <c r="D19" s="11">
        <v>10</v>
      </c>
      <c r="E19" s="11">
        <v>10</v>
      </c>
      <c r="F19" s="11">
        <v>9</v>
      </c>
      <c r="G19" s="5" t="s">
        <v>24</v>
      </c>
      <c r="H19" t="s">
        <v>70</v>
      </c>
    </row>
    <row r="20" spans="1:8" ht="12.75">
      <c r="A20" s="5" t="s">
        <v>15</v>
      </c>
      <c r="B20" s="11">
        <v>1</v>
      </c>
      <c r="C20" s="11">
        <v>4</v>
      </c>
      <c r="D20" s="11">
        <v>4</v>
      </c>
      <c r="E20" s="11">
        <v>4</v>
      </c>
      <c r="F20" s="11">
        <v>4</v>
      </c>
      <c r="G20" s="5"/>
      <c r="H20" t="s">
        <v>70</v>
      </c>
    </row>
    <row r="21" spans="1:8" ht="12.75">
      <c r="A21" s="5" t="s">
        <v>18</v>
      </c>
      <c r="B21" s="11">
        <v>2</v>
      </c>
      <c r="C21" s="11">
        <v>2</v>
      </c>
      <c r="D21" s="11">
        <v>2</v>
      </c>
      <c r="E21" s="11">
        <v>2</v>
      </c>
      <c r="F21" s="11">
        <v>2</v>
      </c>
      <c r="G21" s="5"/>
      <c r="H21" t="s">
        <v>70</v>
      </c>
    </row>
    <row r="22" spans="1:8" ht="12.75">
      <c r="A22" s="5" t="s">
        <v>57</v>
      </c>
      <c r="B22" s="12">
        <f>B19*B21</f>
        <v>28</v>
      </c>
      <c r="C22" s="12">
        <f>C19*C21</f>
        <v>18</v>
      </c>
      <c r="D22" s="12">
        <f>D19*D21</f>
        <v>20</v>
      </c>
      <c r="E22" s="12">
        <f>E19*E21</f>
        <v>20</v>
      </c>
      <c r="F22" s="12">
        <f>F19*F21</f>
        <v>18</v>
      </c>
      <c r="G22" s="5" t="s">
        <v>24</v>
      </c>
      <c r="H22" t="s">
        <v>75</v>
      </c>
    </row>
    <row r="23" spans="1:8" ht="12.75">
      <c r="A23" s="5" t="s">
        <v>120</v>
      </c>
      <c r="B23" s="6">
        <f>B16*(B22/B19)^2</f>
        <v>0.002652</v>
      </c>
      <c r="C23" s="6">
        <f>C16*(C22/C19)^2</f>
        <v>0.03164</v>
      </c>
      <c r="D23" s="6">
        <f>D16*(D22/D19)^2</f>
        <v>0.0496</v>
      </c>
      <c r="E23" s="6">
        <f>E16*(E22/E19)^2</f>
        <v>0.03692</v>
      </c>
      <c r="F23" s="6">
        <f>F16*(F22/F19)^2</f>
        <v>0.0316</v>
      </c>
      <c r="G23" s="5" t="s">
        <v>1</v>
      </c>
      <c r="H23" t="s">
        <v>76</v>
      </c>
    </row>
    <row r="24" spans="1:8" ht="12.75">
      <c r="A24" s="5" t="s">
        <v>119</v>
      </c>
      <c r="B24" s="6">
        <f>B15*B21/B20</f>
        <v>0.01209</v>
      </c>
      <c r="C24" s="6">
        <f>C15*C21/C20</f>
        <v>0.002239</v>
      </c>
      <c r="D24" s="6">
        <f>D15*D21/D20</f>
        <v>0.008355</v>
      </c>
      <c r="E24" s="6">
        <f>E15*E21/E20</f>
        <v>0.008145</v>
      </c>
      <c r="F24" s="6">
        <f>F15*F21/F20</f>
        <v>0.006805</v>
      </c>
      <c r="G24" s="5" t="s">
        <v>126</v>
      </c>
      <c r="H24" t="s">
        <v>77</v>
      </c>
    </row>
    <row r="25" spans="1:8" ht="12.75">
      <c r="A25" s="5" t="s">
        <v>17</v>
      </c>
      <c r="B25" s="6">
        <f>B23/B24</f>
        <v>0.2193548387096774</v>
      </c>
      <c r="C25" s="6">
        <f>C23/C24</f>
        <v>14.131308619919606</v>
      </c>
      <c r="D25" s="6">
        <f>D23/D24</f>
        <v>5.936564931178935</v>
      </c>
      <c r="E25" s="6">
        <f>E23/E24</f>
        <v>4.532842234499694</v>
      </c>
      <c r="F25" s="6">
        <f>F23/F24</f>
        <v>4.643644379132991</v>
      </c>
      <c r="G25" s="5" t="s">
        <v>5</v>
      </c>
      <c r="H25" t="s">
        <v>78</v>
      </c>
    </row>
    <row r="26" spans="1:8" ht="12.75">
      <c r="A26" s="5" t="s">
        <v>9</v>
      </c>
      <c r="B26" s="6">
        <f>B9+B23</f>
        <v>0.002836</v>
      </c>
      <c r="C26" s="6">
        <f>C9+C23</f>
        <v>0.0317725</v>
      </c>
      <c r="D26" s="6">
        <f>D9+D23</f>
        <v>0.0497325</v>
      </c>
      <c r="E26" s="6">
        <f>E9+E23</f>
        <v>0.0370525</v>
      </c>
      <c r="F26" s="6">
        <f>F9+F23</f>
        <v>0.031732500000000004</v>
      </c>
      <c r="G26" s="5" t="s">
        <v>1</v>
      </c>
      <c r="H26" t="s">
        <v>79</v>
      </c>
    </row>
    <row r="27" spans="1:8" ht="12.75">
      <c r="A27" s="5" t="s">
        <v>121</v>
      </c>
      <c r="B27" s="13">
        <v>80</v>
      </c>
      <c r="C27" s="13">
        <v>80</v>
      </c>
      <c r="D27" s="13">
        <v>80</v>
      </c>
      <c r="E27" s="13">
        <v>80</v>
      </c>
      <c r="F27" s="13">
        <v>80</v>
      </c>
      <c r="G27" s="5" t="s">
        <v>128</v>
      </c>
      <c r="H27" t="s">
        <v>80</v>
      </c>
    </row>
    <row r="28" spans="1:8" ht="12.75">
      <c r="A28" s="5" t="s">
        <v>129</v>
      </c>
      <c r="B28" s="14">
        <v>0.004086332164478462</v>
      </c>
      <c r="C28" s="14">
        <v>0.004086332164478462</v>
      </c>
      <c r="D28" s="14">
        <v>0.004086332164478462</v>
      </c>
      <c r="E28" s="14">
        <v>0.004086332164478462</v>
      </c>
      <c r="F28" s="14">
        <v>0.004086332164478462</v>
      </c>
      <c r="G28" s="5" t="s">
        <v>25</v>
      </c>
      <c r="H28" t="s">
        <v>81</v>
      </c>
    </row>
    <row r="29" spans="1:12" ht="12.75">
      <c r="A29" s="5" t="s">
        <v>122</v>
      </c>
      <c r="B29" s="6">
        <f>B15*(1+B28*(B27-293))*B21/B20</f>
        <v>0.0015669999999999998</v>
      </c>
      <c r="C29" s="6">
        <f>C15*(1+C28*(C27-293))*C21/C20</f>
        <v>0.0002901995864350703</v>
      </c>
      <c r="D29" s="6">
        <f>D15*(1+D28*(D27-293))*D21/D20</f>
        <v>0.0010829019851116624</v>
      </c>
      <c r="E29" s="6">
        <f>E15*(1+E28*(E27-293))*E21/E20</f>
        <v>0.001055683622828784</v>
      </c>
      <c r="F29" s="6">
        <f>F15*(1+F28*(F27-293))*F21/F20</f>
        <v>0.0008820045492142266</v>
      </c>
      <c r="G29" s="15" t="s">
        <v>126</v>
      </c>
      <c r="H29" s="2" t="s">
        <v>82</v>
      </c>
      <c r="J29" s="2"/>
      <c r="L29" s="2"/>
    </row>
    <row r="30" spans="1:22" ht="12.75">
      <c r="A30" s="5" t="s">
        <v>130</v>
      </c>
      <c r="B30" s="6">
        <f>-64468000000000000+1018900000000000*B27-2611300000000*B27^2+2737900000*B27^3</f>
        <v>1733484800000000</v>
      </c>
      <c r="C30" s="6">
        <f>-64468000000000000+1018900000000000*C27-2611300000000*C27^2+2737900000*C27^3</f>
        <v>1733484800000000</v>
      </c>
      <c r="D30" s="6">
        <f>-64468000000000000+1018900000000000*D27-2611300000000*D27^2+2737900000*D27^3</f>
        <v>1733484800000000</v>
      </c>
      <c r="E30" s="6">
        <f>-64468000000000000+1018900000000000*E27-2611300000000*E27^2+2737900000*E27^3</f>
        <v>1733484800000000</v>
      </c>
      <c r="F30" s="6">
        <f>-64468000000000000+1018900000000000*F27-2611300000000*F27^2+2737900000*F27^3</f>
        <v>1733484800000000</v>
      </c>
      <c r="G30" s="16" t="s">
        <v>2</v>
      </c>
      <c r="H30" s="3" t="s">
        <v>83</v>
      </c>
      <c r="J30" s="3"/>
      <c r="L30" s="3"/>
      <c r="V30" s="4" t="e">
        <f>#REF!-#REF!</f>
        <v>#REF!</v>
      </c>
    </row>
    <row r="31" spans="1:8" ht="12.75">
      <c r="A31" s="5" t="s">
        <v>19</v>
      </c>
      <c r="B31" s="17">
        <v>10000</v>
      </c>
      <c r="C31" s="17">
        <v>41000</v>
      </c>
      <c r="D31" s="17">
        <v>40908</v>
      </c>
      <c r="E31" s="17">
        <v>41561</v>
      </c>
      <c r="F31" s="17">
        <v>40598</v>
      </c>
      <c r="G31" s="5" t="s">
        <v>4</v>
      </c>
      <c r="H31" t="s">
        <v>84</v>
      </c>
    </row>
    <row r="32" spans="1:8" ht="12.75">
      <c r="A32" s="5" t="s">
        <v>13</v>
      </c>
      <c r="B32" s="18">
        <f>B31/B20/B13</f>
        <v>63589870.76948512</v>
      </c>
      <c r="C32" s="18">
        <f>C31/C20/C13</f>
        <v>148839097.4121352</v>
      </c>
      <c r="D32" s="18">
        <f>D31/D20/D13</f>
        <v>148505116.99842992</v>
      </c>
      <c r="E32" s="18">
        <f>E31/E20/E13</f>
        <v>150875651.89135978</v>
      </c>
      <c r="F32" s="18">
        <f>F31/F20/F13</f>
        <v>147379748.21311867</v>
      </c>
      <c r="G32" s="5" t="s">
        <v>26</v>
      </c>
      <c r="H32" t="s">
        <v>86</v>
      </c>
    </row>
    <row r="33" spans="1:8" ht="12.75">
      <c r="A33" s="5" t="s">
        <v>3</v>
      </c>
      <c r="B33" s="13">
        <v>1.8</v>
      </c>
      <c r="C33" s="13">
        <v>0</v>
      </c>
      <c r="D33" s="13">
        <v>0</v>
      </c>
      <c r="E33" s="13">
        <v>0</v>
      </c>
      <c r="F33" s="13">
        <v>0</v>
      </c>
      <c r="G33" s="5" t="s">
        <v>5</v>
      </c>
      <c r="H33" t="s">
        <v>85</v>
      </c>
    </row>
    <row r="34" spans="1:8" ht="12.75">
      <c r="A34" s="5" t="s">
        <v>10</v>
      </c>
      <c r="B34" s="13">
        <v>0.1</v>
      </c>
      <c r="C34" s="13">
        <v>1</v>
      </c>
      <c r="D34" s="13">
        <v>1</v>
      </c>
      <c r="E34" s="13">
        <v>1</v>
      </c>
      <c r="F34" s="13">
        <v>1</v>
      </c>
      <c r="G34" s="5" t="s">
        <v>5</v>
      </c>
      <c r="H34" t="s">
        <v>87</v>
      </c>
    </row>
    <row r="35" spans="1:8" ht="12.75">
      <c r="A35" s="5" t="s">
        <v>11</v>
      </c>
      <c r="B35" s="6">
        <f>B31/B34</f>
        <v>100000</v>
      </c>
      <c r="C35" s="6">
        <f>C31/C34</f>
        <v>41000</v>
      </c>
      <c r="D35" s="6">
        <f>D31/D34</f>
        <v>40908</v>
      </c>
      <c r="E35" s="6">
        <f>E31/E34</f>
        <v>41561</v>
      </c>
      <c r="F35" s="6">
        <f>F31/F34</f>
        <v>40598</v>
      </c>
      <c r="G35" s="5" t="s">
        <v>12</v>
      </c>
      <c r="H35" t="s">
        <v>88</v>
      </c>
    </row>
    <row r="36" spans="1:8" ht="12.75">
      <c r="A36" s="5" t="s">
        <v>21</v>
      </c>
      <c r="B36" s="6">
        <f>B35^2*B34^3/3</f>
        <v>3333333.333333334</v>
      </c>
      <c r="C36" s="6">
        <f>C35^2*C34^3/3</f>
        <v>560333333.3333334</v>
      </c>
      <c r="D36" s="6">
        <f>D35^2*D34^3/3</f>
        <v>557821488</v>
      </c>
      <c r="E36" s="6">
        <f>E35^2*E34^3/3</f>
        <v>575772240.3333334</v>
      </c>
      <c r="F36" s="6">
        <f>F35^2*F34^3/3</f>
        <v>549399201.3333334</v>
      </c>
      <c r="G36" s="5" t="s">
        <v>22</v>
      </c>
      <c r="H36" t="s">
        <v>89</v>
      </c>
    </row>
    <row r="37" spans="1:8" ht="12.75">
      <c r="A37" s="5" t="s">
        <v>23</v>
      </c>
      <c r="B37" s="6">
        <f>B31^2*B33</f>
        <v>180000000</v>
      </c>
      <c r="C37" s="6">
        <f>C31^2*C33</f>
        <v>0</v>
      </c>
      <c r="D37" s="6">
        <f>D31^2*D33</f>
        <v>0</v>
      </c>
      <c r="E37" s="6">
        <f>E31^2*E33</f>
        <v>0</v>
      </c>
      <c r="F37" s="6">
        <f>F31^2*F33</f>
        <v>0</v>
      </c>
      <c r="G37" s="5" t="s">
        <v>22</v>
      </c>
      <c r="H37" t="s">
        <v>90</v>
      </c>
    </row>
    <row r="38" spans="1:8" ht="12.75">
      <c r="A38" s="5" t="s">
        <v>41</v>
      </c>
      <c r="B38" s="6">
        <f>2*B36+B37</f>
        <v>186666666.66666666</v>
      </c>
      <c r="C38" s="6">
        <f>2*C36+C37</f>
        <v>1120666666.6666667</v>
      </c>
      <c r="D38" s="6">
        <f>2*D36+D37</f>
        <v>1115642976</v>
      </c>
      <c r="E38" s="6">
        <f>2*E36+E37</f>
        <v>1151544480.6666667</v>
      </c>
      <c r="F38" s="6">
        <f>2*F36+F37</f>
        <v>1098798402.6666667</v>
      </c>
      <c r="G38" s="5" t="s">
        <v>22</v>
      </c>
      <c r="H38" t="s">
        <v>91</v>
      </c>
    </row>
    <row r="39" spans="1:8" ht="12.75">
      <c r="A39" s="5" t="s">
        <v>30</v>
      </c>
      <c r="B39" s="6">
        <f>B30</f>
        <v>1733484800000000</v>
      </c>
      <c r="C39" s="6">
        <f>C30</f>
        <v>1733484800000000</v>
      </c>
      <c r="D39" s="6">
        <f>D30</f>
        <v>1733484800000000</v>
      </c>
      <c r="E39" s="6">
        <f>E30</f>
        <v>1733484800000000</v>
      </c>
      <c r="F39" s="6">
        <f>F30</f>
        <v>1733484800000000</v>
      </c>
      <c r="G39" s="16" t="s">
        <v>2</v>
      </c>
      <c r="H39" t="s">
        <v>92</v>
      </c>
    </row>
    <row r="40" spans="1:8" ht="12.75">
      <c r="A40" s="5" t="s">
        <v>31</v>
      </c>
      <c r="B40" s="6">
        <f>B27</f>
        <v>80</v>
      </c>
      <c r="C40" s="6">
        <f>C27</f>
        <v>80</v>
      </c>
      <c r="D40" s="6">
        <f>D27</f>
        <v>80</v>
      </c>
      <c r="E40" s="6">
        <f>E27</f>
        <v>80</v>
      </c>
      <c r="F40" s="6">
        <f>F27</f>
        <v>80</v>
      </c>
      <c r="G40" s="5" t="s">
        <v>128</v>
      </c>
      <c r="H40" t="s">
        <v>93</v>
      </c>
    </row>
    <row r="41" spans="1:8" ht="12.75">
      <c r="A41" s="5" t="s">
        <v>29</v>
      </c>
      <c r="B41" s="6">
        <f>B29</f>
        <v>0.0015669999999999998</v>
      </c>
      <c r="C41" s="6">
        <f>C29</f>
        <v>0.0002901995864350703</v>
      </c>
      <c r="D41" s="6">
        <f>D29</f>
        <v>0.0010829019851116624</v>
      </c>
      <c r="E41" s="6">
        <f>E29</f>
        <v>0.001055683622828784</v>
      </c>
      <c r="F41" s="6">
        <f>F29</f>
        <v>0.0008820045492142266</v>
      </c>
      <c r="G41" s="5" t="s">
        <v>126</v>
      </c>
      <c r="H41" t="s">
        <v>94</v>
      </c>
    </row>
    <row r="42" spans="1:8" ht="12.75">
      <c r="A42" s="5" t="s">
        <v>43</v>
      </c>
      <c r="B42" s="10">
        <f>B26*B35</f>
        <v>283.6</v>
      </c>
      <c r="C42" s="10">
        <f>C26*C35</f>
        <v>1302.6725000000001</v>
      </c>
      <c r="D42" s="10">
        <f>D26*D35</f>
        <v>2034.45711</v>
      </c>
      <c r="E42" s="10">
        <f>E26*E35</f>
        <v>1539.9389525000001</v>
      </c>
      <c r="F42" s="10">
        <f>F26*F35</f>
        <v>1288.276035</v>
      </c>
      <c r="G42" s="5" t="s">
        <v>131</v>
      </c>
      <c r="H42" t="s">
        <v>95</v>
      </c>
    </row>
    <row r="43" spans="1:8" ht="12.75">
      <c r="A43" s="5" t="s">
        <v>32</v>
      </c>
      <c r="B43" s="6">
        <f>B30+B36/(B13*B20)^2</f>
        <v>1868273855482660.8</v>
      </c>
      <c r="C43" s="6">
        <f>C30+C36/(C13*C20)^2</f>
        <v>9117843772819692</v>
      </c>
      <c r="D43" s="6">
        <f>D30+D36/(D13*D20)^2</f>
        <v>9084741391572452</v>
      </c>
      <c r="E43" s="6">
        <f>E30+E36/(E13*E20)^2</f>
        <v>9321305577880926</v>
      </c>
      <c r="F43" s="6">
        <f>F30+F36/(F13*F20)^2</f>
        <v>8973748194454085</v>
      </c>
      <c r="G43" s="16" t="s">
        <v>2</v>
      </c>
      <c r="H43" t="s">
        <v>97</v>
      </c>
    </row>
    <row r="44" spans="1:8" ht="12.75">
      <c r="A44" s="5" t="s">
        <v>33</v>
      </c>
      <c r="B44" s="10">
        <f>79.377+0.0000000000000013453*B43+6.2927E-33*B43^2+1.3793E-49*B43^3-1.7</f>
        <v>80.21325261174464</v>
      </c>
      <c r="C44" s="10">
        <f>79.377+0.0000000000000013453*C43+6.2927E-33*C43^2+1.3793E-49*C43^3-1.7</f>
        <v>90.57093199601094</v>
      </c>
      <c r="D44" s="10">
        <f>79.377+0.0000000000000013453*D43+6.2927E-33*D43^2+1.3793E-49*D43^3-1.7</f>
        <v>90.52147309492607</v>
      </c>
      <c r="E44" s="10">
        <f>79.377+0.0000000000000013453*E43+6.2927E-33*E43^2+1.3793E-49*E43^3-1.7</f>
        <v>90.87541377614143</v>
      </c>
      <c r="F44" s="10">
        <f>79.377+0.0000000000000013453*F43+6.2927E-33*F43^2+1.3793E-49*F43^3-1.7</f>
        <v>90.35579662989575</v>
      </c>
      <c r="G44" s="5" t="s">
        <v>128</v>
      </c>
      <c r="H44" t="s">
        <v>98</v>
      </c>
    </row>
    <row r="45" spans="1:8" ht="12.75">
      <c r="A45" s="5" t="s">
        <v>28</v>
      </c>
      <c r="B45" s="6">
        <f>B15*(1+B28*(B44-293))*B21/B20</f>
        <v>0.0015775354799689601</v>
      </c>
      <c r="C45" s="6">
        <f>C15*(1+C28*(C44-293))*C21/C20</f>
        <v>0.00038691619040498974</v>
      </c>
      <c r="D45" s="6">
        <f>D15*(1+D28*(D44-293))*D21/D20</f>
        <v>0.0014421188095591411</v>
      </c>
      <c r="E45" s="6">
        <f>E15*(1+E28*(E44-293))*E21/E20</f>
        <v>0.0014176519279541968</v>
      </c>
      <c r="F45" s="6">
        <f>F15*(1+F28*(F44-293))*F21/F20</f>
        <v>0.0011699732643697899</v>
      </c>
      <c r="G45" s="5" t="s">
        <v>126</v>
      </c>
      <c r="H45" t="s">
        <v>96</v>
      </c>
    </row>
    <row r="46" spans="1:8" ht="12.75">
      <c r="A46" s="5" t="s">
        <v>46</v>
      </c>
      <c r="B46" s="10">
        <f>B26*B35+B31*(B45+B8)</f>
        <v>343.1253547996896</v>
      </c>
      <c r="C46" s="10">
        <f>C26*C35+C31*(C45+C8)</f>
        <v>1493.1960638066048</v>
      </c>
      <c r="D46" s="10">
        <f>D26*D35+D31*(D45+D8)</f>
        <v>2267.7193862614454</v>
      </c>
      <c r="E46" s="10">
        <f>E26*E35+E31*(E45+E8)</f>
        <v>1775.9078442777045</v>
      </c>
      <c r="F46" s="10">
        <f>F26*F35+F31*(F45+F8)</f>
        <v>1508.7220895868847</v>
      </c>
      <c r="G46" s="5" t="s">
        <v>131</v>
      </c>
      <c r="H46" t="s">
        <v>99</v>
      </c>
    </row>
    <row r="47" spans="1:8" ht="12.75">
      <c r="A47" s="5" t="s">
        <v>47</v>
      </c>
      <c r="B47" s="10">
        <f>(B2*B3-B7*B31)/B46</f>
        <v>2.798095163774245</v>
      </c>
      <c r="C47" s="10">
        <f>(C2*C3-C7*C31)/C46</f>
        <v>1.0669252916271226</v>
      </c>
      <c r="D47" s="10">
        <f>(D2*D3-D7*D31)/D46</f>
        <v>0.7029526243006754</v>
      </c>
      <c r="E47" s="10">
        <f>(E2*E3-E7*E31)/E46</f>
        <v>0.8937455897613773</v>
      </c>
      <c r="F47" s="10">
        <f>(F2*F3-F7*F31)/F46</f>
        <v>1.0587569216579322</v>
      </c>
      <c r="G47" s="5"/>
      <c r="H47" t="s">
        <v>107</v>
      </c>
    </row>
    <row r="48" spans="1:8" ht="12.75">
      <c r="A48" s="5" t="s">
        <v>48</v>
      </c>
      <c r="B48" s="10">
        <f>B31*(B45+B8)</f>
        <v>59.5253547996896</v>
      </c>
      <c r="C48" s="10">
        <f>C31*(C45+C8)</f>
        <v>190.52356380660459</v>
      </c>
      <c r="D48" s="10">
        <f>D31*(D45+D8)</f>
        <v>233.26227626144535</v>
      </c>
      <c r="E48" s="10">
        <f>E31*(E45+E8)</f>
        <v>235.96889177770436</v>
      </c>
      <c r="F48" s="10">
        <f>F31*(F45+F8)</f>
        <v>220.4460545868847</v>
      </c>
      <c r="G48" s="5" t="s">
        <v>131</v>
      </c>
      <c r="H48" t="s">
        <v>100</v>
      </c>
    </row>
    <row r="49" spans="1:8" ht="12.75">
      <c r="A49" s="5" t="s">
        <v>101</v>
      </c>
      <c r="B49" s="6">
        <f>B30+(B36+B37)/(B13*B20)^2</f>
        <v>9146882851546334</v>
      </c>
      <c r="C49" s="6">
        <f>C30+(C36+C37)/(C13*C20)^2</f>
        <v>9117843772819692</v>
      </c>
      <c r="D49" s="6">
        <f>D30+(D36+D37)/(D13*D20)^2</f>
        <v>9084741391572452</v>
      </c>
      <c r="E49" s="6">
        <f>E30+(E36+E37)/(E13*E20)^2</f>
        <v>9321305577880926</v>
      </c>
      <c r="F49" s="6">
        <f>F30+(F36+F37)/(F13*F20)^2</f>
        <v>8973748194454085</v>
      </c>
      <c r="G49" s="16" t="s">
        <v>2</v>
      </c>
      <c r="H49" t="s">
        <v>104</v>
      </c>
    </row>
    <row r="50" spans="1:8" ht="12.75">
      <c r="A50" s="5" t="s">
        <v>34</v>
      </c>
      <c r="B50" s="10">
        <f>79.377+0.0000000000000013453*B49+6.2927E-33*B49^2+1.3793E-49*B49^3-1.7</f>
        <v>90.61433800169088</v>
      </c>
      <c r="C50" s="10">
        <f>79.377+0.0000000000000013453*C49+6.2927E-33*C49^2+1.3793E-49*C49^3-1.7</f>
        <v>90.57093199601094</v>
      </c>
      <c r="D50" s="10">
        <f>79.377+0.0000000000000013453*D49+6.2927E-33*D49^2+1.3793E-49*D49^3-1.7</f>
        <v>90.52147309492607</v>
      </c>
      <c r="E50" s="10">
        <f>79.377+0.0000000000000013453*E49+6.2927E-33*E49^2+1.3793E-49*E49^3-1.7</f>
        <v>90.87541377614143</v>
      </c>
      <c r="F50" s="10">
        <f>79.377+0.0000000000000013453*F49+6.2927E-33*F49^2+1.3793E-49*F49^3-1.7</f>
        <v>90.35579662989575</v>
      </c>
      <c r="G50" s="5" t="s">
        <v>128</v>
      </c>
      <c r="H50" t="s">
        <v>105</v>
      </c>
    </row>
    <row r="51" spans="1:8" ht="12.75">
      <c r="A51" s="5" t="s">
        <v>35</v>
      </c>
      <c r="B51" s="6">
        <f>B15*(1+B28*(B50-293))*B21/B20</f>
        <v>0.0020913881633417525</v>
      </c>
      <c r="C51" s="6">
        <f>C15*(1+C28*(C50-293))*C21/C20</f>
        <v>0.00038691619040498974</v>
      </c>
      <c r="D51" s="6">
        <f>D15*(1+D28*(D50-293))*D21/D20</f>
        <v>0.0014421188095591411</v>
      </c>
      <c r="E51" s="6">
        <f>E15*(1+E28*(E50-293))*E21/E20</f>
        <v>0.0014176519279541968</v>
      </c>
      <c r="F51" s="6">
        <f>F15*(1+F28*(F50-293))*F21/F20</f>
        <v>0.0011699732643697899</v>
      </c>
      <c r="G51" s="5" t="s">
        <v>126</v>
      </c>
      <c r="H51" t="s">
        <v>102</v>
      </c>
    </row>
    <row r="52" spans="1:8" ht="12.75">
      <c r="A52" s="5" t="s">
        <v>51</v>
      </c>
      <c r="B52" s="10">
        <f>B31*(B51+B8)</f>
        <v>64.66388163341753</v>
      </c>
      <c r="C52" s="10">
        <f>C31*(C51+C8)</f>
        <v>190.52356380660459</v>
      </c>
      <c r="D52" s="10">
        <f>D31*(D51+D8)</f>
        <v>233.26227626144535</v>
      </c>
      <c r="E52" s="10">
        <f>E31*(E51+E8)</f>
        <v>235.96889177770436</v>
      </c>
      <c r="F52" s="10">
        <f>F31*(F51+F8)</f>
        <v>220.4460545868847</v>
      </c>
      <c r="G52" s="5" t="s">
        <v>131</v>
      </c>
      <c r="H52" t="s">
        <v>103</v>
      </c>
    </row>
    <row r="53" spans="1:8" ht="12.75">
      <c r="A53" s="5" t="s">
        <v>49</v>
      </c>
      <c r="B53" s="10">
        <f>-B26*B35+B31*(B51+B8)</f>
        <v>-218.9361183665825</v>
      </c>
      <c r="C53" s="10">
        <f>-C26*C35+C31*(C51+C8)</f>
        <v>-1112.1489361933955</v>
      </c>
      <c r="D53" s="10">
        <f>-D26*D35+D31*(D51+D8)</f>
        <v>-1801.1948337385547</v>
      </c>
      <c r="E53" s="10">
        <f>-E26*E35+E31*(E51+E8)</f>
        <v>-1303.9700607222958</v>
      </c>
      <c r="F53" s="10">
        <f>-F26*F35+F31*(F51+F8)</f>
        <v>-1067.8299804131154</v>
      </c>
      <c r="G53" s="5" t="s">
        <v>131</v>
      </c>
      <c r="H53" t="s">
        <v>106</v>
      </c>
    </row>
    <row r="54" spans="1:8" ht="12.75">
      <c r="A54" s="5" t="s">
        <v>50</v>
      </c>
      <c r="B54" s="10">
        <f>(-0.67*B2*B3-B7*B31)/B53</f>
        <v>3.340527408739785</v>
      </c>
      <c r="C54" s="10">
        <f>(-0.67*C2*C3-C7*C31)/C53</f>
        <v>1.609308156417131</v>
      </c>
      <c r="D54" s="10">
        <f>(-0.67*D2*D3-D7*D31)/D53</f>
        <v>0.9931294897938004</v>
      </c>
      <c r="E54" s="10">
        <f>(-0.67*E2*E3-E7*E31)/E53</f>
        <v>1.377109222400004</v>
      </c>
      <c r="F54" s="10">
        <f>(-0.67*F2*F3-F7*F31)/F53</f>
        <v>1.6721285949481253</v>
      </c>
      <c r="G54" s="5"/>
      <c r="H54" t="s">
        <v>107</v>
      </c>
    </row>
    <row r="55" spans="1:8" ht="12.75">
      <c r="A55" s="5" t="s">
        <v>36</v>
      </c>
      <c r="B55" s="6">
        <f>B30+(2*B36+B37)/(B13*B20)^2</f>
        <v>9281671907028994</v>
      </c>
      <c r="C55" s="6">
        <f>C30+(2*C36+C37)/(C13*C20)^2</f>
        <v>16502202745639382</v>
      </c>
      <c r="D55" s="6">
        <f>D30+(2*D36+D37)/(D13*D20)^2</f>
        <v>16435997983144906</v>
      </c>
      <c r="E55" s="6">
        <f>E30+(2*E36+E37)/(E13*E20)^2</f>
        <v>16909126355761852</v>
      </c>
      <c r="F55" s="6">
        <f>F30+(2*F36+F37)/(F13*F20)^2</f>
        <v>16214011588908170</v>
      </c>
      <c r="G55" s="16" t="s">
        <v>2</v>
      </c>
      <c r="H55" t="s">
        <v>60</v>
      </c>
    </row>
    <row r="56" spans="1:8" ht="12.75">
      <c r="A56" s="5" t="s">
        <v>37</v>
      </c>
      <c r="B56" s="10">
        <f>79.377+0.0000000000000013453*B55+6.2927E-33*B55^2+1.3793E-49*B55^3-1.7</f>
        <v>90.81603607030993</v>
      </c>
      <c r="C56" s="10">
        <f>79.377+0.0000000000000013453*C55+6.2927E-33*C55^2+1.3793E-49*C55^3-1.7</f>
        <v>102.21090536262633</v>
      </c>
      <c r="D56" s="10">
        <f>79.377+0.0000000000000013453*D55+6.2927E-33*D55^2+1.3793E-49*D55^3-1.7</f>
        <v>102.10068746529782</v>
      </c>
      <c r="E56" s="10">
        <f>79.377+0.0000000000000013453*E55+6.2927E-33*E55^2+1.3793E-49*E55^3-1.7</f>
        <v>102.89088829592002</v>
      </c>
      <c r="F56" s="10">
        <f>79.377+0.0000000000000013453*F55+6.2927E-33*F55^2+1.3793E-49*F55^3-1.7</f>
        <v>101.731960108103</v>
      </c>
      <c r="G56" s="5" t="s">
        <v>128</v>
      </c>
      <c r="H56" t="s">
        <v>108</v>
      </c>
    </row>
    <row r="57" spans="1:8" ht="12.75">
      <c r="A57" s="5" t="s">
        <v>38</v>
      </c>
      <c r="B57" s="6">
        <f>B15*(1+B28*(B56-293))*B21/B20</f>
        <v>0.0021013528054829637</v>
      </c>
      <c r="C57" s="6">
        <f>C15*(1+C28*(C56-293))*C21/C20</f>
        <v>0.0004934137721455758</v>
      </c>
      <c r="D57" s="6">
        <f>D15*(1+D28*(D56-293))*D21/D20</f>
        <v>0.0018374483017504408</v>
      </c>
      <c r="E57" s="6">
        <f>E15*(1+E28*(E56-293))*E21/E20</f>
        <v>0.0018175650748675765</v>
      </c>
      <c r="F57" s="6">
        <f>F15*(1+F28*(F56-293))*F21/F20</f>
        <v>0.001486315820843109</v>
      </c>
      <c r="G57" s="5" t="s">
        <v>126</v>
      </c>
      <c r="H57" t="s">
        <v>109</v>
      </c>
    </row>
    <row r="58" spans="1:8" ht="12.75">
      <c r="A58" s="5" t="s">
        <v>42</v>
      </c>
      <c r="B58" s="10">
        <f>-B26*B35</f>
        <v>-283.6</v>
      </c>
      <c r="C58" s="10">
        <f>-C26*C35</f>
        <v>-1302.6725000000001</v>
      </c>
      <c r="D58" s="10">
        <f>-D26*D35</f>
        <v>-2034.45711</v>
      </c>
      <c r="E58" s="10">
        <f>-E26*E35</f>
        <v>-1539.9389525000001</v>
      </c>
      <c r="F58" s="10">
        <f>-F26*F35</f>
        <v>-1288.276035</v>
      </c>
      <c r="G58" s="5" t="s">
        <v>131</v>
      </c>
      <c r="H58" t="s">
        <v>61</v>
      </c>
    </row>
    <row r="59" spans="1:8" ht="12.75">
      <c r="A59" s="5" t="s">
        <v>39</v>
      </c>
      <c r="B59" s="13">
        <v>1200</v>
      </c>
      <c r="C59" s="13">
        <v>1200</v>
      </c>
      <c r="D59" s="13">
        <v>1200</v>
      </c>
      <c r="E59" s="13">
        <v>1200</v>
      </c>
      <c r="F59" s="13">
        <v>1200</v>
      </c>
      <c r="G59" s="5" t="s">
        <v>5</v>
      </c>
      <c r="H59" t="s">
        <v>62</v>
      </c>
    </row>
    <row r="60" spans="1:8" ht="12.75">
      <c r="A60" s="5" t="s">
        <v>40</v>
      </c>
      <c r="B60" s="10">
        <f>SQRT(B38/B59)</f>
        <v>394.4053188733077</v>
      </c>
      <c r="C60" s="10">
        <f>SQRT(C38/C59)</f>
        <v>966.379267621615</v>
      </c>
      <c r="D60" s="10">
        <f>SQRT(D38/D59)</f>
        <v>964.2108068259762</v>
      </c>
      <c r="E60" s="10">
        <f>SQRT(E38/E59)</f>
        <v>979.6021644298035</v>
      </c>
      <c r="F60" s="10">
        <f>SQRT(F38/F59)</f>
        <v>956.9040367537152</v>
      </c>
      <c r="G60" s="5" t="s">
        <v>4</v>
      </c>
      <c r="H60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reiersen</cp:lastModifiedBy>
  <dcterms:created xsi:type="dcterms:W3CDTF">2005-04-19T15:48:18Z</dcterms:created>
  <dcterms:modified xsi:type="dcterms:W3CDTF">2005-06-15T12:34:21Z</dcterms:modified>
  <cp:category/>
  <cp:version/>
  <cp:contentType/>
  <cp:contentStatus/>
</cp:coreProperties>
</file>